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09- SETEMBRO\12  COOPERZEM - Érika\Estrutura\"/>
    </mc:Choice>
  </mc:AlternateContent>
  <xr:revisionPtr revIDLastSave="0" documentId="13_ncr:1_{AF6798BE-01F5-46C2-911F-932298B1B443}" xr6:coauthVersionLast="47" xr6:coauthVersionMax="47" xr10:uidLastSave="{00000000-0000-0000-0000-000000000000}"/>
  <bookViews>
    <workbookView xWindow="-108" yWindow="-108" windowWidth="18648" windowHeight="9984" firstSheet="24" activeTab="29" xr2:uid="{C5D27A91-3B0D-4318-A1E0-9F9DDCDB4104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8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27" r:id="rId27"/>
    <sheet name="TA - Aplicação" sheetId="29" r:id="rId28"/>
    <sheet name="TA - BE" sheetId="30" r:id="rId29"/>
    <sheet name="TA - CVA" sheetId="31" r:id="rId30"/>
  </sheets>
  <definedNames>
    <definedName name="DadosExternos_1" localSheetId="27" hidden="1">'TA - Aplicação'!$B$3:$AT$50</definedName>
    <definedName name="DadosExternos_1" localSheetId="28" hidden="1">'TA - BE'!$B$3:$AT$50</definedName>
    <definedName name="DadosExternos_1" localSheetId="29" hidden="1">'TA - CVA'!$B$3:$AT$50</definedName>
  </definedNames>
  <calcPr calcId="191029"/>
  <pivotCaches>
    <pivotCache cacheId="25" r:id="rId31"/>
    <pivotCache cacheId="26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28" l="1"/>
  <c r="V32" i="28"/>
  <c r="V31" i="28"/>
  <c r="V30" i="28"/>
  <c r="V29" i="28"/>
  <c r="V28" i="28"/>
  <c r="V27" i="28"/>
  <c r="V26" i="28"/>
  <c r="V21" i="28"/>
  <c r="V16" i="28"/>
  <c r="V25" i="28"/>
  <c r="V20" i="28"/>
  <c r="V15" i="28"/>
  <c r="V24" i="28"/>
  <c r="V23" i="28"/>
  <c r="V22" i="28"/>
  <c r="V19" i="28"/>
  <c r="V18" i="28"/>
  <c r="V17" i="28"/>
  <c r="V14" i="28"/>
  <c r="V13" i="28"/>
  <c r="V12" i="28"/>
  <c r="V11" i="28"/>
  <c r="V9" i="28"/>
  <c r="V10" i="28"/>
  <c r="V8" i="28"/>
  <c r="V7" i="28"/>
  <c r="V6" i="28"/>
  <c r="V5" i="28"/>
  <c r="J11" i="28"/>
  <c r="J10" i="28"/>
  <c r="J6" i="28"/>
  <c r="J5" i="28"/>
  <c r="I3" i="27"/>
  <c r="I2" i="27" s="1"/>
  <c r="B2" i="27"/>
  <c r="C2" i="27"/>
  <c r="D2" i="27"/>
  <c r="E2" i="27"/>
  <c r="F2" i="27"/>
  <c r="G2" i="27"/>
  <c r="H2" i="27"/>
  <c r="J2" i="27"/>
  <c r="K2" i="27"/>
  <c r="L2" i="27"/>
  <c r="B11" i="27"/>
  <c r="P11" i="5" l="1"/>
  <c r="R11" i="5" s="1"/>
  <c r="P10" i="5"/>
  <c r="R10" i="5" s="1"/>
  <c r="P9" i="5"/>
  <c r="R9" i="5" s="1"/>
  <c r="F44" i="5"/>
  <c r="E44" i="5"/>
  <c r="D44" i="5"/>
  <c r="F26" i="5"/>
  <c r="E26" i="5"/>
  <c r="D26" i="5"/>
  <c r="F25" i="5"/>
  <c r="E25" i="5"/>
  <c r="D25" i="5"/>
  <c r="F24" i="5"/>
  <c r="E24" i="5"/>
  <c r="D24" i="5"/>
  <c r="D13" i="5"/>
  <c r="F39" i="5"/>
  <c r="F17" i="5"/>
  <c r="F16" i="5"/>
  <c r="F12" i="5"/>
  <c r="F11" i="5"/>
  <c r="M15" i="5"/>
  <c r="M7" i="5"/>
  <c r="D36" i="5" s="1"/>
  <c r="L5" i="26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T13" i="21"/>
  <c r="S13" i="21"/>
  <c r="Y13" i="21" s="1"/>
  <c r="AG13" i="21" s="1"/>
  <c r="R13" i="21"/>
  <c r="AE12" i="21"/>
  <c r="AD12" i="21"/>
  <c r="AE8" i="21"/>
  <c r="AD8" i="21"/>
  <c r="AC8" i="21"/>
  <c r="AB8" i="21"/>
  <c r="AA8" i="21"/>
  <c r="W8" i="21"/>
  <c r="AJ8" i="21" s="1"/>
  <c r="V8" i="21"/>
  <c r="U8" i="21"/>
  <c r="AI8" i="21" s="1"/>
  <c r="T8" i="21"/>
  <c r="S8" i="21"/>
  <c r="Y8" i="21" s="1"/>
  <c r="R8" i="21"/>
  <c r="X8" i="21" s="1"/>
  <c r="AE6" i="21"/>
  <c r="AD6" i="21"/>
  <c r="AC6" i="21"/>
  <c r="AB6" i="21"/>
  <c r="AA6" i="21"/>
  <c r="W6" i="21"/>
  <c r="AJ6" i="21" s="1"/>
  <c r="V6" i="21"/>
  <c r="U6" i="21"/>
  <c r="T6" i="21"/>
  <c r="S6" i="21"/>
  <c r="Y6" i="21" s="1"/>
  <c r="AG6" i="21" s="1"/>
  <c r="R6" i="21"/>
  <c r="AE5" i="21"/>
  <c r="AD5" i="21"/>
  <c r="AC5" i="21"/>
  <c r="AB5" i="21"/>
  <c r="AA5" i="21"/>
  <c r="W5" i="21"/>
  <c r="V5" i="21"/>
  <c r="U5" i="21"/>
  <c r="AI5" i="21" s="1"/>
  <c r="T5" i="21"/>
  <c r="S5" i="21"/>
  <c r="R5" i="21"/>
  <c r="AE4" i="21"/>
  <c r="AD4" i="21"/>
  <c r="AC4" i="21"/>
  <c r="AB4" i="21"/>
  <c r="AA4" i="21"/>
  <c r="W4" i="21"/>
  <c r="V4" i="21"/>
  <c r="U4" i="21"/>
  <c r="AI4" i="21" s="1"/>
  <c r="T4" i="21"/>
  <c r="S4" i="21"/>
  <c r="Y4" i="21" s="1"/>
  <c r="R4" i="21"/>
  <c r="X4" i="21" s="1"/>
  <c r="AF4" i="21" s="1"/>
  <c r="AE3" i="21"/>
  <c r="AD3" i="21"/>
  <c r="AC3" i="21"/>
  <c r="AB3" i="21"/>
  <c r="AA3" i="21"/>
  <c r="W3" i="21"/>
  <c r="V3" i="21"/>
  <c r="U3" i="21"/>
  <c r="AI3" i="21" s="1"/>
  <c r="T3" i="21"/>
  <c r="S3" i="21"/>
  <c r="R3" i="21"/>
  <c r="X3" i="21" s="1"/>
  <c r="AF3" i="21" s="1"/>
  <c r="J471" i="21"/>
  <c r="M471" i="21" s="1"/>
  <c r="J470" i="21"/>
  <c r="J469" i="21"/>
  <c r="M469" i="21" s="1"/>
  <c r="J468" i="21"/>
  <c r="M468" i="21" s="1"/>
  <c r="J467" i="21"/>
  <c r="M467" i="21" s="1"/>
  <c r="J466" i="21"/>
  <c r="M466" i="21" s="1"/>
  <c r="J465" i="21"/>
  <c r="M465" i="21" s="1"/>
  <c r="J464" i="21"/>
  <c r="M464" i="21" s="1"/>
  <c r="J463" i="21"/>
  <c r="J462" i="21"/>
  <c r="J461" i="21"/>
  <c r="M461" i="21" s="1"/>
  <c r="J460" i="21"/>
  <c r="M460" i="21" s="1"/>
  <c r="J459" i="21"/>
  <c r="J223" i="21"/>
  <c r="J222" i="21"/>
  <c r="J221" i="21"/>
  <c r="M221" i="21" s="1"/>
  <c r="J220" i="21"/>
  <c r="J219" i="21"/>
  <c r="J218" i="21"/>
  <c r="M218" i="21" s="1"/>
  <c r="J217" i="21"/>
  <c r="M217" i="21" s="1"/>
  <c r="J216" i="21"/>
  <c r="J215" i="21"/>
  <c r="J214" i="21"/>
  <c r="L213" i="21"/>
  <c r="O213" i="21" s="1"/>
  <c r="K213" i="21"/>
  <c r="N213" i="21" s="1"/>
  <c r="L212" i="21"/>
  <c r="K212" i="21"/>
  <c r="N212" i="21" s="1"/>
  <c r="L211" i="21"/>
  <c r="O211" i="21" s="1"/>
  <c r="K211" i="21"/>
  <c r="L210" i="21"/>
  <c r="K210" i="21"/>
  <c r="L209" i="21"/>
  <c r="K209" i="21"/>
  <c r="N209" i="21" s="1"/>
  <c r="L208" i="21"/>
  <c r="K208" i="21"/>
  <c r="N208" i="21" s="1"/>
  <c r="L207" i="21"/>
  <c r="O207" i="21" s="1"/>
  <c r="K207" i="21"/>
  <c r="L206" i="21"/>
  <c r="K206" i="21"/>
  <c r="L205" i="21"/>
  <c r="K205" i="21"/>
  <c r="N205" i="21" s="1"/>
  <c r="L204" i="21"/>
  <c r="K204" i="21"/>
  <c r="N204" i="21" s="1"/>
  <c r="J203" i="21"/>
  <c r="M203" i="21" s="1"/>
  <c r="J202" i="21"/>
  <c r="J201" i="21"/>
  <c r="J200" i="21"/>
  <c r="J199" i="21"/>
  <c r="J198" i="21"/>
  <c r="M198" i="21" s="1"/>
  <c r="J197" i="21"/>
  <c r="J196" i="21"/>
  <c r="M196" i="21" s="1"/>
  <c r="J195" i="21"/>
  <c r="M195" i="21" s="1"/>
  <c r="J194" i="21"/>
  <c r="J483" i="21"/>
  <c r="M483" i="21" s="1"/>
  <c r="J482" i="21"/>
  <c r="M482" i="21" s="1"/>
  <c r="J481" i="21"/>
  <c r="M481" i="21" s="1"/>
  <c r="J480" i="21"/>
  <c r="M480" i="21" s="1"/>
  <c r="J479" i="21"/>
  <c r="M479" i="21" s="1"/>
  <c r="J478" i="21"/>
  <c r="M478" i="21" s="1"/>
  <c r="J477" i="21"/>
  <c r="M477" i="21" s="1"/>
  <c r="J476" i="21"/>
  <c r="M476" i="21" s="1"/>
  <c r="J475" i="21"/>
  <c r="M475" i="21" s="1"/>
  <c r="J474" i="21"/>
  <c r="M474" i="21" s="1"/>
  <c r="J473" i="21"/>
  <c r="M473" i="21" s="1"/>
  <c r="J472" i="21"/>
  <c r="M470" i="21"/>
  <c r="M463" i="21"/>
  <c r="M462" i="21"/>
  <c r="M459" i="21"/>
  <c r="J458" i="21"/>
  <c r="M458" i="21" s="1"/>
  <c r="J457" i="21"/>
  <c r="M457" i="21" s="1"/>
  <c r="J456" i="21"/>
  <c r="M456" i="21" s="1"/>
  <c r="M455" i="21"/>
  <c r="J455" i="21"/>
  <c r="J454" i="21"/>
  <c r="M454" i="21" s="1"/>
  <c r="J453" i="21"/>
  <c r="M453" i="21" s="1"/>
  <c r="J452" i="21"/>
  <c r="M452" i="21" s="1"/>
  <c r="J451" i="21"/>
  <c r="M451" i="21" s="1"/>
  <c r="J450" i="21"/>
  <c r="M450" i="21" s="1"/>
  <c r="M449" i="21"/>
  <c r="J449" i="21"/>
  <c r="J448" i="21"/>
  <c r="M448" i="21" s="1"/>
  <c r="M447" i="21"/>
  <c r="J447" i="21"/>
  <c r="J446" i="21"/>
  <c r="M446" i="21" s="1"/>
  <c r="J445" i="21"/>
  <c r="M445" i="21" s="1"/>
  <c r="J444" i="21"/>
  <c r="M444" i="21" s="1"/>
  <c r="M443" i="21"/>
  <c r="J443" i="21"/>
  <c r="J442" i="21"/>
  <c r="M442" i="21" s="1"/>
  <c r="M441" i="21"/>
  <c r="J441" i="21"/>
  <c r="J440" i="21"/>
  <c r="M440" i="21" s="1"/>
  <c r="J439" i="21"/>
  <c r="M439" i="21" s="1"/>
  <c r="J438" i="21"/>
  <c r="M438" i="21" s="1"/>
  <c r="M437" i="21"/>
  <c r="J437" i="21"/>
  <c r="J436" i="21"/>
  <c r="M436" i="21" s="1"/>
  <c r="J435" i="21"/>
  <c r="M435" i="21" s="1"/>
  <c r="J434" i="21"/>
  <c r="M434" i="21" s="1"/>
  <c r="M433" i="21"/>
  <c r="J433" i="21"/>
  <c r="J432" i="21"/>
  <c r="M432" i="21" s="1"/>
  <c r="M431" i="21"/>
  <c r="J431" i="21"/>
  <c r="J430" i="21"/>
  <c r="M430" i="21" s="1"/>
  <c r="J429" i="21"/>
  <c r="M429" i="21" s="1"/>
  <c r="J428" i="21"/>
  <c r="M428" i="21" s="1"/>
  <c r="J427" i="21"/>
  <c r="M427" i="21" s="1"/>
  <c r="J426" i="21"/>
  <c r="M426" i="21" s="1"/>
  <c r="J425" i="21"/>
  <c r="M425" i="21" s="1"/>
  <c r="J424" i="21"/>
  <c r="M424" i="21" s="1"/>
  <c r="M423" i="21"/>
  <c r="J423" i="21"/>
  <c r="J422" i="21"/>
  <c r="M422" i="21" s="1"/>
  <c r="J421" i="21"/>
  <c r="M421" i="21" s="1"/>
  <c r="J420" i="21"/>
  <c r="M420" i="21" s="1"/>
  <c r="J419" i="21"/>
  <c r="M419" i="21" s="1"/>
  <c r="J418" i="21"/>
  <c r="M418" i="21" s="1"/>
  <c r="M417" i="21"/>
  <c r="J417" i="21"/>
  <c r="M416" i="21"/>
  <c r="J416" i="21"/>
  <c r="M415" i="21"/>
  <c r="J415" i="21"/>
  <c r="J414" i="21"/>
  <c r="M414" i="21" s="1"/>
  <c r="J413" i="21"/>
  <c r="M413" i="21" s="1"/>
  <c r="J412" i="21"/>
  <c r="M412" i="21" s="1"/>
  <c r="J411" i="21"/>
  <c r="M411" i="21" s="1"/>
  <c r="J410" i="21"/>
  <c r="M410" i="21" s="1"/>
  <c r="M409" i="21"/>
  <c r="J409" i="21"/>
  <c r="J408" i="21"/>
  <c r="M408" i="21" s="1"/>
  <c r="M407" i="21"/>
  <c r="J407" i="21"/>
  <c r="J406" i="21"/>
  <c r="M406" i="21" s="1"/>
  <c r="J405" i="21"/>
  <c r="M405" i="21" s="1"/>
  <c r="M404" i="21"/>
  <c r="J404" i="21"/>
  <c r="J403" i="21"/>
  <c r="M403" i="21" s="1"/>
  <c r="J402" i="21"/>
  <c r="M402" i="21" s="1"/>
  <c r="J401" i="21"/>
  <c r="M401" i="21" s="1"/>
  <c r="M400" i="21"/>
  <c r="J400" i="21"/>
  <c r="M399" i="21"/>
  <c r="J399" i="21"/>
  <c r="J398" i="21"/>
  <c r="M398" i="21" s="1"/>
  <c r="J397" i="21"/>
  <c r="M397" i="21" s="1"/>
  <c r="J396" i="21"/>
  <c r="M396" i="21" s="1"/>
  <c r="J395" i="21"/>
  <c r="M395" i="21" s="1"/>
  <c r="J394" i="21"/>
  <c r="M394" i="21" s="1"/>
  <c r="M393" i="21"/>
  <c r="J393" i="21"/>
  <c r="J392" i="21"/>
  <c r="M392" i="21" s="1"/>
  <c r="J391" i="21"/>
  <c r="M391" i="21" s="1"/>
  <c r="J390" i="21"/>
  <c r="M390" i="21" s="1"/>
  <c r="J389" i="21"/>
  <c r="M389" i="21" s="1"/>
  <c r="J388" i="21"/>
  <c r="M388" i="21" s="1"/>
  <c r="M387" i="21"/>
  <c r="J387" i="21"/>
  <c r="J386" i="21"/>
  <c r="M386" i="21" s="1"/>
  <c r="J385" i="21"/>
  <c r="M385" i="21" s="1"/>
  <c r="J384" i="21"/>
  <c r="M384" i="21" s="1"/>
  <c r="J383" i="21"/>
  <c r="M383" i="21" s="1"/>
  <c r="J382" i="21"/>
  <c r="M382" i="21" s="1"/>
  <c r="M381" i="21"/>
  <c r="J381" i="21"/>
  <c r="J380" i="21"/>
  <c r="M380" i="21" s="1"/>
  <c r="J379" i="21"/>
  <c r="M379" i="21" s="1"/>
  <c r="J378" i="21"/>
  <c r="M378" i="21" s="1"/>
  <c r="J377" i="21"/>
  <c r="M377" i="21" s="1"/>
  <c r="M376" i="21"/>
  <c r="J376" i="21"/>
  <c r="J375" i="21"/>
  <c r="M375" i="21" s="1"/>
  <c r="M374" i="21"/>
  <c r="J374" i="21"/>
  <c r="J373" i="21"/>
  <c r="M373" i="21" s="1"/>
  <c r="M372" i="21"/>
  <c r="J372" i="21"/>
  <c r="J371" i="21"/>
  <c r="M371" i="21" s="1"/>
  <c r="J370" i="21"/>
  <c r="M370" i="21" s="1"/>
  <c r="J369" i="21"/>
  <c r="M369" i="21" s="1"/>
  <c r="M368" i="21"/>
  <c r="J368" i="21"/>
  <c r="J367" i="21"/>
  <c r="M367" i="21" s="1"/>
  <c r="M366" i="21"/>
  <c r="J366" i="21"/>
  <c r="J365" i="21"/>
  <c r="M365" i="21" s="1"/>
  <c r="J364" i="21"/>
  <c r="M364" i="21" s="1"/>
  <c r="J363" i="21"/>
  <c r="M363" i="21" s="1"/>
  <c r="J362" i="21"/>
  <c r="M362" i="21" s="1"/>
  <c r="J361" i="21"/>
  <c r="M361" i="21" s="1"/>
  <c r="J360" i="21"/>
  <c r="M360" i="21" s="1"/>
  <c r="J359" i="21"/>
  <c r="M359" i="21" s="1"/>
  <c r="J358" i="21"/>
  <c r="M358" i="21" s="1"/>
  <c r="J357" i="21"/>
  <c r="M357" i="21" s="1"/>
  <c r="J356" i="21"/>
  <c r="M356" i="21" s="1"/>
  <c r="J355" i="21"/>
  <c r="M355" i="21" s="1"/>
  <c r="J354" i="21"/>
  <c r="M354" i="21" s="1"/>
  <c r="J353" i="21"/>
  <c r="M353" i="21" s="1"/>
  <c r="J352" i="21"/>
  <c r="M352" i="21" s="1"/>
  <c r="J351" i="21"/>
  <c r="M351" i="21" s="1"/>
  <c r="J350" i="21"/>
  <c r="M350" i="21" s="1"/>
  <c r="J349" i="21"/>
  <c r="M349" i="21" s="1"/>
  <c r="J348" i="21"/>
  <c r="M348" i="21" s="1"/>
  <c r="J347" i="21"/>
  <c r="M347" i="21" s="1"/>
  <c r="M346" i="21"/>
  <c r="J346" i="21"/>
  <c r="J345" i="21"/>
  <c r="M345" i="21" s="1"/>
  <c r="J344" i="21"/>
  <c r="M344" i="21" s="1"/>
  <c r="M343" i="21"/>
  <c r="J343" i="21"/>
  <c r="J342" i="21"/>
  <c r="M342" i="21" s="1"/>
  <c r="J341" i="21"/>
  <c r="M341" i="21" s="1"/>
  <c r="J340" i="21"/>
  <c r="M340" i="21" s="1"/>
  <c r="J339" i="21"/>
  <c r="M339" i="21" s="1"/>
  <c r="J338" i="21"/>
  <c r="M338" i="21" s="1"/>
  <c r="J337" i="21"/>
  <c r="M337" i="21" s="1"/>
  <c r="M336" i="21"/>
  <c r="J336" i="21"/>
  <c r="J335" i="21"/>
  <c r="M335" i="21" s="1"/>
  <c r="J334" i="21"/>
  <c r="M334" i="21" s="1"/>
  <c r="J333" i="21"/>
  <c r="M333" i="21" s="1"/>
  <c r="J332" i="21"/>
  <c r="M332" i="21" s="1"/>
  <c r="M331" i="21"/>
  <c r="J331" i="21"/>
  <c r="J330" i="21"/>
  <c r="M330" i="21" s="1"/>
  <c r="J329" i="21"/>
  <c r="M329" i="21" s="1"/>
  <c r="J328" i="21"/>
  <c r="M328" i="21" s="1"/>
  <c r="M327" i="21"/>
  <c r="J327" i="21"/>
  <c r="J326" i="21"/>
  <c r="M326" i="21" s="1"/>
  <c r="J325" i="21"/>
  <c r="M325" i="21" s="1"/>
  <c r="J324" i="21"/>
  <c r="M324" i="21" s="1"/>
  <c r="J323" i="21"/>
  <c r="M323" i="21" s="1"/>
  <c r="J322" i="21"/>
  <c r="M322" i="21" s="1"/>
  <c r="J321" i="21"/>
  <c r="M321" i="21" s="1"/>
  <c r="J320" i="21"/>
  <c r="M320" i="21" s="1"/>
  <c r="M319" i="21"/>
  <c r="J319" i="21"/>
  <c r="J318" i="21"/>
  <c r="M318" i="21" s="1"/>
  <c r="J317" i="21"/>
  <c r="M317" i="21" s="1"/>
  <c r="J316" i="21"/>
  <c r="M316" i="21" s="1"/>
  <c r="J315" i="21"/>
  <c r="M315" i="21" s="1"/>
  <c r="M314" i="21"/>
  <c r="J314" i="21"/>
  <c r="J313" i="21"/>
  <c r="M313" i="21" s="1"/>
  <c r="J312" i="21"/>
  <c r="M312" i="21" s="1"/>
  <c r="J311" i="21"/>
  <c r="M311" i="21" s="1"/>
  <c r="M310" i="21"/>
  <c r="J310" i="21"/>
  <c r="J309" i="21"/>
  <c r="M309" i="21" s="1"/>
  <c r="J308" i="21"/>
  <c r="M308" i="21" s="1"/>
  <c r="J307" i="21"/>
  <c r="M307" i="21" s="1"/>
  <c r="M306" i="21"/>
  <c r="J306" i="21"/>
  <c r="J305" i="21"/>
  <c r="M305" i="21" s="1"/>
  <c r="J304" i="21"/>
  <c r="M304" i="21" s="1"/>
  <c r="J303" i="21"/>
  <c r="M303" i="21" s="1"/>
  <c r="M302" i="21"/>
  <c r="J302" i="21"/>
  <c r="J301" i="21"/>
  <c r="M301" i="21" s="1"/>
  <c r="J300" i="21"/>
  <c r="M300" i="21" s="1"/>
  <c r="J299" i="21"/>
  <c r="M299" i="21" s="1"/>
  <c r="M298" i="21"/>
  <c r="J298" i="21"/>
  <c r="J297" i="21"/>
  <c r="M297" i="21" s="1"/>
  <c r="J296" i="21"/>
  <c r="M296" i="21" s="1"/>
  <c r="J295" i="21"/>
  <c r="M295" i="21" s="1"/>
  <c r="M294" i="21"/>
  <c r="J294" i="21"/>
  <c r="J293" i="21"/>
  <c r="M293" i="21" s="1"/>
  <c r="M292" i="21"/>
  <c r="J292" i="21"/>
  <c r="J291" i="21"/>
  <c r="M291" i="21" s="1"/>
  <c r="J290" i="21"/>
  <c r="M290" i="21" s="1"/>
  <c r="M289" i="21"/>
  <c r="J289" i="21"/>
  <c r="J288" i="21"/>
  <c r="M288" i="21" s="1"/>
  <c r="J287" i="21"/>
  <c r="M287" i="21" s="1"/>
  <c r="M286" i="21"/>
  <c r="J286" i="21"/>
  <c r="J285" i="21"/>
  <c r="M285" i="21" s="1"/>
  <c r="M284" i="21"/>
  <c r="J284" i="21"/>
  <c r="J283" i="21"/>
  <c r="M283" i="21" s="1"/>
  <c r="J282" i="21"/>
  <c r="M282" i="21" s="1"/>
  <c r="J281" i="21"/>
  <c r="M281" i="21" s="1"/>
  <c r="M280" i="21"/>
  <c r="J280" i="21"/>
  <c r="J279" i="21"/>
  <c r="M279" i="21" s="1"/>
  <c r="M278" i="21"/>
  <c r="J278" i="21"/>
  <c r="M277" i="21"/>
  <c r="J277" i="21"/>
  <c r="M276" i="21"/>
  <c r="J276" i="21"/>
  <c r="J275" i="21"/>
  <c r="M275" i="21" s="1"/>
  <c r="J274" i="21"/>
  <c r="M274" i="21" s="1"/>
  <c r="J273" i="21"/>
  <c r="M273" i="21" s="1"/>
  <c r="J272" i="21"/>
  <c r="M272" i="21" s="1"/>
  <c r="J271" i="21"/>
  <c r="M271" i="21" s="1"/>
  <c r="J270" i="21"/>
  <c r="M270" i="21" s="1"/>
  <c r="J269" i="21"/>
  <c r="M269" i="21" s="1"/>
  <c r="J268" i="21"/>
  <c r="M268" i="21" s="1"/>
  <c r="J267" i="21"/>
  <c r="M267" i="21" s="1"/>
  <c r="M266" i="21"/>
  <c r="J266" i="21"/>
  <c r="J265" i="21"/>
  <c r="M265" i="21" s="1"/>
  <c r="J264" i="21"/>
  <c r="M264" i="21" s="1"/>
  <c r="J263" i="21"/>
  <c r="M263" i="21" s="1"/>
  <c r="M262" i="21"/>
  <c r="J262" i="21"/>
  <c r="J261" i="21"/>
  <c r="M261" i="21" s="1"/>
  <c r="M260" i="21"/>
  <c r="J260" i="21"/>
  <c r="J259" i="21"/>
  <c r="M259" i="21" s="1"/>
  <c r="J258" i="21"/>
  <c r="M258" i="21" s="1"/>
  <c r="J257" i="21"/>
  <c r="M257" i="21" s="1"/>
  <c r="J256" i="21"/>
  <c r="M256" i="21" s="1"/>
  <c r="J255" i="21"/>
  <c r="M255" i="21" s="1"/>
  <c r="J254" i="21"/>
  <c r="M254" i="21" s="1"/>
  <c r="J253" i="21"/>
  <c r="M253" i="21" s="1"/>
  <c r="J252" i="21"/>
  <c r="M252" i="21" s="1"/>
  <c r="J251" i="21"/>
  <c r="M251" i="21" s="1"/>
  <c r="J250" i="21"/>
  <c r="M250" i="21" s="1"/>
  <c r="J249" i="21"/>
  <c r="M249" i="21" s="1"/>
  <c r="J248" i="21"/>
  <c r="M248" i="21" s="1"/>
  <c r="J247" i="21"/>
  <c r="M247" i="21" s="1"/>
  <c r="J246" i="21"/>
  <c r="M246" i="21" s="1"/>
  <c r="J245" i="21"/>
  <c r="M245" i="21" s="1"/>
  <c r="J244" i="21"/>
  <c r="M244" i="21" s="1"/>
  <c r="J243" i="21"/>
  <c r="M243" i="21" s="1"/>
  <c r="J242" i="21"/>
  <c r="M242" i="21" s="1"/>
  <c r="J241" i="21"/>
  <c r="M241" i="21" s="1"/>
  <c r="J240" i="21"/>
  <c r="M240" i="21" s="1"/>
  <c r="J239" i="21"/>
  <c r="M239" i="21" s="1"/>
  <c r="J238" i="21"/>
  <c r="M238" i="21" s="1"/>
  <c r="J237" i="21"/>
  <c r="M237" i="21" s="1"/>
  <c r="J236" i="21"/>
  <c r="M236" i="21" s="1"/>
  <c r="J235" i="21"/>
  <c r="M235" i="21" s="1"/>
  <c r="J234" i="21"/>
  <c r="M234" i="21" s="1"/>
  <c r="J233" i="21"/>
  <c r="M233" i="21" s="1"/>
  <c r="J232" i="21"/>
  <c r="M232" i="21" s="1"/>
  <c r="J231" i="21"/>
  <c r="M231" i="21" s="1"/>
  <c r="J230" i="21"/>
  <c r="M230" i="21" s="1"/>
  <c r="J229" i="21"/>
  <c r="M229" i="21" s="1"/>
  <c r="J228" i="21"/>
  <c r="M228" i="21" s="1"/>
  <c r="J227" i="21"/>
  <c r="M227" i="21" s="1"/>
  <c r="J226" i="21"/>
  <c r="M226" i="21" s="1"/>
  <c r="J225" i="21"/>
  <c r="M225" i="21" s="1"/>
  <c r="J224" i="21"/>
  <c r="M223" i="21"/>
  <c r="M222" i="21"/>
  <c r="M220" i="21"/>
  <c r="M219" i="21"/>
  <c r="M216" i="21"/>
  <c r="M215" i="21"/>
  <c r="M214" i="21"/>
  <c r="O212" i="21"/>
  <c r="N211" i="21"/>
  <c r="O210" i="21"/>
  <c r="N210" i="21"/>
  <c r="O209" i="21"/>
  <c r="O208" i="21"/>
  <c r="N207" i="21"/>
  <c r="O206" i="21"/>
  <c r="N206" i="21"/>
  <c r="O205" i="21"/>
  <c r="O204" i="21"/>
  <c r="M202" i="21"/>
  <c r="M201" i="21"/>
  <c r="M200" i="21"/>
  <c r="M199" i="21"/>
  <c r="M197" i="21"/>
  <c r="M194" i="21"/>
  <c r="J193" i="21"/>
  <c r="M193" i="21" s="1"/>
  <c r="J192" i="21"/>
  <c r="M192" i="21" s="1"/>
  <c r="J191" i="21"/>
  <c r="M191" i="21" s="1"/>
  <c r="J190" i="21"/>
  <c r="M190" i="21" s="1"/>
  <c r="J189" i="21"/>
  <c r="M189" i="21" s="1"/>
  <c r="J188" i="21"/>
  <c r="M188" i="21" s="1"/>
  <c r="J187" i="21"/>
  <c r="M187" i="21" s="1"/>
  <c r="M186" i="21"/>
  <c r="J186" i="21"/>
  <c r="J185" i="21"/>
  <c r="M185" i="21" s="1"/>
  <c r="J184" i="21"/>
  <c r="M184" i="21" s="1"/>
  <c r="J183" i="21"/>
  <c r="M183" i="21" s="1"/>
  <c r="M182" i="21"/>
  <c r="J182" i="21"/>
  <c r="J181" i="21"/>
  <c r="M181" i="21" s="1"/>
  <c r="J180" i="21"/>
  <c r="M180" i="21" s="1"/>
  <c r="J179" i="21"/>
  <c r="M179" i="21" s="1"/>
  <c r="M178" i="21"/>
  <c r="J178" i="21"/>
  <c r="J177" i="21"/>
  <c r="M177" i="21" s="1"/>
  <c r="J176" i="21"/>
  <c r="M176" i="21" s="1"/>
  <c r="J175" i="21"/>
  <c r="M175" i="21" s="1"/>
  <c r="J174" i="21"/>
  <c r="M174" i="21" s="1"/>
  <c r="J173" i="21"/>
  <c r="M173" i="21" s="1"/>
  <c r="J172" i="21"/>
  <c r="M172" i="21" s="1"/>
  <c r="J171" i="21"/>
  <c r="M171" i="21" s="1"/>
  <c r="J170" i="21"/>
  <c r="M170" i="21" s="1"/>
  <c r="L169" i="21"/>
  <c r="O169" i="21" s="1"/>
  <c r="K169" i="21"/>
  <c r="N169" i="21" s="1"/>
  <c r="L168" i="21"/>
  <c r="O168" i="21" s="1"/>
  <c r="K168" i="21"/>
  <c r="N168" i="21" s="1"/>
  <c r="N167" i="21"/>
  <c r="L167" i="21"/>
  <c r="O167" i="21" s="1"/>
  <c r="K167" i="21"/>
  <c r="N166" i="21"/>
  <c r="L166" i="21"/>
  <c r="O166" i="21" s="1"/>
  <c r="K166" i="21"/>
  <c r="L165" i="21"/>
  <c r="O165" i="21" s="1"/>
  <c r="K165" i="21"/>
  <c r="N165" i="21" s="1"/>
  <c r="L164" i="21"/>
  <c r="O164" i="21" s="1"/>
  <c r="K164" i="21"/>
  <c r="N164" i="21" s="1"/>
  <c r="N163" i="21"/>
  <c r="L163" i="21"/>
  <c r="O163" i="21" s="1"/>
  <c r="K163" i="21"/>
  <c r="N162" i="21"/>
  <c r="L162" i="21"/>
  <c r="O162" i="21" s="1"/>
  <c r="K162" i="21"/>
  <c r="L161" i="21"/>
  <c r="O161" i="21" s="1"/>
  <c r="K161" i="21"/>
  <c r="N161" i="21" s="1"/>
  <c r="N160" i="21"/>
  <c r="L160" i="21"/>
  <c r="O160" i="21" s="1"/>
  <c r="K160" i="21"/>
  <c r="O159" i="21"/>
  <c r="N159" i="21"/>
  <c r="L159" i="21"/>
  <c r="K159" i="21"/>
  <c r="N158" i="21"/>
  <c r="L158" i="21"/>
  <c r="O158" i="21" s="1"/>
  <c r="K158" i="21"/>
  <c r="L157" i="21"/>
  <c r="O157" i="21" s="1"/>
  <c r="K157" i="21"/>
  <c r="N157" i="21" s="1"/>
  <c r="L156" i="21"/>
  <c r="O156" i="21" s="1"/>
  <c r="K156" i="21"/>
  <c r="N156" i="21" s="1"/>
  <c r="O155" i="21"/>
  <c r="N155" i="21"/>
  <c r="L155" i="21"/>
  <c r="K155" i="21"/>
  <c r="N154" i="21"/>
  <c r="L154" i="21"/>
  <c r="O154" i="21" s="1"/>
  <c r="K154" i="21"/>
  <c r="L153" i="21"/>
  <c r="O153" i="21" s="1"/>
  <c r="K153" i="21"/>
  <c r="N153" i="21" s="1"/>
  <c r="N152" i="21"/>
  <c r="L152" i="21"/>
  <c r="O152" i="21" s="1"/>
  <c r="K152" i="21"/>
  <c r="N151" i="21"/>
  <c r="L151" i="21"/>
  <c r="O151" i="21" s="1"/>
  <c r="K151" i="21"/>
  <c r="N150" i="21"/>
  <c r="L150" i="21"/>
  <c r="O150" i="21" s="1"/>
  <c r="K150" i="21"/>
  <c r="L149" i="21"/>
  <c r="O149" i="21" s="1"/>
  <c r="K149" i="21"/>
  <c r="N149" i="21" s="1"/>
  <c r="L148" i="21"/>
  <c r="O148" i="21" s="1"/>
  <c r="K148" i="21"/>
  <c r="N148" i="21" s="1"/>
  <c r="O147" i="21"/>
  <c r="N147" i="21"/>
  <c r="L147" i="21"/>
  <c r="K147" i="21"/>
  <c r="N146" i="21"/>
  <c r="L146" i="21"/>
  <c r="O146" i="21" s="1"/>
  <c r="K146" i="21"/>
  <c r="J145" i="21"/>
  <c r="M145" i="21" s="1"/>
  <c r="J144" i="21"/>
  <c r="M144" i="21" s="1"/>
  <c r="J143" i="21"/>
  <c r="M143" i="21" s="1"/>
  <c r="J142" i="21"/>
  <c r="M142" i="21" s="1"/>
  <c r="J141" i="21"/>
  <c r="M141" i="21" s="1"/>
  <c r="J140" i="21"/>
  <c r="M140" i="21" s="1"/>
  <c r="J139" i="21"/>
  <c r="M139" i="21" s="1"/>
  <c r="J138" i="21"/>
  <c r="M138" i="21" s="1"/>
  <c r="J137" i="21"/>
  <c r="M137" i="21" s="1"/>
  <c r="J136" i="21"/>
  <c r="M136" i="21" s="1"/>
  <c r="J135" i="21"/>
  <c r="M135" i="21" s="1"/>
  <c r="J134" i="21"/>
  <c r="M134" i="21" s="1"/>
  <c r="J133" i="21"/>
  <c r="M133" i="21" s="1"/>
  <c r="J132" i="21"/>
  <c r="M132" i="21" s="1"/>
  <c r="M131" i="21"/>
  <c r="J131" i="21"/>
  <c r="J130" i="21"/>
  <c r="M130" i="21" s="1"/>
  <c r="J129" i="21"/>
  <c r="M129" i="21" s="1"/>
  <c r="J128" i="21"/>
  <c r="M128" i="21" s="1"/>
  <c r="J127" i="21"/>
  <c r="M127" i="21" s="1"/>
  <c r="M126" i="21"/>
  <c r="J126" i="21"/>
  <c r="J125" i="21"/>
  <c r="M125" i="21" s="1"/>
  <c r="J124" i="21"/>
  <c r="M124" i="21" s="1"/>
  <c r="J123" i="21"/>
  <c r="M123" i="21" s="1"/>
  <c r="J122" i="21"/>
  <c r="M122" i="21" s="1"/>
  <c r="L121" i="21"/>
  <c r="O121" i="21" s="1"/>
  <c r="J121" i="21"/>
  <c r="M121" i="21" s="1"/>
  <c r="L120" i="21"/>
  <c r="O120" i="21" s="1"/>
  <c r="J120" i="21"/>
  <c r="M120" i="21" s="1"/>
  <c r="L119" i="21"/>
  <c r="O119" i="21" s="1"/>
  <c r="J119" i="21"/>
  <c r="M119" i="21" s="1"/>
  <c r="L118" i="21"/>
  <c r="O118" i="21" s="1"/>
  <c r="J118" i="21"/>
  <c r="M118" i="21" s="1"/>
  <c r="L117" i="21"/>
  <c r="O117" i="21" s="1"/>
  <c r="J117" i="21"/>
  <c r="M117" i="21" s="1"/>
  <c r="L116" i="21"/>
  <c r="O116" i="21" s="1"/>
  <c r="J116" i="21"/>
  <c r="M116" i="21" s="1"/>
  <c r="L115" i="21"/>
  <c r="O115" i="21" s="1"/>
  <c r="J115" i="21"/>
  <c r="M115" i="21" s="1"/>
  <c r="L114" i="21"/>
  <c r="O114" i="21" s="1"/>
  <c r="J114" i="21"/>
  <c r="M114" i="21" s="1"/>
  <c r="L113" i="21"/>
  <c r="O113" i="21" s="1"/>
  <c r="J113" i="21"/>
  <c r="M113" i="21" s="1"/>
  <c r="L112" i="21"/>
  <c r="O112" i="21" s="1"/>
  <c r="J112" i="21"/>
  <c r="M112" i="21" s="1"/>
  <c r="L111" i="21"/>
  <c r="O111" i="21" s="1"/>
  <c r="J111" i="21"/>
  <c r="M111" i="21" s="1"/>
  <c r="L110" i="21"/>
  <c r="O110" i="21" s="1"/>
  <c r="J110" i="21"/>
  <c r="M110" i="21" s="1"/>
  <c r="L109" i="21"/>
  <c r="O109" i="21" s="1"/>
  <c r="K109" i="21"/>
  <c r="N109" i="21" s="1"/>
  <c r="L108" i="21"/>
  <c r="O108" i="21" s="1"/>
  <c r="K108" i="21"/>
  <c r="N108" i="21" s="1"/>
  <c r="L107" i="21"/>
  <c r="O107" i="21" s="1"/>
  <c r="K107" i="21"/>
  <c r="N107" i="21" s="1"/>
  <c r="N106" i="21"/>
  <c r="L106" i="21"/>
  <c r="O106" i="21" s="1"/>
  <c r="K106" i="21"/>
  <c r="L105" i="21"/>
  <c r="O105" i="21" s="1"/>
  <c r="K105" i="21"/>
  <c r="N105" i="21" s="1"/>
  <c r="L104" i="21"/>
  <c r="O104" i="21" s="1"/>
  <c r="K104" i="21"/>
  <c r="N104" i="21" s="1"/>
  <c r="O103" i="21"/>
  <c r="L103" i="21"/>
  <c r="K103" i="21"/>
  <c r="N103" i="21" s="1"/>
  <c r="L102" i="21"/>
  <c r="O102" i="21" s="1"/>
  <c r="K102" i="21"/>
  <c r="N102" i="21" s="1"/>
  <c r="L101" i="21"/>
  <c r="O101" i="21" s="1"/>
  <c r="K101" i="21"/>
  <c r="N101" i="21" s="1"/>
  <c r="L100" i="21"/>
  <c r="O100" i="21" s="1"/>
  <c r="K100" i="21"/>
  <c r="N100" i="21" s="1"/>
  <c r="L99" i="21"/>
  <c r="O99" i="21" s="1"/>
  <c r="K99" i="21"/>
  <c r="N99" i="21" s="1"/>
  <c r="L98" i="21"/>
  <c r="O98" i="21" s="1"/>
  <c r="K98" i="21"/>
  <c r="N98" i="21" s="1"/>
  <c r="L97" i="21"/>
  <c r="O97" i="21" s="1"/>
  <c r="J97" i="21"/>
  <c r="M97" i="21" s="1"/>
  <c r="L96" i="21"/>
  <c r="O96" i="21" s="1"/>
  <c r="J96" i="21"/>
  <c r="M96" i="21" s="1"/>
  <c r="O95" i="21"/>
  <c r="L95" i="21"/>
  <c r="J95" i="21"/>
  <c r="M95" i="21" s="1"/>
  <c r="M94" i="21"/>
  <c r="L94" i="21"/>
  <c r="O94" i="21" s="1"/>
  <c r="J94" i="21"/>
  <c r="L93" i="21"/>
  <c r="O93" i="21" s="1"/>
  <c r="J93" i="21"/>
  <c r="M93" i="21" s="1"/>
  <c r="O92" i="21"/>
  <c r="L92" i="21"/>
  <c r="J92" i="21"/>
  <c r="M92" i="21" s="1"/>
  <c r="O91" i="21"/>
  <c r="L91" i="21"/>
  <c r="J91" i="21"/>
  <c r="M91" i="21" s="1"/>
  <c r="M90" i="21"/>
  <c r="L90" i="21"/>
  <c r="O90" i="21" s="1"/>
  <c r="J90" i="21"/>
  <c r="O89" i="21"/>
  <c r="L89" i="21"/>
  <c r="J89" i="21"/>
  <c r="M89" i="21" s="1"/>
  <c r="L88" i="21"/>
  <c r="O88" i="21" s="1"/>
  <c r="J88" i="21"/>
  <c r="M88" i="21" s="1"/>
  <c r="L87" i="21"/>
  <c r="O87" i="21" s="1"/>
  <c r="J87" i="21"/>
  <c r="M87" i="21" s="1"/>
  <c r="L86" i="21"/>
  <c r="O86" i="21" s="1"/>
  <c r="J86" i="21"/>
  <c r="M86" i="21" s="1"/>
  <c r="L85" i="21"/>
  <c r="O85" i="21" s="1"/>
  <c r="K85" i="21"/>
  <c r="N85" i="21" s="1"/>
  <c r="O84" i="21"/>
  <c r="L84" i="21"/>
  <c r="K84" i="21"/>
  <c r="N84" i="21" s="1"/>
  <c r="L83" i="21"/>
  <c r="O83" i="21" s="1"/>
  <c r="K83" i="21"/>
  <c r="N83" i="21" s="1"/>
  <c r="L82" i="21"/>
  <c r="O82" i="21" s="1"/>
  <c r="K82" i="21"/>
  <c r="N82" i="21" s="1"/>
  <c r="O81" i="21"/>
  <c r="L81" i="21"/>
  <c r="K81" i="21"/>
  <c r="N81" i="21" s="1"/>
  <c r="O80" i="21"/>
  <c r="L80" i="21"/>
  <c r="K80" i="21"/>
  <c r="N80" i="21" s="1"/>
  <c r="L79" i="21"/>
  <c r="O79" i="21" s="1"/>
  <c r="K79" i="21"/>
  <c r="N79" i="21" s="1"/>
  <c r="L78" i="21"/>
  <c r="O78" i="21" s="1"/>
  <c r="K78" i="21"/>
  <c r="N78" i="21" s="1"/>
  <c r="L77" i="21"/>
  <c r="O77" i="21" s="1"/>
  <c r="K77" i="21"/>
  <c r="N77" i="21" s="1"/>
  <c r="O76" i="21"/>
  <c r="L76" i="21"/>
  <c r="K76" i="21"/>
  <c r="N76" i="21" s="1"/>
  <c r="L75" i="21"/>
  <c r="O75" i="21" s="1"/>
  <c r="K75" i="21"/>
  <c r="N75" i="21" s="1"/>
  <c r="L74" i="21"/>
  <c r="O74" i="21" s="1"/>
  <c r="K74" i="21"/>
  <c r="N74" i="21" s="1"/>
  <c r="O73" i="21"/>
  <c r="L73" i="21"/>
  <c r="K73" i="21"/>
  <c r="N73" i="21" s="1"/>
  <c r="O72" i="21"/>
  <c r="L72" i="21"/>
  <c r="K72" i="21"/>
  <c r="N72" i="21" s="1"/>
  <c r="L71" i="21"/>
  <c r="O71" i="21" s="1"/>
  <c r="K71" i="21"/>
  <c r="N71" i="21" s="1"/>
  <c r="L70" i="21"/>
  <c r="O70" i="21" s="1"/>
  <c r="K70" i="21"/>
  <c r="N70" i="21" s="1"/>
  <c r="L69" i="21"/>
  <c r="O69" i="21" s="1"/>
  <c r="K69" i="21"/>
  <c r="N69" i="21" s="1"/>
  <c r="O68" i="21"/>
  <c r="L68" i="21"/>
  <c r="K68" i="21"/>
  <c r="N68" i="21" s="1"/>
  <c r="O67" i="21"/>
  <c r="L67" i="21"/>
  <c r="K67" i="21"/>
  <c r="N67" i="21" s="1"/>
  <c r="O66" i="21"/>
  <c r="N66" i="21"/>
  <c r="L66" i="21"/>
  <c r="K66" i="21"/>
  <c r="L65" i="21"/>
  <c r="O65" i="21" s="1"/>
  <c r="K65" i="21"/>
  <c r="N65" i="21" s="1"/>
  <c r="L64" i="21"/>
  <c r="O64" i="21" s="1"/>
  <c r="K64" i="21"/>
  <c r="N64" i="21" s="1"/>
  <c r="L63" i="21"/>
  <c r="O63" i="21" s="1"/>
  <c r="K63" i="21"/>
  <c r="N63" i="21" s="1"/>
  <c r="O62" i="21"/>
  <c r="N62" i="21"/>
  <c r="L62" i="21"/>
  <c r="K62" i="21"/>
  <c r="L61" i="21"/>
  <c r="O61" i="21" s="1"/>
  <c r="K61" i="21"/>
  <c r="N61" i="21" s="1"/>
  <c r="O60" i="21"/>
  <c r="L60" i="21"/>
  <c r="K60" i="21"/>
  <c r="N60" i="21" s="1"/>
  <c r="O59" i="21"/>
  <c r="L59" i="21"/>
  <c r="K59" i="21"/>
  <c r="N59" i="21" s="1"/>
  <c r="O58" i="21"/>
  <c r="N58" i="21"/>
  <c r="L58" i="21"/>
  <c r="K58" i="21"/>
  <c r="L57" i="21"/>
  <c r="O57" i="21" s="1"/>
  <c r="K57" i="21"/>
  <c r="N57" i="21" s="1"/>
  <c r="L56" i="21"/>
  <c r="O56" i="21" s="1"/>
  <c r="K56" i="21"/>
  <c r="N56" i="21" s="1"/>
  <c r="L55" i="21"/>
  <c r="O55" i="21" s="1"/>
  <c r="K55" i="21"/>
  <c r="N55" i="21" s="1"/>
  <c r="O54" i="21"/>
  <c r="N54" i="21"/>
  <c r="L54" i="21"/>
  <c r="K54" i="21"/>
  <c r="L53" i="21"/>
  <c r="O53" i="21" s="1"/>
  <c r="K53" i="21"/>
  <c r="N53" i="21" s="1"/>
  <c r="O52" i="21"/>
  <c r="L52" i="21"/>
  <c r="K52" i="21"/>
  <c r="N52" i="21" s="1"/>
  <c r="O51" i="21"/>
  <c r="L51" i="21"/>
  <c r="K51" i="21"/>
  <c r="N51" i="21" s="1"/>
  <c r="O50" i="21"/>
  <c r="N50" i="21"/>
  <c r="L50" i="21"/>
  <c r="K50" i="21"/>
  <c r="L49" i="21"/>
  <c r="O49" i="21" s="1"/>
  <c r="K49" i="21"/>
  <c r="N49" i="21" s="1"/>
  <c r="L48" i="21"/>
  <c r="O48" i="21" s="1"/>
  <c r="K48" i="21"/>
  <c r="N48" i="21" s="1"/>
  <c r="L47" i="21"/>
  <c r="O47" i="21" s="1"/>
  <c r="K47" i="21"/>
  <c r="N47" i="21" s="1"/>
  <c r="O46" i="21"/>
  <c r="N46" i="21"/>
  <c r="L46" i="21"/>
  <c r="K46" i="21"/>
  <c r="L45" i="21"/>
  <c r="O45" i="21" s="1"/>
  <c r="K45" i="21"/>
  <c r="N45" i="21" s="1"/>
  <c r="O44" i="21"/>
  <c r="L44" i="21"/>
  <c r="K44" i="21"/>
  <c r="N44" i="21" s="1"/>
  <c r="O43" i="21"/>
  <c r="L43" i="21"/>
  <c r="K43" i="21"/>
  <c r="N43" i="21" s="1"/>
  <c r="O42" i="21"/>
  <c r="N42" i="21"/>
  <c r="L42" i="21"/>
  <c r="K42" i="21"/>
  <c r="L41" i="21"/>
  <c r="O41" i="21" s="1"/>
  <c r="K41" i="21"/>
  <c r="N41" i="21" s="1"/>
  <c r="L40" i="21"/>
  <c r="O40" i="21" s="1"/>
  <c r="K40" i="21"/>
  <c r="N40" i="21" s="1"/>
  <c r="L39" i="21"/>
  <c r="O39" i="21" s="1"/>
  <c r="K39" i="21"/>
  <c r="N39" i="21" s="1"/>
  <c r="O38" i="21"/>
  <c r="N38" i="21"/>
  <c r="L38" i="21"/>
  <c r="K38" i="21"/>
  <c r="L37" i="21"/>
  <c r="O37" i="21" s="1"/>
  <c r="K37" i="21"/>
  <c r="N37" i="21" s="1"/>
  <c r="O36" i="21"/>
  <c r="L36" i="21"/>
  <c r="K36" i="21"/>
  <c r="N36" i="21" s="1"/>
  <c r="O35" i="21"/>
  <c r="L35" i="21"/>
  <c r="K35" i="21"/>
  <c r="N35" i="21" s="1"/>
  <c r="O34" i="21"/>
  <c r="N34" i="21"/>
  <c r="L34" i="21"/>
  <c r="K34" i="21"/>
  <c r="L33" i="21"/>
  <c r="O33" i="21" s="1"/>
  <c r="K33" i="21"/>
  <c r="N33" i="21" s="1"/>
  <c r="L32" i="21"/>
  <c r="O32" i="21" s="1"/>
  <c r="K32" i="21"/>
  <c r="N32" i="21" s="1"/>
  <c r="L31" i="21"/>
  <c r="O31" i="21" s="1"/>
  <c r="K31" i="21"/>
  <c r="N31" i="21" s="1"/>
  <c r="O30" i="21"/>
  <c r="N30" i="21"/>
  <c r="L30" i="21"/>
  <c r="K30" i="21"/>
  <c r="L29" i="21"/>
  <c r="O29" i="21" s="1"/>
  <c r="K29" i="21"/>
  <c r="N29" i="21" s="1"/>
  <c r="O28" i="21"/>
  <c r="L28" i="21"/>
  <c r="K28" i="21"/>
  <c r="N28" i="21" s="1"/>
  <c r="O27" i="21"/>
  <c r="L27" i="21"/>
  <c r="K27" i="21"/>
  <c r="N27" i="21" s="1"/>
  <c r="O26" i="21"/>
  <c r="N26" i="21"/>
  <c r="L26" i="21"/>
  <c r="K26" i="21"/>
  <c r="X471" i="16"/>
  <c r="W471" i="16"/>
  <c r="X470" i="16"/>
  <c r="W470" i="16"/>
  <c r="X469" i="16"/>
  <c r="W469" i="16"/>
  <c r="X468" i="16"/>
  <c r="W468" i="16"/>
  <c r="X467" i="16"/>
  <c r="W467" i="16"/>
  <c r="X466" i="16"/>
  <c r="W466" i="16"/>
  <c r="X465" i="16"/>
  <c r="W465" i="16"/>
  <c r="X464" i="16"/>
  <c r="W464" i="16"/>
  <c r="X463" i="16"/>
  <c r="W463" i="16"/>
  <c r="X462" i="16"/>
  <c r="W462" i="16"/>
  <c r="X461" i="16"/>
  <c r="W461" i="16"/>
  <c r="X460" i="16"/>
  <c r="W460" i="16"/>
  <c r="X459" i="16"/>
  <c r="W459" i="16"/>
  <c r="AD275" i="17"/>
  <c r="X275" i="17"/>
  <c r="W275" i="17"/>
  <c r="AD274" i="17"/>
  <c r="X274" i="17"/>
  <c r="W274" i="17"/>
  <c r="AD273" i="17"/>
  <c r="X273" i="17"/>
  <c r="W273" i="17"/>
  <c r="AD272" i="17"/>
  <c r="X272" i="17"/>
  <c r="W272" i="17"/>
  <c r="AD271" i="17"/>
  <c r="X271" i="17"/>
  <c r="W271" i="17"/>
  <c r="AD270" i="17"/>
  <c r="X270" i="17"/>
  <c r="W270" i="17"/>
  <c r="AD269" i="17"/>
  <c r="X269" i="17"/>
  <c r="W269" i="17"/>
  <c r="AD268" i="17"/>
  <c r="X268" i="17"/>
  <c r="W268" i="17"/>
  <c r="AD267" i="17"/>
  <c r="X267" i="17"/>
  <c r="W267" i="17"/>
  <c r="AD266" i="17"/>
  <c r="X266" i="17"/>
  <c r="W266" i="17"/>
  <c r="AD265" i="17"/>
  <c r="X265" i="17"/>
  <c r="W265" i="17"/>
  <c r="AD264" i="17"/>
  <c r="X264" i="17"/>
  <c r="W264" i="17"/>
  <c r="AD263" i="17"/>
  <c r="AD11" i="21" s="1"/>
  <c r="X263" i="17"/>
  <c r="W263" i="17"/>
  <c r="X223" i="16"/>
  <c r="W223" i="16"/>
  <c r="X222" i="16"/>
  <c r="W222" i="16"/>
  <c r="X221" i="16"/>
  <c r="W221" i="16"/>
  <c r="X220" i="16"/>
  <c r="W220" i="16"/>
  <c r="X219" i="16"/>
  <c r="W219" i="16"/>
  <c r="X218" i="16"/>
  <c r="W218" i="16"/>
  <c r="X217" i="16"/>
  <c r="W217" i="16"/>
  <c r="X216" i="16"/>
  <c r="W216" i="16"/>
  <c r="X215" i="16"/>
  <c r="W215" i="16"/>
  <c r="X214" i="16"/>
  <c r="W214" i="16"/>
  <c r="V213" i="16"/>
  <c r="V212" i="16"/>
  <c r="V211" i="16"/>
  <c r="V210" i="16"/>
  <c r="V209" i="16"/>
  <c r="V208" i="16"/>
  <c r="V207" i="16"/>
  <c r="V206" i="16"/>
  <c r="V205" i="16"/>
  <c r="V204" i="16"/>
  <c r="X203" i="16"/>
  <c r="W203" i="16"/>
  <c r="X202" i="16"/>
  <c r="W202" i="16"/>
  <c r="X201" i="16"/>
  <c r="W201" i="16"/>
  <c r="X200" i="16"/>
  <c r="W200" i="16"/>
  <c r="X199" i="16"/>
  <c r="W199" i="16"/>
  <c r="X198" i="16"/>
  <c r="W198" i="16"/>
  <c r="X197" i="16"/>
  <c r="W197" i="16"/>
  <c r="X196" i="16"/>
  <c r="W196" i="16"/>
  <c r="X195" i="16"/>
  <c r="W195" i="16"/>
  <c r="X194" i="16"/>
  <c r="W194" i="16"/>
  <c r="AD127" i="17"/>
  <c r="X127" i="17"/>
  <c r="AC127" i="17" s="1"/>
  <c r="W127" i="17"/>
  <c r="AD126" i="17"/>
  <c r="X126" i="17"/>
  <c r="AC126" i="17" s="1"/>
  <c r="W126" i="17"/>
  <c r="AD125" i="17"/>
  <c r="X125" i="17"/>
  <c r="AC125" i="17" s="1"/>
  <c r="W125" i="17"/>
  <c r="AD124" i="17"/>
  <c r="X124" i="17"/>
  <c r="AC124" i="17" s="1"/>
  <c r="W124" i="17"/>
  <c r="AD123" i="17"/>
  <c r="X123" i="17"/>
  <c r="AC123" i="17" s="1"/>
  <c r="W123" i="17"/>
  <c r="AD122" i="17"/>
  <c r="X122" i="17"/>
  <c r="AC122" i="17" s="1"/>
  <c r="W122" i="17"/>
  <c r="AD121" i="17"/>
  <c r="X121" i="17"/>
  <c r="AC121" i="17" s="1"/>
  <c r="W121" i="17"/>
  <c r="AD120" i="17"/>
  <c r="X120" i="17"/>
  <c r="AC120" i="17" s="1"/>
  <c r="W120" i="17"/>
  <c r="AD119" i="17"/>
  <c r="X119" i="17"/>
  <c r="AC119" i="17" s="1"/>
  <c r="W119" i="17"/>
  <c r="AD118" i="17"/>
  <c r="X118" i="17"/>
  <c r="AC118" i="17" s="1"/>
  <c r="W118" i="17"/>
  <c r="AE117" i="17"/>
  <c r="V117" i="17"/>
  <c r="AB117" i="17" s="1"/>
  <c r="AE116" i="17"/>
  <c r="V116" i="17"/>
  <c r="AB116" i="17" s="1"/>
  <c r="AE115" i="17"/>
  <c r="AB115" i="17"/>
  <c r="V115" i="17"/>
  <c r="AE114" i="17"/>
  <c r="V114" i="17"/>
  <c r="AB114" i="17" s="1"/>
  <c r="AE113" i="17"/>
  <c r="V113" i="17"/>
  <c r="AB113" i="17" s="1"/>
  <c r="AE112" i="17"/>
  <c r="V112" i="17"/>
  <c r="AB112" i="17" s="1"/>
  <c r="AE111" i="17"/>
  <c r="V111" i="17"/>
  <c r="AB111" i="17" s="1"/>
  <c r="AE110" i="17"/>
  <c r="AC110" i="17"/>
  <c r="V110" i="17"/>
  <c r="AB110" i="17" s="1"/>
  <c r="AE109" i="17"/>
  <c r="V109" i="17"/>
  <c r="AB109" i="17" s="1"/>
  <c r="AE108" i="17"/>
  <c r="V108" i="17"/>
  <c r="AB108" i="17" s="1"/>
  <c r="AD107" i="17"/>
  <c r="X107" i="17"/>
  <c r="W107" i="17"/>
  <c r="AD106" i="17"/>
  <c r="X106" i="17"/>
  <c r="W106" i="17"/>
  <c r="AD105" i="17"/>
  <c r="X105" i="17"/>
  <c r="W105" i="17"/>
  <c r="AD104" i="17"/>
  <c r="X104" i="17"/>
  <c r="W104" i="17"/>
  <c r="AD103" i="17"/>
  <c r="X103" i="17"/>
  <c r="W103" i="17"/>
  <c r="AD102" i="17"/>
  <c r="X102" i="17"/>
  <c r="W102" i="17"/>
  <c r="AD101" i="17"/>
  <c r="X101" i="17"/>
  <c r="W101" i="17"/>
  <c r="AD100" i="17"/>
  <c r="X100" i="17"/>
  <c r="W100" i="17"/>
  <c r="AD99" i="17"/>
  <c r="X99" i="17"/>
  <c r="W99" i="17"/>
  <c r="AD98" i="17"/>
  <c r="X98" i="17"/>
  <c r="W98" i="17"/>
  <c r="M40" i="5"/>
  <c r="M39" i="5"/>
  <c r="M38" i="5"/>
  <c r="AJ9" i="17"/>
  <c r="AI9" i="17"/>
  <c r="AJ4" i="17"/>
  <c r="AI4" i="17"/>
  <c r="AD262" i="17"/>
  <c r="AD261" i="17"/>
  <c r="AD260" i="17"/>
  <c r="AD259" i="17"/>
  <c r="AD258" i="17"/>
  <c r="AD257" i="17"/>
  <c r="AD256" i="17"/>
  <c r="AD255" i="17"/>
  <c r="AD254" i="17"/>
  <c r="AD253" i="17"/>
  <c r="AD252" i="17"/>
  <c r="AD251" i="17"/>
  <c r="AD250" i="17"/>
  <c r="AD249" i="17"/>
  <c r="AD248" i="17"/>
  <c r="AD247" i="17"/>
  <c r="AD246" i="17"/>
  <c r="AD245" i="17"/>
  <c r="AD244" i="17"/>
  <c r="AD243" i="17"/>
  <c r="AD242" i="17"/>
  <c r="AD241" i="17"/>
  <c r="AD240" i="17"/>
  <c r="AD239" i="17"/>
  <c r="AD238" i="17"/>
  <c r="AD237" i="17"/>
  <c r="AD236" i="17"/>
  <c r="AD235" i="17"/>
  <c r="AD234" i="17"/>
  <c r="AD233" i="17"/>
  <c r="AD232" i="17"/>
  <c r="AD231" i="17"/>
  <c r="AD230" i="17"/>
  <c r="AD229" i="17"/>
  <c r="AD228" i="17"/>
  <c r="AD227" i="17"/>
  <c r="AD226" i="17"/>
  <c r="AD225" i="17"/>
  <c r="AD224" i="17"/>
  <c r="AD223" i="17"/>
  <c r="AD222" i="17"/>
  <c r="AD221" i="17"/>
  <c r="AD220" i="17"/>
  <c r="AD219" i="17"/>
  <c r="AD218" i="17"/>
  <c r="AD217" i="17"/>
  <c r="AD216" i="17"/>
  <c r="AD215" i="17"/>
  <c r="AD214" i="17"/>
  <c r="AD213" i="17"/>
  <c r="AD212" i="17"/>
  <c r="AD211" i="17"/>
  <c r="AD210" i="17"/>
  <c r="AD209" i="17"/>
  <c r="AD208" i="17"/>
  <c r="AD207" i="17"/>
  <c r="AD206" i="17"/>
  <c r="AD205" i="17"/>
  <c r="AD204" i="17"/>
  <c r="AD203" i="17"/>
  <c r="AD202" i="17"/>
  <c r="AD201" i="17"/>
  <c r="AD200" i="17"/>
  <c r="AD199" i="17"/>
  <c r="AD198" i="17"/>
  <c r="AD197" i="17"/>
  <c r="AD196" i="17"/>
  <c r="AD195" i="17"/>
  <c r="AD194" i="17"/>
  <c r="AD193" i="17"/>
  <c r="AD192" i="17"/>
  <c r="AD191" i="17"/>
  <c r="AD190" i="17"/>
  <c r="AD189" i="17"/>
  <c r="AD188" i="17"/>
  <c r="AD187" i="17"/>
  <c r="AD186" i="17"/>
  <c r="AD185" i="17"/>
  <c r="AD184" i="17"/>
  <c r="AD183" i="17"/>
  <c r="AD182" i="17"/>
  <c r="AD181" i="17"/>
  <c r="AD180" i="17"/>
  <c r="AD179" i="17"/>
  <c r="AD178" i="17"/>
  <c r="AD177" i="17"/>
  <c r="AD10" i="21" s="1"/>
  <c r="AD176" i="17"/>
  <c r="AD175" i="17"/>
  <c r="AD174" i="17"/>
  <c r="AD173" i="17"/>
  <c r="AD172" i="17"/>
  <c r="AD171" i="17"/>
  <c r="AD170" i="17"/>
  <c r="AD169" i="17"/>
  <c r="AD168" i="17"/>
  <c r="AD167" i="17"/>
  <c r="AD166" i="17"/>
  <c r="AD165" i="17"/>
  <c r="AD164" i="17"/>
  <c r="AD163" i="17"/>
  <c r="AD162" i="17"/>
  <c r="AD161" i="17"/>
  <c r="AD160" i="17"/>
  <c r="AD159" i="17"/>
  <c r="AD158" i="17"/>
  <c r="AD157" i="17"/>
  <c r="AD156" i="17"/>
  <c r="AD155" i="17"/>
  <c r="AD154" i="17"/>
  <c r="AD153" i="17"/>
  <c r="AD152" i="17"/>
  <c r="AD151" i="17"/>
  <c r="AD150" i="17"/>
  <c r="AD149" i="17"/>
  <c r="AD148" i="17"/>
  <c r="AD147" i="17"/>
  <c r="AD146" i="17"/>
  <c r="AD145" i="17"/>
  <c r="AD144" i="17"/>
  <c r="AD143" i="17"/>
  <c r="AD142" i="17"/>
  <c r="AD141" i="17"/>
  <c r="AD140" i="17"/>
  <c r="AD139" i="17"/>
  <c r="AD138" i="17"/>
  <c r="AD137" i="17"/>
  <c r="AD136" i="17"/>
  <c r="AD135" i="17"/>
  <c r="AD134" i="17"/>
  <c r="AD133" i="17"/>
  <c r="AD132" i="17"/>
  <c r="AD131" i="17"/>
  <c r="AD130" i="17"/>
  <c r="AD129" i="17"/>
  <c r="AD12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E85" i="17"/>
  <c r="AE84" i="17"/>
  <c r="AE83" i="17"/>
  <c r="AE82" i="17"/>
  <c r="AE81" i="17"/>
  <c r="AE80" i="17"/>
  <c r="AE79" i="17"/>
  <c r="AE78" i="17"/>
  <c r="AE77" i="17"/>
  <c r="AE76" i="17"/>
  <c r="AE75" i="17"/>
  <c r="AE74" i="17"/>
  <c r="AD73" i="17"/>
  <c r="AD72" i="17"/>
  <c r="AD71" i="17"/>
  <c r="AD70" i="17"/>
  <c r="AD69" i="17"/>
  <c r="AD68" i="17"/>
  <c r="AD67" i="17"/>
  <c r="AD66" i="17"/>
  <c r="AD65" i="17"/>
  <c r="AD64" i="17"/>
  <c r="AD63" i="17"/>
  <c r="AD62" i="17"/>
  <c r="AB62" i="17"/>
  <c r="AE61" i="17"/>
  <c r="AE60" i="17"/>
  <c r="AE59" i="17"/>
  <c r="AE58" i="17"/>
  <c r="AE57" i="17"/>
  <c r="AE56" i="17"/>
  <c r="AE55" i="17"/>
  <c r="AE54" i="17"/>
  <c r="AE53" i="17"/>
  <c r="AE52" i="17"/>
  <c r="AE51" i="17"/>
  <c r="AE50" i="17"/>
  <c r="AE49" i="17"/>
  <c r="AE48" i="17"/>
  <c r="AE47" i="17"/>
  <c r="AE46" i="17"/>
  <c r="AE45" i="17"/>
  <c r="AE44" i="17"/>
  <c r="AE43" i="17"/>
  <c r="AE42" i="17"/>
  <c r="AE41" i="17"/>
  <c r="AE40" i="17"/>
  <c r="AE39" i="17"/>
  <c r="AE38" i="17"/>
  <c r="AE37" i="17"/>
  <c r="AE36" i="17"/>
  <c r="AE35" i="17"/>
  <c r="AE34" i="17"/>
  <c r="AE33" i="17"/>
  <c r="AE32" i="17"/>
  <c r="AE31" i="17"/>
  <c r="AE30" i="17"/>
  <c r="AE29" i="17"/>
  <c r="AE28" i="17"/>
  <c r="AE27" i="17"/>
  <c r="AE26" i="17"/>
  <c r="AE25" i="17"/>
  <c r="AE24" i="17"/>
  <c r="AE23" i="17"/>
  <c r="AE22" i="17"/>
  <c r="AE21" i="17"/>
  <c r="AE20" i="17"/>
  <c r="AE19" i="17"/>
  <c r="AE18" i="17"/>
  <c r="AE17" i="17"/>
  <c r="AE16" i="17"/>
  <c r="AE15" i="17"/>
  <c r="AE14" i="17"/>
  <c r="AE13" i="17"/>
  <c r="AE12" i="17"/>
  <c r="AE11" i="17"/>
  <c r="AE10" i="17"/>
  <c r="AE9" i="17"/>
  <c r="AE8" i="17"/>
  <c r="AE7" i="17"/>
  <c r="AE6" i="17"/>
  <c r="AE5" i="17"/>
  <c r="AE4" i="17"/>
  <c r="AE3" i="17"/>
  <c r="AE2" i="17"/>
  <c r="V275" i="17"/>
  <c r="AB275" i="17" s="1"/>
  <c r="V274" i="17"/>
  <c r="AB274" i="17" s="1"/>
  <c r="V273" i="17"/>
  <c r="AB273" i="17" s="1"/>
  <c r="V272" i="17"/>
  <c r="AB272" i="17" s="1"/>
  <c r="V271" i="17"/>
  <c r="AB271" i="17" s="1"/>
  <c r="V270" i="17"/>
  <c r="AB270" i="17" s="1"/>
  <c r="V269" i="17"/>
  <c r="AB269" i="17" s="1"/>
  <c r="V268" i="17"/>
  <c r="AB268" i="17" s="1"/>
  <c r="V267" i="17"/>
  <c r="AB267" i="17" s="1"/>
  <c r="V266" i="17"/>
  <c r="AB266" i="17" s="1"/>
  <c r="V265" i="17"/>
  <c r="AB265" i="17" s="1"/>
  <c r="V264" i="17"/>
  <c r="AB264" i="17" s="1"/>
  <c r="V263" i="17"/>
  <c r="AB263" i="17" s="1"/>
  <c r="X262" i="17"/>
  <c r="W262" i="17"/>
  <c r="V262" i="17"/>
  <c r="AB262" i="17" s="1"/>
  <c r="X261" i="17"/>
  <c r="W261" i="17"/>
  <c r="V261" i="17"/>
  <c r="AB261" i="17" s="1"/>
  <c r="X260" i="17"/>
  <c r="W260" i="17"/>
  <c r="V260" i="17"/>
  <c r="AB260" i="17" s="1"/>
  <c r="X259" i="17"/>
  <c r="W259" i="17"/>
  <c r="V259" i="17"/>
  <c r="AB259" i="17" s="1"/>
  <c r="X258" i="17"/>
  <c r="W258" i="17"/>
  <c r="V258" i="17"/>
  <c r="AB258" i="17" s="1"/>
  <c r="X257" i="17"/>
  <c r="W257" i="17"/>
  <c r="V257" i="17"/>
  <c r="AB257" i="17" s="1"/>
  <c r="X256" i="17"/>
  <c r="W256" i="17"/>
  <c r="V256" i="17"/>
  <c r="AB256" i="17" s="1"/>
  <c r="X255" i="17"/>
  <c r="W255" i="17"/>
  <c r="V255" i="17"/>
  <c r="AB255" i="17" s="1"/>
  <c r="X254" i="17"/>
  <c r="W254" i="17"/>
  <c r="V254" i="17"/>
  <c r="AB254" i="17" s="1"/>
  <c r="X253" i="17"/>
  <c r="W253" i="17"/>
  <c r="V253" i="17"/>
  <c r="AB253" i="17" s="1"/>
  <c r="X252" i="17"/>
  <c r="W252" i="17"/>
  <c r="V252" i="17"/>
  <c r="AB252" i="17" s="1"/>
  <c r="X251" i="17"/>
  <c r="W251" i="17"/>
  <c r="V251" i="17"/>
  <c r="AB251" i="17" s="1"/>
  <c r="X250" i="17"/>
  <c r="W250" i="17"/>
  <c r="V250" i="17"/>
  <c r="AB250" i="17" s="1"/>
  <c r="X249" i="17"/>
  <c r="W249" i="17"/>
  <c r="V249" i="17"/>
  <c r="AB249" i="17" s="1"/>
  <c r="X248" i="17"/>
  <c r="W248" i="17"/>
  <c r="V248" i="17"/>
  <c r="AB248" i="17" s="1"/>
  <c r="X247" i="17"/>
  <c r="W247" i="17"/>
  <c r="V247" i="17"/>
  <c r="AB247" i="17" s="1"/>
  <c r="X246" i="17"/>
  <c r="W246" i="17"/>
  <c r="V246" i="17"/>
  <c r="AB246" i="17" s="1"/>
  <c r="X245" i="17"/>
  <c r="W245" i="17"/>
  <c r="V245" i="17"/>
  <c r="AB245" i="17" s="1"/>
  <c r="X244" i="17"/>
  <c r="W244" i="17"/>
  <c r="V244" i="17"/>
  <c r="AB244" i="17" s="1"/>
  <c r="X243" i="17"/>
  <c r="W243" i="17"/>
  <c r="V243" i="17"/>
  <c r="AB243" i="17" s="1"/>
  <c r="X242" i="17"/>
  <c r="W242" i="17"/>
  <c r="V242" i="17"/>
  <c r="AB242" i="17" s="1"/>
  <c r="X241" i="17"/>
  <c r="W241" i="17"/>
  <c r="V241" i="17"/>
  <c r="AB241" i="17" s="1"/>
  <c r="X240" i="17"/>
  <c r="W240" i="17"/>
  <c r="V240" i="17"/>
  <c r="AB240" i="17" s="1"/>
  <c r="X239" i="17"/>
  <c r="W239" i="17"/>
  <c r="V239" i="17"/>
  <c r="AB239" i="17" s="1"/>
  <c r="X238" i="17"/>
  <c r="W238" i="17"/>
  <c r="V238" i="17"/>
  <c r="AB238" i="17" s="1"/>
  <c r="X237" i="17"/>
  <c r="W237" i="17"/>
  <c r="V237" i="17"/>
  <c r="AB237" i="17" s="1"/>
  <c r="X236" i="17"/>
  <c r="W236" i="17"/>
  <c r="V236" i="17"/>
  <c r="AB236" i="17" s="1"/>
  <c r="X235" i="17"/>
  <c r="W235" i="17"/>
  <c r="V235" i="17"/>
  <c r="AB235" i="17" s="1"/>
  <c r="X234" i="17"/>
  <c r="W234" i="17"/>
  <c r="V234" i="17"/>
  <c r="AB234" i="17" s="1"/>
  <c r="X233" i="17"/>
  <c r="W233" i="17"/>
  <c r="V233" i="17"/>
  <c r="AB233" i="17" s="1"/>
  <c r="X232" i="17"/>
  <c r="W232" i="17"/>
  <c r="V232" i="17"/>
  <c r="AB232" i="17" s="1"/>
  <c r="X231" i="17"/>
  <c r="W231" i="17"/>
  <c r="V231" i="17"/>
  <c r="AB231" i="17" s="1"/>
  <c r="X230" i="17"/>
  <c r="W230" i="17"/>
  <c r="V230" i="17"/>
  <c r="AB230" i="17" s="1"/>
  <c r="X229" i="17"/>
  <c r="W229" i="17"/>
  <c r="V229" i="17"/>
  <c r="AB229" i="17" s="1"/>
  <c r="X228" i="17"/>
  <c r="W228" i="17"/>
  <c r="V228" i="17"/>
  <c r="AB228" i="17" s="1"/>
  <c r="X227" i="17"/>
  <c r="W227" i="17"/>
  <c r="V227" i="17"/>
  <c r="AB227" i="17" s="1"/>
  <c r="X226" i="17"/>
  <c r="W226" i="17"/>
  <c r="V226" i="17"/>
  <c r="AB226" i="17" s="1"/>
  <c r="X225" i="17"/>
  <c r="W225" i="17"/>
  <c r="V225" i="17"/>
  <c r="AB225" i="17" s="1"/>
  <c r="X224" i="17"/>
  <c r="W224" i="17"/>
  <c r="V224" i="17"/>
  <c r="AB224" i="17" s="1"/>
  <c r="X223" i="17"/>
  <c r="W223" i="17"/>
  <c r="V223" i="17"/>
  <c r="AB223" i="17" s="1"/>
  <c r="X222" i="17"/>
  <c r="W222" i="17"/>
  <c r="V222" i="17"/>
  <c r="AB222" i="17" s="1"/>
  <c r="X221" i="17"/>
  <c r="W221" i="17"/>
  <c r="V221" i="17"/>
  <c r="AB221" i="17" s="1"/>
  <c r="X220" i="17"/>
  <c r="W220" i="17"/>
  <c r="V220" i="17"/>
  <c r="AB220" i="17" s="1"/>
  <c r="X219" i="17"/>
  <c r="W219" i="17"/>
  <c r="V219" i="17"/>
  <c r="AB219" i="17" s="1"/>
  <c r="X218" i="17"/>
  <c r="W218" i="17"/>
  <c r="V218" i="17"/>
  <c r="AB218" i="17" s="1"/>
  <c r="X217" i="17"/>
  <c r="W217" i="17"/>
  <c r="V217" i="17"/>
  <c r="AB217" i="17" s="1"/>
  <c r="X216" i="17"/>
  <c r="W216" i="17"/>
  <c r="V216" i="17"/>
  <c r="AB216" i="17" s="1"/>
  <c r="X215" i="17"/>
  <c r="W215" i="17"/>
  <c r="V215" i="17"/>
  <c r="AB215" i="17" s="1"/>
  <c r="X214" i="17"/>
  <c r="W214" i="17"/>
  <c r="V214" i="17"/>
  <c r="AB214" i="17" s="1"/>
  <c r="X213" i="17"/>
  <c r="W213" i="17"/>
  <c r="V213" i="17"/>
  <c r="AB213" i="17" s="1"/>
  <c r="X212" i="17"/>
  <c r="W212" i="17"/>
  <c r="V212" i="17"/>
  <c r="AB212" i="17" s="1"/>
  <c r="X211" i="17"/>
  <c r="W211" i="17"/>
  <c r="V211" i="17"/>
  <c r="AB211" i="17" s="1"/>
  <c r="X210" i="17"/>
  <c r="W210" i="17"/>
  <c r="V210" i="17"/>
  <c r="AB210" i="17" s="1"/>
  <c r="X209" i="17"/>
  <c r="W209" i="17"/>
  <c r="V209" i="17"/>
  <c r="AB209" i="17" s="1"/>
  <c r="X208" i="17"/>
  <c r="W208" i="17"/>
  <c r="V208" i="17"/>
  <c r="AB208" i="17" s="1"/>
  <c r="X207" i="17"/>
  <c r="W207" i="17"/>
  <c r="V207" i="17"/>
  <c r="AB207" i="17" s="1"/>
  <c r="X206" i="17"/>
  <c r="W206" i="17"/>
  <c r="V206" i="17"/>
  <c r="AB206" i="17" s="1"/>
  <c r="X205" i="17"/>
  <c r="W205" i="17"/>
  <c r="V205" i="17"/>
  <c r="AB205" i="17" s="1"/>
  <c r="X204" i="17"/>
  <c r="W204" i="17"/>
  <c r="V204" i="17"/>
  <c r="AB204" i="17" s="1"/>
  <c r="X203" i="17"/>
  <c r="W203" i="17"/>
  <c r="V203" i="17"/>
  <c r="AB203" i="17" s="1"/>
  <c r="X202" i="17"/>
  <c r="W202" i="17"/>
  <c r="V202" i="17"/>
  <c r="AB202" i="17" s="1"/>
  <c r="X201" i="17"/>
  <c r="W201" i="17"/>
  <c r="V201" i="17"/>
  <c r="AB201" i="17" s="1"/>
  <c r="X200" i="17"/>
  <c r="W200" i="17"/>
  <c r="V200" i="17"/>
  <c r="AB200" i="17" s="1"/>
  <c r="X199" i="17"/>
  <c r="W199" i="17"/>
  <c r="V199" i="17"/>
  <c r="AB199" i="17" s="1"/>
  <c r="X198" i="17"/>
  <c r="W198" i="17"/>
  <c r="V198" i="17"/>
  <c r="AB198" i="17" s="1"/>
  <c r="X197" i="17"/>
  <c r="W197" i="17"/>
  <c r="V197" i="17"/>
  <c r="AB197" i="17" s="1"/>
  <c r="X196" i="17"/>
  <c r="W196" i="17"/>
  <c r="V196" i="17"/>
  <c r="AB196" i="17" s="1"/>
  <c r="X195" i="17"/>
  <c r="W195" i="17"/>
  <c r="V195" i="17"/>
  <c r="AB195" i="17" s="1"/>
  <c r="X194" i="17"/>
  <c r="W194" i="17"/>
  <c r="V194" i="17"/>
  <c r="AB194" i="17" s="1"/>
  <c r="X193" i="17"/>
  <c r="W193" i="17"/>
  <c r="V193" i="17"/>
  <c r="AB193" i="17" s="1"/>
  <c r="X192" i="17"/>
  <c r="W192" i="17"/>
  <c r="V192" i="17"/>
  <c r="AB192" i="17" s="1"/>
  <c r="X191" i="17"/>
  <c r="W191" i="17"/>
  <c r="V191" i="17"/>
  <c r="AB191" i="17" s="1"/>
  <c r="X190" i="17"/>
  <c r="W190" i="17"/>
  <c r="V190" i="17"/>
  <c r="AB190" i="17" s="1"/>
  <c r="X189" i="17"/>
  <c r="W189" i="17"/>
  <c r="V189" i="17"/>
  <c r="AB189" i="17" s="1"/>
  <c r="X188" i="17"/>
  <c r="W188" i="17"/>
  <c r="V188" i="17"/>
  <c r="AB188" i="17" s="1"/>
  <c r="X187" i="17"/>
  <c r="W187" i="17"/>
  <c r="V187" i="17"/>
  <c r="AB187" i="17" s="1"/>
  <c r="X186" i="17"/>
  <c r="W186" i="17"/>
  <c r="V186" i="17"/>
  <c r="AB186" i="17" s="1"/>
  <c r="X185" i="17"/>
  <c r="W185" i="17"/>
  <c r="V185" i="17"/>
  <c r="AB185" i="17" s="1"/>
  <c r="X184" i="17"/>
  <c r="W184" i="17"/>
  <c r="V184" i="17"/>
  <c r="AB184" i="17" s="1"/>
  <c r="X183" i="17"/>
  <c r="W183" i="17"/>
  <c r="V183" i="17"/>
  <c r="AB183" i="17" s="1"/>
  <c r="X182" i="17"/>
  <c r="W182" i="17"/>
  <c r="V182" i="17"/>
  <c r="AB182" i="17" s="1"/>
  <c r="X181" i="17"/>
  <c r="W181" i="17"/>
  <c r="V181" i="17"/>
  <c r="AB181" i="17" s="1"/>
  <c r="X180" i="17"/>
  <c r="W180" i="17"/>
  <c r="V180" i="17"/>
  <c r="AB180" i="17" s="1"/>
  <c r="X179" i="17"/>
  <c r="W179" i="17"/>
  <c r="V179" i="17"/>
  <c r="AB179" i="17" s="1"/>
  <c r="X178" i="17"/>
  <c r="W178" i="17"/>
  <c r="V178" i="17"/>
  <c r="AB178" i="17" s="1"/>
  <c r="X177" i="17"/>
  <c r="W177" i="17"/>
  <c r="V177" i="17"/>
  <c r="AB177" i="17" s="1"/>
  <c r="X176" i="17"/>
  <c r="W176" i="17"/>
  <c r="V176" i="17"/>
  <c r="AB176" i="17" s="1"/>
  <c r="X175" i="17"/>
  <c r="W175" i="17"/>
  <c r="V175" i="17"/>
  <c r="AB175" i="17" s="1"/>
  <c r="X174" i="17"/>
  <c r="W174" i="17"/>
  <c r="V174" i="17"/>
  <c r="AB174" i="17" s="1"/>
  <c r="X173" i="17"/>
  <c r="W173" i="17"/>
  <c r="V173" i="17"/>
  <c r="AB173" i="17" s="1"/>
  <c r="X172" i="17"/>
  <c r="W172" i="17"/>
  <c r="V172" i="17"/>
  <c r="AB172" i="17" s="1"/>
  <c r="X171" i="17"/>
  <c r="W171" i="17"/>
  <c r="V171" i="17"/>
  <c r="AB171" i="17" s="1"/>
  <c r="X170" i="17"/>
  <c r="W170" i="17"/>
  <c r="V170" i="17"/>
  <c r="AB170" i="17" s="1"/>
  <c r="X169" i="17"/>
  <c r="W169" i="17"/>
  <c r="V169" i="17"/>
  <c r="AB169" i="17" s="1"/>
  <c r="X168" i="17"/>
  <c r="W168" i="17"/>
  <c r="V168" i="17"/>
  <c r="AB168" i="17" s="1"/>
  <c r="X167" i="17"/>
  <c r="W167" i="17"/>
  <c r="V167" i="17"/>
  <c r="AB167" i="17" s="1"/>
  <c r="X166" i="17"/>
  <c r="W166" i="17"/>
  <c r="V166" i="17"/>
  <c r="AB166" i="17" s="1"/>
  <c r="X165" i="17"/>
  <c r="W165" i="17"/>
  <c r="V165" i="17"/>
  <c r="AB165" i="17" s="1"/>
  <c r="X164" i="17"/>
  <c r="W164" i="17"/>
  <c r="V164" i="17"/>
  <c r="AB164" i="17" s="1"/>
  <c r="X163" i="17"/>
  <c r="W163" i="17"/>
  <c r="V163" i="17"/>
  <c r="AB163" i="17" s="1"/>
  <c r="X162" i="17"/>
  <c r="W162" i="17"/>
  <c r="V162" i="17"/>
  <c r="AB162" i="17" s="1"/>
  <c r="X161" i="17"/>
  <c r="W161" i="17"/>
  <c r="V161" i="17"/>
  <c r="AB161" i="17" s="1"/>
  <c r="X160" i="17"/>
  <c r="W160" i="17"/>
  <c r="V160" i="17"/>
  <c r="AB160" i="17" s="1"/>
  <c r="X159" i="17"/>
  <c r="W159" i="17"/>
  <c r="V159" i="17"/>
  <c r="AB159" i="17" s="1"/>
  <c r="X158" i="17"/>
  <c r="W158" i="17"/>
  <c r="V158" i="17"/>
  <c r="AB158" i="17" s="1"/>
  <c r="X157" i="17"/>
  <c r="W157" i="17"/>
  <c r="V157" i="17"/>
  <c r="AB157" i="17" s="1"/>
  <c r="X156" i="17"/>
  <c r="W156" i="17"/>
  <c r="V156" i="17"/>
  <c r="AB156" i="17" s="1"/>
  <c r="X155" i="17"/>
  <c r="W155" i="17"/>
  <c r="V155" i="17"/>
  <c r="AB155" i="17" s="1"/>
  <c r="X154" i="17"/>
  <c r="W154" i="17"/>
  <c r="V154" i="17"/>
  <c r="AB154" i="17" s="1"/>
  <c r="X153" i="17"/>
  <c r="W153" i="17"/>
  <c r="V153" i="17"/>
  <c r="AB153" i="17" s="1"/>
  <c r="X152" i="17"/>
  <c r="W152" i="17"/>
  <c r="V152" i="17"/>
  <c r="AB152" i="17" s="1"/>
  <c r="X151" i="17"/>
  <c r="W151" i="17"/>
  <c r="V151" i="17"/>
  <c r="AB151" i="17" s="1"/>
  <c r="X150" i="17"/>
  <c r="W150" i="17"/>
  <c r="V150" i="17"/>
  <c r="AB150" i="17" s="1"/>
  <c r="X149" i="17"/>
  <c r="W149" i="17"/>
  <c r="V149" i="17"/>
  <c r="AB149" i="17" s="1"/>
  <c r="X148" i="17"/>
  <c r="W148" i="17"/>
  <c r="V148" i="17"/>
  <c r="AB148" i="17" s="1"/>
  <c r="X147" i="17"/>
  <c r="W147" i="17"/>
  <c r="V147" i="17"/>
  <c r="AB147" i="17" s="1"/>
  <c r="X146" i="17"/>
  <c r="W146" i="17"/>
  <c r="V146" i="17"/>
  <c r="AB146" i="17" s="1"/>
  <c r="X145" i="17"/>
  <c r="W145" i="17"/>
  <c r="AC145" i="17" s="1"/>
  <c r="V145" i="17"/>
  <c r="AB145" i="17" s="1"/>
  <c r="X144" i="17"/>
  <c r="W144" i="17"/>
  <c r="V144" i="17"/>
  <c r="AB144" i="17" s="1"/>
  <c r="X143" i="17"/>
  <c r="W143" i="17"/>
  <c r="V143" i="17"/>
  <c r="AB143" i="17" s="1"/>
  <c r="X142" i="17"/>
  <c r="W142" i="17"/>
  <c r="V142" i="17"/>
  <c r="AB142" i="17" s="1"/>
  <c r="X141" i="17"/>
  <c r="W141" i="17"/>
  <c r="V141" i="17"/>
  <c r="AB141" i="17" s="1"/>
  <c r="X140" i="17"/>
  <c r="W140" i="17"/>
  <c r="V140" i="17"/>
  <c r="AB140" i="17" s="1"/>
  <c r="X139" i="17"/>
  <c r="W139" i="17"/>
  <c r="V139" i="17"/>
  <c r="AB139" i="17" s="1"/>
  <c r="X138" i="17"/>
  <c r="W138" i="17"/>
  <c r="V138" i="17"/>
  <c r="AB138" i="17" s="1"/>
  <c r="X137" i="17"/>
  <c r="W137" i="17"/>
  <c r="AC137" i="17" s="1"/>
  <c r="V137" i="17"/>
  <c r="AB137" i="17" s="1"/>
  <c r="X136" i="17"/>
  <c r="W136" i="17"/>
  <c r="V136" i="17"/>
  <c r="AB136" i="17" s="1"/>
  <c r="X135" i="17"/>
  <c r="W135" i="17"/>
  <c r="V135" i="17"/>
  <c r="AB135" i="17" s="1"/>
  <c r="X134" i="17"/>
  <c r="W134" i="17"/>
  <c r="V134" i="17"/>
  <c r="AB134" i="17" s="1"/>
  <c r="X133" i="17"/>
  <c r="W133" i="17"/>
  <c r="V133" i="17"/>
  <c r="AB133" i="17" s="1"/>
  <c r="X132" i="17"/>
  <c r="W132" i="17"/>
  <c r="V132" i="17"/>
  <c r="AB132" i="17" s="1"/>
  <c r="X131" i="17"/>
  <c r="W131" i="17"/>
  <c r="V131" i="17"/>
  <c r="AB131" i="17" s="1"/>
  <c r="X130" i="17"/>
  <c r="W130" i="17"/>
  <c r="V130" i="17"/>
  <c r="AB130" i="17" s="1"/>
  <c r="X129" i="17"/>
  <c r="W129" i="17"/>
  <c r="AC129" i="17" s="1"/>
  <c r="V129" i="17"/>
  <c r="AB129" i="17" s="1"/>
  <c r="X128" i="17"/>
  <c r="W128" i="17"/>
  <c r="V128" i="17"/>
  <c r="AB128" i="17" s="1"/>
  <c r="V127" i="17"/>
  <c r="AB127" i="17" s="1"/>
  <c r="V126" i="17"/>
  <c r="AB126" i="17" s="1"/>
  <c r="V125" i="17"/>
  <c r="AB125" i="17" s="1"/>
  <c r="V124" i="17"/>
  <c r="AB124" i="17" s="1"/>
  <c r="V123" i="17"/>
  <c r="AB123" i="17" s="1"/>
  <c r="V122" i="17"/>
  <c r="AB122" i="17" s="1"/>
  <c r="V121" i="17"/>
  <c r="AB121" i="17" s="1"/>
  <c r="V120" i="17"/>
  <c r="AB120" i="17" s="1"/>
  <c r="V119" i="17"/>
  <c r="AB119" i="17" s="1"/>
  <c r="V118" i="17"/>
  <c r="AB118" i="17" s="1"/>
  <c r="X117" i="17"/>
  <c r="W117" i="17"/>
  <c r="AC117" i="17" s="1"/>
  <c r="X116" i="17"/>
  <c r="W116" i="17"/>
  <c r="AC116" i="17" s="1"/>
  <c r="X115" i="17"/>
  <c r="W115" i="17"/>
  <c r="AC115" i="17" s="1"/>
  <c r="X114" i="17"/>
  <c r="W114" i="17"/>
  <c r="AC114" i="17" s="1"/>
  <c r="X113" i="17"/>
  <c r="W113" i="17"/>
  <c r="AC113" i="17" s="1"/>
  <c r="X112" i="17"/>
  <c r="W112" i="17"/>
  <c r="AC112" i="17" s="1"/>
  <c r="X111" i="17"/>
  <c r="W111" i="17"/>
  <c r="AC111" i="17" s="1"/>
  <c r="X110" i="17"/>
  <c r="W110" i="17"/>
  <c r="X109" i="17"/>
  <c r="W109" i="17"/>
  <c r="AC109" i="17" s="1"/>
  <c r="X108" i="17"/>
  <c r="W108" i="17"/>
  <c r="AC108" i="17" s="1"/>
  <c r="V107" i="17"/>
  <c r="AB107" i="17" s="1"/>
  <c r="V106" i="17"/>
  <c r="AB106" i="17" s="1"/>
  <c r="V105" i="17"/>
  <c r="AB105" i="17" s="1"/>
  <c r="V104" i="17"/>
  <c r="AB104" i="17" s="1"/>
  <c r="V103" i="17"/>
  <c r="AB103" i="17" s="1"/>
  <c r="V102" i="17"/>
  <c r="AB102" i="17" s="1"/>
  <c r="V101" i="17"/>
  <c r="AB101" i="17" s="1"/>
  <c r="V100" i="17"/>
  <c r="AB100" i="17" s="1"/>
  <c r="V99" i="17"/>
  <c r="AB99" i="17" s="1"/>
  <c r="V98" i="17"/>
  <c r="AB98" i="17" s="1"/>
  <c r="X97" i="17"/>
  <c r="W97" i="17"/>
  <c r="V97" i="17"/>
  <c r="AB97" i="17" s="1"/>
  <c r="X96" i="17"/>
  <c r="W96" i="17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V93" i="17"/>
  <c r="AB93" i="17" s="1"/>
  <c r="X92" i="17"/>
  <c r="W92" i="17"/>
  <c r="V92" i="17"/>
  <c r="AB92" i="17" s="1"/>
  <c r="X91" i="17"/>
  <c r="W91" i="17"/>
  <c r="V91" i="17"/>
  <c r="AB91" i="17" s="1"/>
  <c r="X90" i="17"/>
  <c r="W90" i="17"/>
  <c r="V90" i="17"/>
  <c r="AB90" i="17" s="1"/>
  <c r="X89" i="17"/>
  <c r="W89" i="17"/>
  <c r="V89" i="17"/>
  <c r="AB89" i="17" s="1"/>
  <c r="X88" i="17"/>
  <c r="W88" i="17"/>
  <c r="V88" i="17"/>
  <c r="AB88" i="17" s="1"/>
  <c r="X87" i="17"/>
  <c r="W87" i="17"/>
  <c r="V87" i="17"/>
  <c r="AB87" i="17" s="1"/>
  <c r="X86" i="17"/>
  <c r="W86" i="17"/>
  <c r="V86" i="17"/>
  <c r="AB86" i="17" s="1"/>
  <c r="X85" i="17"/>
  <c r="W85" i="17"/>
  <c r="V85" i="17"/>
  <c r="AB85" i="17" s="1"/>
  <c r="X84" i="17"/>
  <c r="W84" i="17"/>
  <c r="V84" i="17"/>
  <c r="AB84" i="17" s="1"/>
  <c r="X83" i="17"/>
  <c r="W83" i="17"/>
  <c r="V83" i="17"/>
  <c r="AB83" i="17" s="1"/>
  <c r="X82" i="17"/>
  <c r="W82" i="17"/>
  <c r="V82" i="17"/>
  <c r="AB82" i="17" s="1"/>
  <c r="X81" i="17"/>
  <c r="W81" i="17"/>
  <c r="V81" i="17"/>
  <c r="AB81" i="17" s="1"/>
  <c r="X80" i="17"/>
  <c r="W80" i="17"/>
  <c r="V80" i="17"/>
  <c r="AB80" i="17" s="1"/>
  <c r="X79" i="17"/>
  <c r="W79" i="17"/>
  <c r="V79" i="17"/>
  <c r="AB79" i="17" s="1"/>
  <c r="X78" i="17"/>
  <c r="W78" i="17"/>
  <c r="V78" i="17"/>
  <c r="AB78" i="17" s="1"/>
  <c r="X77" i="17"/>
  <c r="W77" i="17"/>
  <c r="V77" i="17"/>
  <c r="AB77" i="17" s="1"/>
  <c r="X76" i="17"/>
  <c r="W76" i="17"/>
  <c r="V76" i="17"/>
  <c r="AB76" i="17" s="1"/>
  <c r="X75" i="17"/>
  <c r="W75" i="17"/>
  <c r="V75" i="17"/>
  <c r="AB75" i="17" s="1"/>
  <c r="X74" i="17"/>
  <c r="W74" i="17"/>
  <c r="V74" i="17"/>
  <c r="AB74" i="17" s="1"/>
  <c r="X73" i="17"/>
  <c r="W73" i="17"/>
  <c r="V73" i="17"/>
  <c r="AB73" i="17" s="1"/>
  <c r="X72" i="17"/>
  <c r="W72" i="17"/>
  <c r="V72" i="17"/>
  <c r="AB72" i="17" s="1"/>
  <c r="X71" i="17"/>
  <c r="W71" i="17"/>
  <c r="V71" i="17"/>
  <c r="AB71" i="17" s="1"/>
  <c r="X70" i="17"/>
  <c r="W70" i="17"/>
  <c r="V70" i="17"/>
  <c r="AB70" i="17" s="1"/>
  <c r="X69" i="17"/>
  <c r="W69" i="17"/>
  <c r="V69" i="17"/>
  <c r="AB69" i="17" s="1"/>
  <c r="X68" i="17"/>
  <c r="W68" i="17"/>
  <c r="V68" i="17"/>
  <c r="AB68" i="17" s="1"/>
  <c r="X67" i="17"/>
  <c r="W67" i="17"/>
  <c r="V67" i="17"/>
  <c r="AB67" i="17" s="1"/>
  <c r="X66" i="17"/>
  <c r="W66" i="17"/>
  <c r="V66" i="17"/>
  <c r="AB66" i="17" s="1"/>
  <c r="X65" i="17"/>
  <c r="W65" i="17"/>
  <c r="V65" i="17"/>
  <c r="AB65" i="17" s="1"/>
  <c r="X64" i="17"/>
  <c r="W64" i="17"/>
  <c r="V64" i="17"/>
  <c r="AB64" i="17" s="1"/>
  <c r="X63" i="17"/>
  <c r="W63" i="17"/>
  <c r="V63" i="17"/>
  <c r="AB63" i="17" s="1"/>
  <c r="X62" i="17"/>
  <c r="W62" i="17"/>
  <c r="V62" i="17"/>
  <c r="X61" i="17"/>
  <c r="W61" i="17"/>
  <c r="V61" i="17"/>
  <c r="AB61" i="17" s="1"/>
  <c r="X60" i="17"/>
  <c r="W60" i="17"/>
  <c r="V60" i="17"/>
  <c r="AB60" i="17" s="1"/>
  <c r="X59" i="17"/>
  <c r="W59" i="17"/>
  <c r="V59" i="17"/>
  <c r="AB59" i="17" s="1"/>
  <c r="X58" i="17"/>
  <c r="W58" i="17"/>
  <c r="V58" i="17"/>
  <c r="AB58" i="17" s="1"/>
  <c r="X57" i="17"/>
  <c r="W57" i="17"/>
  <c r="V57" i="17"/>
  <c r="AB57" i="17" s="1"/>
  <c r="X56" i="17"/>
  <c r="W56" i="17"/>
  <c r="V56" i="17"/>
  <c r="AB56" i="17" s="1"/>
  <c r="X55" i="17"/>
  <c r="W55" i="17"/>
  <c r="V55" i="17"/>
  <c r="AB55" i="17" s="1"/>
  <c r="X54" i="17"/>
  <c r="W54" i="17"/>
  <c r="V54" i="17"/>
  <c r="AB54" i="17" s="1"/>
  <c r="X53" i="17"/>
  <c r="W53" i="17"/>
  <c r="V53" i="17"/>
  <c r="AB53" i="17" s="1"/>
  <c r="X52" i="17"/>
  <c r="W52" i="17"/>
  <c r="V52" i="17"/>
  <c r="AB52" i="17" s="1"/>
  <c r="X51" i="17"/>
  <c r="W51" i="17"/>
  <c r="V51" i="17"/>
  <c r="AB51" i="17" s="1"/>
  <c r="X50" i="17"/>
  <c r="W50" i="17"/>
  <c r="V50" i="17"/>
  <c r="AB50" i="17" s="1"/>
  <c r="X49" i="17"/>
  <c r="W49" i="17"/>
  <c r="V49" i="17"/>
  <c r="AB49" i="17" s="1"/>
  <c r="X48" i="17"/>
  <c r="W48" i="17"/>
  <c r="V48" i="17"/>
  <c r="AB48" i="17" s="1"/>
  <c r="X47" i="17"/>
  <c r="W47" i="17"/>
  <c r="V47" i="17"/>
  <c r="AB47" i="17" s="1"/>
  <c r="X46" i="17"/>
  <c r="W46" i="17"/>
  <c r="V46" i="17"/>
  <c r="AB46" i="17" s="1"/>
  <c r="X45" i="17"/>
  <c r="W45" i="17"/>
  <c r="V45" i="17"/>
  <c r="AB45" i="17" s="1"/>
  <c r="X44" i="17"/>
  <c r="W44" i="17"/>
  <c r="V44" i="17"/>
  <c r="AB44" i="17" s="1"/>
  <c r="X43" i="17"/>
  <c r="W43" i="17"/>
  <c r="V43" i="17"/>
  <c r="AB43" i="17" s="1"/>
  <c r="X42" i="17"/>
  <c r="W42" i="17"/>
  <c r="V42" i="17"/>
  <c r="AB42" i="17" s="1"/>
  <c r="X41" i="17"/>
  <c r="W41" i="17"/>
  <c r="V41" i="17"/>
  <c r="AB41" i="17" s="1"/>
  <c r="X40" i="17"/>
  <c r="W40" i="17"/>
  <c r="V40" i="17"/>
  <c r="AB40" i="17" s="1"/>
  <c r="X39" i="17"/>
  <c r="W39" i="17"/>
  <c r="V39" i="17"/>
  <c r="AB39" i="17" s="1"/>
  <c r="X38" i="17"/>
  <c r="W38" i="17"/>
  <c r="V38" i="17"/>
  <c r="AB38" i="17" s="1"/>
  <c r="X37" i="17"/>
  <c r="W37" i="17"/>
  <c r="V37" i="17"/>
  <c r="AB37" i="17" s="1"/>
  <c r="X36" i="17"/>
  <c r="W36" i="17"/>
  <c r="V36" i="17"/>
  <c r="AB36" i="17" s="1"/>
  <c r="X35" i="17"/>
  <c r="W35" i="17"/>
  <c r="V35" i="17"/>
  <c r="AB35" i="17" s="1"/>
  <c r="X34" i="17"/>
  <c r="W34" i="17"/>
  <c r="V34" i="17"/>
  <c r="AB34" i="17" s="1"/>
  <c r="X33" i="17"/>
  <c r="W33" i="17"/>
  <c r="V33" i="17"/>
  <c r="AB33" i="17" s="1"/>
  <c r="X32" i="17"/>
  <c r="W32" i="17"/>
  <c r="V32" i="17"/>
  <c r="AB32" i="17" s="1"/>
  <c r="X31" i="17"/>
  <c r="W31" i="17"/>
  <c r="V31" i="17"/>
  <c r="AB31" i="17" s="1"/>
  <c r="X30" i="17"/>
  <c r="W30" i="17"/>
  <c r="V30" i="17"/>
  <c r="AB30" i="17" s="1"/>
  <c r="X29" i="17"/>
  <c r="W29" i="17"/>
  <c r="V29" i="17"/>
  <c r="AB29" i="17" s="1"/>
  <c r="X28" i="17"/>
  <c r="W28" i="17"/>
  <c r="V28" i="17"/>
  <c r="AB28" i="17" s="1"/>
  <c r="X27" i="17"/>
  <c r="W27" i="17"/>
  <c r="V27" i="17"/>
  <c r="AB27" i="17" s="1"/>
  <c r="X26" i="17"/>
  <c r="W26" i="17"/>
  <c r="V26" i="17"/>
  <c r="AB26" i="17" s="1"/>
  <c r="X25" i="17"/>
  <c r="W25" i="17"/>
  <c r="V25" i="17"/>
  <c r="AB25" i="17" s="1"/>
  <c r="X24" i="17"/>
  <c r="W24" i="17"/>
  <c r="V24" i="17"/>
  <c r="AB24" i="17" s="1"/>
  <c r="X23" i="17"/>
  <c r="W23" i="17"/>
  <c r="V23" i="17"/>
  <c r="AB23" i="17" s="1"/>
  <c r="X22" i="17"/>
  <c r="W22" i="17"/>
  <c r="V22" i="17"/>
  <c r="AB22" i="17" s="1"/>
  <c r="X21" i="17"/>
  <c r="W21" i="17"/>
  <c r="V21" i="17"/>
  <c r="AB21" i="17" s="1"/>
  <c r="X20" i="17"/>
  <c r="W20" i="17"/>
  <c r="V20" i="17"/>
  <c r="AB20" i="17" s="1"/>
  <c r="X19" i="17"/>
  <c r="W19" i="17"/>
  <c r="V19" i="17"/>
  <c r="AB19" i="17" s="1"/>
  <c r="X18" i="17"/>
  <c r="W18" i="17"/>
  <c r="V18" i="17"/>
  <c r="AB18" i="17" s="1"/>
  <c r="X17" i="17"/>
  <c r="W17" i="17"/>
  <c r="V17" i="17"/>
  <c r="AB17" i="17" s="1"/>
  <c r="X16" i="17"/>
  <c r="W16" i="17"/>
  <c r="V16" i="17"/>
  <c r="AB16" i="17" s="1"/>
  <c r="X15" i="17"/>
  <c r="W15" i="17"/>
  <c r="V15" i="17"/>
  <c r="AB15" i="17" s="1"/>
  <c r="X14" i="17"/>
  <c r="W14" i="17"/>
  <c r="V14" i="17"/>
  <c r="AB14" i="17" s="1"/>
  <c r="X13" i="17"/>
  <c r="W13" i="17"/>
  <c r="V13" i="17"/>
  <c r="AB13" i="17" s="1"/>
  <c r="X12" i="17"/>
  <c r="W12" i="17"/>
  <c r="V12" i="17"/>
  <c r="AB12" i="17" s="1"/>
  <c r="X11" i="17"/>
  <c r="W11" i="17"/>
  <c r="AC11" i="17" s="1"/>
  <c r="V11" i="17"/>
  <c r="AB11" i="17" s="1"/>
  <c r="X10" i="17"/>
  <c r="W10" i="17"/>
  <c r="V10" i="17"/>
  <c r="AB10" i="17" s="1"/>
  <c r="X9" i="17"/>
  <c r="W9" i="17"/>
  <c r="V9" i="17"/>
  <c r="AB9" i="17" s="1"/>
  <c r="X8" i="17"/>
  <c r="W8" i="17"/>
  <c r="V8" i="17"/>
  <c r="AB8" i="17" s="1"/>
  <c r="X7" i="17"/>
  <c r="W7" i="17"/>
  <c r="V7" i="17"/>
  <c r="AB7" i="17" s="1"/>
  <c r="X6" i="17"/>
  <c r="W6" i="17"/>
  <c r="V6" i="17"/>
  <c r="AB6" i="17" s="1"/>
  <c r="X5" i="17"/>
  <c r="W5" i="17"/>
  <c r="AC5" i="17" s="1"/>
  <c r="V5" i="17"/>
  <c r="AB5" i="17" s="1"/>
  <c r="X4" i="17"/>
  <c r="W4" i="17"/>
  <c r="V4" i="17"/>
  <c r="AB4" i="17" s="1"/>
  <c r="X3" i="17"/>
  <c r="W3" i="17"/>
  <c r="V3" i="17"/>
  <c r="AB3" i="17" s="1"/>
  <c r="X2" i="17"/>
  <c r="W2" i="17"/>
  <c r="V2" i="17"/>
  <c r="AB2" i="17" s="1"/>
  <c r="AE483" i="16"/>
  <c r="AE482" i="16"/>
  <c r="AE481" i="16"/>
  <c r="AE480" i="16"/>
  <c r="AE479" i="16"/>
  <c r="AE478" i="16"/>
  <c r="AE477" i="16"/>
  <c r="AE476" i="16"/>
  <c r="AE475" i="16"/>
  <c r="AE474" i="16"/>
  <c r="AE473" i="16"/>
  <c r="AE472" i="16"/>
  <c r="AA12" i="21" s="1"/>
  <c r="AE471" i="16"/>
  <c r="AD471" i="16"/>
  <c r="AC471" i="16"/>
  <c r="AE470" i="16"/>
  <c r="AD470" i="16"/>
  <c r="AC470" i="16"/>
  <c r="AE469" i="16"/>
  <c r="AD469" i="16"/>
  <c r="AC469" i="16"/>
  <c r="AE468" i="16"/>
  <c r="AD468" i="16"/>
  <c r="AC468" i="16"/>
  <c r="AE467" i="16"/>
  <c r="AD467" i="16"/>
  <c r="AC467" i="16"/>
  <c r="AE466" i="16"/>
  <c r="AD466" i="16"/>
  <c r="AC466" i="16"/>
  <c r="AE465" i="16"/>
  <c r="AD465" i="16"/>
  <c r="AC465" i="16"/>
  <c r="AE464" i="16"/>
  <c r="AD464" i="16"/>
  <c r="AC464" i="16"/>
  <c r="AE463" i="16"/>
  <c r="AD463" i="16"/>
  <c r="AC463" i="16"/>
  <c r="AE462" i="16"/>
  <c r="AD462" i="16"/>
  <c r="AC462" i="16"/>
  <c r="AE461" i="16"/>
  <c r="AD461" i="16"/>
  <c r="AC461" i="16"/>
  <c r="AE460" i="16"/>
  <c r="AD460" i="16"/>
  <c r="AC460" i="16"/>
  <c r="AE459" i="16"/>
  <c r="AD459" i="16"/>
  <c r="AC459" i="16"/>
  <c r="AE458" i="16"/>
  <c r="AE457" i="16"/>
  <c r="AE456" i="16"/>
  <c r="AE455" i="16"/>
  <c r="AE454" i="16"/>
  <c r="AE453" i="16"/>
  <c r="AE452" i="16"/>
  <c r="AE451" i="16"/>
  <c r="AE450" i="16"/>
  <c r="AE449" i="16"/>
  <c r="AE448" i="16"/>
  <c r="AE447" i="16"/>
  <c r="AE446" i="16"/>
  <c r="AE445" i="16"/>
  <c r="AE444" i="16"/>
  <c r="AE443" i="16"/>
  <c r="AE442" i="16"/>
  <c r="AE441" i="16"/>
  <c r="AE440" i="16"/>
  <c r="AE439" i="16"/>
  <c r="AE438" i="16"/>
  <c r="AE437" i="16"/>
  <c r="AE436" i="16"/>
  <c r="AE435" i="16"/>
  <c r="AE434" i="16"/>
  <c r="AE433" i="16"/>
  <c r="AE432" i="16"/>
  <c r="AE431" i="16"/>
  <c r="AE430" i="16"/>
  <c r="AE429" i="16"/>
  <c r="AE428" i="16"/>
  <c r="AE427" i="16"/>
  <c r="AE426" i="16"/>
  <c r="AE425" i="16"/>
  <c r="AE424" i="16"/>
  <c r="AE423" i="16"/>
  <c r="AE422" i="16"/>
  <c r="AE421" i="16"/>
  <c r="AE420" i="16"/>
  <c r="AE419" i="16"/>
  <c r="AE418" i="16"/>
  <c r="AE417" i="16"/>
  <c r="AE416" i="16"/>
  <c r="AE415" i="16"/>
  <c r="AE414" i="16"/>
  <c r="AE413" i="16"/>
  <c r="AE412" i="16"/>
  <c r="AE411" i="16"/>
  <c r="AE410" i="16"/>
  <c r="AB410" i="16"/>
  <c r="AE409" i="16"/>
  <c r="AE408" i="16"/>
  <c r="AE407" i="16"/>
  <c r="AE406" i="16"/>
  <c r="AE405" i="16"/>
  <c r="AE404" i="16"/>
  <c r="AE403" i="16"/>
  <c r="AE402" i="16"/>
  <c r="AE401" i="16"/>
  <c r="AE400" i="16"/>
  <c r="AE399" i="16"/>
  <c r="AE398" i="16"/>
  <c r="AE397" i="16"/>
  <c r="AE396" i="16"/>
  <c r="AE395" i="16"/>
  <c r="AE394" i="16"/>
  <c r="AE393" i="16"/>
  <c r="AE392" i="16"/>
  <c r="AE391" i="16"/>
  <c r="AE390" i="16"/>
  <c r="AE389" i="16"/>
  <c r="AE388" i="16"/>
  <c r="AE387" i="16"/>
  <c r="AA11" i="21" s="1"/>
  <c r="AE386" i="16"/>
  <c r="AE385" i="16"/>
  <c r="AE384" i="16"/>
  <c r="AE383" i="16"/>
  <c r="AE382" i="16"/>
  <c r="AE381" i="16"/>
  <c r="AE380" i="16"/>
  <c r="AE379" i="16"/>
  <c r="AE378" i="16"/>
  <c r="AE377" i="16"/>
  <c r="AE376" i="16"/>
  <c r="AE375" i="16"/>
  <c r="AE374" i="16"/>
  <c r="AE373" i="16"/>
  <c r="AE372" i="16"/>
  <c r="AE371" i="16"/>
  <c r="AE370" i="16"/>
  <c r="AE369" i="16"/>
  <c r="AE368" i="16"/>
  <c r="AE367" i="16"/>
  <c r="AE366" i="16"/>
  <c r="AE365" i="16"/>
  <c r="AE364" i="16"/>
  <c r="AE363" i="16"/>
  <c r="AE362" i="16"/>
  <c r="AE361" i="16"/>
  <c r="AE360" i="16"/>
  <c r="AE359" i="16"/>
  <c r="AE358" i="16"/>
  <c r="AE357" i="16"/>
  <c r="AE356" i="16"/>
  <c r="AE355" i="16"/>
  <c r="AE354" i="16"/>
  <c r="AE353" i="16"/>
  <c r="AE352" i="16"/>
  <c r="AE351" i="16"/>
  <c r="AE350" i="16"/>
  <c r="AE349" i="16"/>
  <c r="AE348" i="16"/>
  <c r="AE347" i="16"/>
  <c r="AE346" i="16"/>
  <c r="AE345" i="16"/>
  <c r="AE344" i="16"/>
  <c r="AE343" i="16"/>
  <c r="AE342" i="16"/>
  <c r="AE341" i="16"/>
  <c r="AE340" i="16"/>
  <c r="AE339" i="16"/>
  <c r="AE338" i="16"/>
  <c r="AE337" i="16"/>
  <c r="AE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E324" i="16"/>
  <c r="AE323" i="16"/>
  <c r="AE322" i="16"/>
  <c r="AE321" i="16"/>
  <c r="AE320" i="16"/>
  <c r="AE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E277" i="16"/>
  <c r="AE276" i="16"/>
  <c r="AE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E262" i="16"/>
  <c r="AE261" i="16"/>
  <c r="AE260" i="16"/>
  <c r="AE259" i="16"/>
  <c r="AE258" i="16"/>
  <c r="AE257" i="16"/>
  <c r="AE256" i="16"/>
  <c r="AE255" i="16"/>
  <c r="AE254" i="16"/>
  <c r="AE253" i="16"/>
  <c r="AE252" i="16"/>
  <c r="AE251" i="16"/>
  <c r="AE250" i="16"/>
  <c r="AE249" i="16"/>
  <c r="AE248" i="16"/>
  <c r="AE247" i="16"/>
  <c r="AE246" i="16"/>
  <c r="AE245" i="16"/>
  <c r="AE244" i="16"/>
  <c r="AE243" i="16"/>
  <c r="AE242" i="16"/>
  <c r="AE241" i="16"/>
  <c r="AE240" i="16"/>
  <c r="AE239" i="16"/>
  <c r="AE238" i="16"/>
  <c r="AE237" i="16"/>
  <c r="AE236" i="16"/>
  <c r="AE235" i="16"/>
  <c r="AE234" i="16"/>
  <c r="AE233" i="16"/>
  <c r="AE232" i="16"/>
  <c r="AE231" i="16"/>
  <c r="AE230" i="16"/>
  <c r="AE229" i="16"/>
  <c r="AE228" i="16"/>
  <c r="AE227" i="16"/>
  <c r="AE226" i="16"/>
  <c r="AE225" i="16"/>
  <c r="AE224" i="16"/>
  <c r="AE223" i="16"/>
  <c r="AD223" i="16"/>
  <c r="AC223" i="16"/>
  <c r="AE222" i="16"/>
  <c r="AD222" i="16"/>
  <c r="AC222" i="16"/>
  <c r="AE221" i="16"/>
  <c r="AD221" i="16"/>
  <c r="AC221" i="16"/>
  <c r="AE220" i="16"/>
  <c r="AD220" i="16"/>
  <c r="AC220" i="16"/>
  <c r="AE219" i="16"/>
  <c r="AD219" i="16"/>
  <c r="AC219" i="16"/>
  <c r="AE218" i="16"/>
  <c r="AD218" i="16"/>
  <c r="AC218" i="16"/>
  <c r="AE217" i="16"/>
  <c r="AD217" i="16"/>
  <c r="AC217" i="16"/>
  <c r="AE216" i="16"/>
  <c r="AD216" i="16"/>
  <c r="AC216" i="16"/>
  <c r="AE215" i="16"/>
  <c r="AD215" i="16"/>
  <c r="AC215" i="16"/>
  <c r="AE214" i="16"/>
  <c r="AD214" i="16"/>
  <c r="AC214" i="16"/>
  <c r="AG213" i="16"/>
  <c r="AF213" i="16"/>
  <c r="AB213" i="16"/>
  <c r="AG212" i="16"/>
  <c r="AF212" i="16"/>
  <c r="AB212" i="16"/>
  <c r="AG211" i="16"/>
  <c r="AF211" i="16"/>
  <c r="AB211" i="16"/>
  <c r="AG210" i="16"/>
  <c r="AF210" i="16"/>
  <c r="AB210" i="16"/>
  <c r="AG209" i="16"/>
  <c r="AF209" i="16"/>
  <c r="AB209" i="16"/>
  <c r="AG208" i="16"/>
  <c r="AF208" i="16"/>
  <c r="AB208" i="16"/>
  <c r="AG207" i="16"/>
  <c r="AF207" i="16"/>
  <c r="AB207" i="16"/>
  <c r="AG206" i="16"/>
  <c r="AF206" i="16"/>
  <c r="AB206" i="16"/>
  <c r="AG205" i="16"/>
  <c r="AF205" i="16"/>
  <c r="AB205" i="16"/>
  <c r="AG204" i="16"/>
  <c r="AF204" i="16"/>
  <c r="AB204" i="16"/>
  <c r="AE203" i="16"/>
  <c r="AD203" i="16"/>
  <c r="AC203" i="16"/>
  <c r="AE202" i="16"/>
  <c r="AD202" i="16"/>
  <c r="AC202" i="16"/>
  <c r="AE201" i="16"/>
  <c r="AD201" i="16"/>
  <c r="AC201" i="16"/>
  <c r="AE200" i="16"/>
  <c r="AD200" i="16"/>
  <c r="AC200" i="16"/>
  <c r="AE199" i="16"/>
  <c r="AD199" i="16"/>
  <c r="AC199" i="16"/>
  <c r="AE198" i="16"/>
  <c r="AD198" i="16"/>
  <c r="AC198" i="16"/>
  <c r="AE197" i="16"/>
  <c r="AD197" i="16"/>
  <c r="AC197" i="16"/>
  <c r="AE196" i="16"/>
  <c r="AD196" i="16"/>
  <c r="AC196" i="16"/>
  <c r="AE195" i="16"/>
  <c r="AD195" i="16"/>
  <c r="AC195" i="16"/>
  <c r="AE194" i="16"/>
  <c r="AD194" i="16"/>
  <c r="AC194" i="16"/>
  <c r="AE193" i="16"/>
  <c r="AE192" i="16"/>
  <c r="AE191" i="16"/>
  <c r="AE190" i="16"/>
  <c r="AE189" i="16"/>
  <c r="AE188" i="16"/>
  <c r="AE187" i="16"/>
  <c r="AE186" i="16"/>
  <c r="AE185" i="16"/>
  <c r="AE184" i="16"/>
  <c r="AE183" i="16"/>
  <c r="AE182" i="16"/>
  <c r="AE181" i="16"/>
  <c r="AE180" i="16"/>
  <c r="AE179" i="16"/>
  <c r="AE178" i="16"/>
  <c r="AE177" i="16"/>
  <c r="AE176" i="16"/>
  <c r="AE175" i="16"/>
  <c r="AE174" i="16"/>
  <c r="AE173" i="16"/>
  <c r="AE172" i="16"/>
  <c r="AE171" i="16"/>
  <c r="AE170" i="16"/>
  <c r="AG169" i="16"/>
  <c r="AF169" i="16"/>
  <c r="AG168" i="16"/>
  <c r="AF168" i="16"/>
  <c r="AG167" i="16"/>
  <c r="AF167" i="16"/>
  <c r="AG166" i="16"/>
  <c r="AF166" i="16"/>
  <c r="AG165" i="16"/>
  <c r="AF165" i="16"/>
  <c r="AG164" i="16"/>
  <c r="AF164" i="16"/>
  <c r="AG163" i="16"/>
  <c r="AF163" i="16"/>
  <c r="AG162" i="16"/>
  <c r="AF162" i="16"/>
  <c r="AG161" i="16"/>
  <c r="AF161" i="16"/>
  <c r="AG160" i="16"/>
  <c r="AF160" i="16"/>
  <c r="AG159" i="16"/>
  <c r="AF159" i="16"/>
  <c r="AG158" i="16"/>
  <c r="AF158" i="16"/>
  <c r="AG157" i="16"/>
  <c r="AF157" i="16"/>
  <c r="AG156" i="16"/>
  <c r="AF156" i="16"/>
  <c r="AG155" i="16"/>
  <c r="AF155" i="16"/>
  <c r="AG154" i="16"/>
  <c r="AF154" i="16"/>
  <c r="AG153" i="16"/>
  <c r="AF153" i="16"/>
  <c r="AG152" i="16"/>
  <c r="AF152" i="16"/>
  <c r="AG151" i="16"/>
  <c r="AF151" i="16"/>
  <c r="AG150" i="16"/>
  <c r="AF150" i="16"/>
  <c r="AG149" i="16"/>
  <c r="AF149" i="16"/>
  <c r="AG148" i="16"/>
  <c r="AF148" i="16"/>
  <c r="AG147" i="16"/>
  <c r="AF147" i="16"/>
  <c r="AG146" i="16"/>
  <c r="AF146" i="16"/>
  <c r="AE145" i="16"/>
  <c r="AE144" i="16"/>
  <c r="AE143" i="16"/>
  <c r="AE142" i="16"/>
  <c r="AE141" i="16"/>
  <c r="AE140" i="16"/>
  <c r="AE139" i="16"/>
  <c r="AE138" i="16"/>
  <c r="AE137" i="16"/>
  <c r="AE136" i="16"/>
  <c r="AE135" i="16"/>
  <c r="AE134" i="16"/>
  <c r="AE133" i="16"/>
  <c r="AE132" i="16"/>
  <c r="AE131" i="16"/>
  <c r="AE130" i="16"/>
  <c r="AE129" i="16"/>
  <c r="AE128" i="16"/>
  <c r="AE127" i="16"/>
  <c r="AE126" i="16"/>
  <c r="AE125" i="16"/>
  <c r="AE124" i="16"/>
  <c r="AE123" i="16"/>
  <c r="AE122" i="16"/>
  <c r="AG121" i="16"/>
  <c r="AE121" i="16"/>
  <c r="AG120" i="16"/>
  <c r="AE120" i="16"/>
  <c r="AG119" i="16"/>
  <c r="AE119" i="16"/>
  <c r="AG118" i="16"/>
  <c r="AE118" i="16"/>
  <c r="AG117" i="16"/>
  <c r="AE117" i="16"/>
  <c r="AG116" i="16"/>
  <c r="AE116" i="16"/>
  <c r="AG115" i="16"/>
  <c r="AE115" i="16"/>
  <c r="AG114" i="16"/>
  <c r="AE114" i="16"/>
  <c r="AG113" i="16"/>
  <c r="AE113" i="16"/>
  <c r="AG112" i="16"/>
  <c r="AE112" i="16"/>
  <c r="AG111" i="16"/>
  <c r="AE111" i="16"/>
  <c r="AG110" i="16"/>
  <c r="AE110" i="16"/>
  <c r="AG109" i="16"/>
  <c r="AF109" i="16"/>
  <c r="AG108" i="16"/>
  <c r="AF108" i="16"/>
  <c r="AG107" i="16"/>
  <c r="AF107" i="16"/>
  <c r="AG106" i="16"/>
  <c r="AF106" i="16"/>
  <c r="AG105" i="16"/>
  <c r="AF105" i="16"/>
  <c r="AG104" i="16"/>
  <c r="AF104" i="16"/>
  <c r="AG103" i="16"/>
  <c r="AF103" i="16"/>
  <c r="AG102" i="16"/>
  <c r="AF102" i="16"/>
  <c r="AG101" i="16"/>
  <c r="AF101" i="16"/>
  <c r="AG100" i="16"/>
  <c r="AF100" i="16"/>
  <c r="AG99" i="16"/>
  <c r="AF99" i="16"/>
  <c r="AG98" i="16"/>
  <c r="AF98" i="16"/>
  <c r="AG97" i="16"/>
  <c r="AE97" i="16"/>
  <c r="AG96" i="16"/>
  <c r="AE96" i="16"/>
  <c r="AG95" i="16"/>
  <c r="AE95" i="16"/>
  <c r="AG94" i="16"/>
  <c r="AE94" i="16"/>
  <c r="AG93" i="16"/>
  <c r="AE93" i="16"/>
  <c r="AG92" i="16"/>
  <c r="AE92" i="16"/>
  <c r="AG91" i="16"/>
  <c r="AE91" i="16"/>
  <c r="AG90" i="16"/>
  <c r="AE90" i="16"/>
  <c r="AG89" i="16"/>
  <c r="AE89" i="16"/>
  <c r="AG88" i="16"/>
  <c r="AE88" i="16"/>
  <c r="AG87" i="16"/>
  <c r="AE87" i="16"/>
  <c r="AG86" i="16"/>
  <c r="AE86" i="16"/>
  <c r="AG85" i="16"/>
  <c r="AF85" i="16"/>
  <c r="AG84" i="16"/>
  <c r="AF84" i="16"/>
  <c r="AG83" i="16"/>
  <c r="AF83" i="16"/>
  <c r="AG82" i="16"/>
  <c r="AF82" i="16"/>
  <c r="AG81" i="16"/>
  <c r="AF81" i="16"/>
  <c r="AG80" i="16"/>
  <c r="AF80" i="16"/>
  <c r="AG79" i="16"/>
  <c r="AF79" i="16"/>
  <c r="AG78" i="16"/>
  <c r="AF78" i="16"/>
  <c r="AG77" i="16"/>
  <c r="AF77" i="16"/>
  <c r="AG76" i="16"/>
  <c r="AF76" i="16"/>
  <c r="AG75" i="16"/>
  <c r="AF75" i="16"/>
  <c r="AG74" i="16"/>
  <c r="AF74" i="16"/>
  <c r="AG73" i="16"/>
  <c r="AF73" i="16"/>
  <c r="AG72" i="16"/>
  <c r="AF72" i="16"/>
  <c r="AG71" i="16"/>
  <c r="AF71" i="16"/>
  <c r="AG70" i="16"/>
  <c r="AF70" i="16"/>
  <c r="AG69" i="16"/>
  <c r="AF69" i="16"/>
  <c r="AG68" i="16"/>
  <c r="AF68" i="16"/>
  <c r="AG67" i="16"/>
  <c r="AF67" i="16"/>
  <c r="AG66" i="16"/>
  <c r="AF66" i="16"/>
  <c r="AG65" i="16"/>
  <c r="AF65" i="16"/>
  <c r="AG64" i="16"/>
  <c r="AF64" i="16"/>
  <c r="AG63" i="16"/>
  <c r="AF63" i="16"/>
  <c r="AG62" i="16"/>
  <c r="AF62" i="16"/>
  <c r="AG61" i="16"/>
  <c r="AF61" i="16"/>
  <c r="AG60" i="16"/>
  <c r="AF60" i="16"/>
  <c r="AG59" i="16"/>
  <c r="AF59" i="16"/>
  <c r="AG58" i="16"/>
  <c r="AF58" i="16"/>
  <c r="AG57" i="16"/>
  <c r="AF57" i="16"/>
  <c r="AG56" i="16"/>
  <c r="AF56" i="16"/>
  <c r="AG55" i="16"/>
  <c r="AF55" i="16"/>
  <c r="AG54" i="16"/>
  <c r="AF54" i="16"/>
  <c r="AG53" i="16"/>
  <c r="AF53" i="16"/>
  <c r="AG52" i="16"/>
  <c r="AF52" i="16"/>
  <c r="AG51" i="16"/>
  <c r="AF51" i="16"/>
  <c r="AG50" i="16"/>
  <c r="AF50" i="16"/>
  <c r="AG49" i="16"/>
  <c r="AF49" i="16"/>
  <c r="AG48" i="16"/>
  <c r="AF48" i="16"/>
  <c r="AG47" i="16"/>
  <c r="AF47" i="16"/>
  <c r="AG46" i="16"/>
  <c r="AF46" i="16"/>
  <c r="AG45" i="16"/>
  <c r="AF45" i="16"/>
  <c r="AG44" i="16"/>
  <c r="AF44" i="16"/>
  <c r="AG43" i="16"/>
  <c r="AF43" i="16"/>
  <c r="AG42" i="16"/>
  <c r="AF42" i="16"/>
  <c r="AG41" i="16"/>
  <c r="AF41" i="16"/>
  <c r="AG40" i="16"/>
  <c r="AF40" i="16"/>
  <c r="AG39" i="16"/>
  <c r="AF39" i="16"/>
  <c r="AG38" i="16"/>
  <c r="AF38" i="16"/>
  <c r="AG37" i="16"/>
  <c r="AF37" i="16"/>
  <c r="AG36" i="16"/>
  <c r="AF36" i="16"/>
  <c r="AG35" i="16"/>
  <c r="AF35" i="16"/>
  <c r="AG34" i="16"/>
  <c r="AF34" i="16"/>
  <c r="AG33" i="16"/>
  <c r="AF33" i="16"/>
  <c r="AG32" i="16"/>
  <c r="AF32" i="16"/>
  <c r="AG31" i="16"/>
  <c r="AF31" i="16"/>
  <c r="AG30" i="16"/>
  <c r="AF30" i="16"/>
  <c r="AG29" i="16"/>
  <c r="AF29" i="16"/>
  <c r="AG28" i="16"/>
  <c r="AF28" i="16"/>
  <c r="AG27" i="16"/>
  <c r="AF27" i="16"/>
  <c r="AG26" i="16"/>
  <c r="AF26" i="16"/>
  <c r="X483" i="16"/>
  <c r="AD483" i="16" s="1"/>
  <c r="W483" i="16"/>
  <c r="AC483" i="16" s="1"/>
  <c r="V483" i="16"/>
  <c r="AB483" i="16" s="1"/>
  <c r="X482" i="16"/>
  <c r="AD482" i="16" s="1"/>
  <c r="W482" i="16"/>
  <c r="AC482" i="16" s="1"/>
  <c r="V482" i="16"/>
  <c r="AB482" i="16" s="1"/>
  <c r="X481" i="16"/>
  <c r="AD481" i="16" s="1"/>
  <c r="W481" i="16"/>
  <c r="AC481" i="16" s="1"/>
  <c r="V481" i="16"/>
  <c r="AB481" i="16" s="1"/>
  <c r="X480" i="16"/>
  <c r="AD480" i="16" s="1"/>
  <c r="W480" i="16"/>
  <c r="AC480" i="16" s="1"/>
  <c r="V480" i="16"/>
  <c r="AB480" i="16" s="1"/>
  <c r="X479" i="16"/>
  <c r="AD479" i="16" s="1"/>
  <c r="W479" i="16"/>
  <c r="AC479" i="16" s="1"/>
  <c r="V479" i="16"/>
  <c r="AB479" i="16" s="1"/>
  <c r="X478" i="16"/>
  <c r="AD478" i="16" s="1"/>
  <c r="W478" i="16"/>
  <c r="AC478" i="16" s="1"/>
  <c r="V478" i="16"/>
  <c r="AB478" i="16" s="1"/>
  <c r="X477" i="16"/>
  <c r="AD477" i="16" s="1"/>
  <c r="W477" i="16"/>
  <c r="AC477" i="16" s="1"/>
  <c r="V477" i="16"/>
  <c r="AB477" i="16" s="1"/>
  <c r="X476" i="16"/>
  <c r="AD476" i="16" s="1"/>
  <c r="W476" i="16"/>
  <c r="AC476" i="16" s="1"/>
  <c r="V476" i="16"/>
  <c r="AB476" i="16" s="1"/>
  <c r="X475" i="16"/>
  <c r="AD475" i="16" s="1"/>
  <c r="W475" i="16"/>
  <c r="AC475" i="16" s="1"/>
  <c r="V475" i="16"/>
  <c r="AB475" i="16" s="1"/>
  <c r="X474" i="16"/>
  <c r="AD474" i="16" s="1"/>
  <c r="W474" i="16"/>
  <c r="AC474" i="16" s="1"/>
  <c r="V474" i="16"/>
  <c r="AB474" i="16" s="1"/>
  <c r="X473" i="16"/>
  <c r="AD473" i="16" s="1"/>
  <c r="W473" i="16"/>
  <c r="AC473" i="16" s="1"/>
  <c r="V473" i="16"/>
  <c r="AB473" i="16" s="1"/>
  <c r="X472" i="16"/>
  <c r="AD472" i="16" s="1"/>
  <c r="AO6" i="16" s="1"/>
  <c r="W472" i="16"/>
  <c r="AC472" i="16" s="1"/>
  <c r="V472" i="16"/>
  <c r="AB472" i="16" s="1"/>
  <c r="V471" i="16"/>
  <c r="AB471" i="16" s="1"/>
  <c r="V470" i="16"/>
  <c r="AB470" i="16" s="1"/>
  <c r="V469" i="16"/>
  <c r="AB469" i="16" s="1"/>
  <c r="V468" i="16"/>
  <c r="AB468" i="16" s="1"/>
  <c r="V467" i="16"/>
  <c r="AB467" i="16" s="1"/>
  <c r="V466" i="16"/>
  <c r="AB466" i="16" s="1"/>
  <c r="V465" i="16"/>
  <c r="AB465" i="16" s="1"/>
  <c r="V464" i="16"/>
  <c r="AB464" i="16" s="1"/>
  <c r="V463" i="16"/>
  <c r="AB463" i="16" s="1"/>
  <c r="V462" i="16"/>
  <c r="AB462" i="16" s="1"/>
  <c r="V461" i="16"/>
  <c r="AB461" i="16" s="1"/>
  <c r="V460" i="16"/>
  <c r="AB460" i="16" s="1"/>
  <c r="V459" i="16"/>
  <c r="AB459" i="16" s="1"/>
  <c r="X458" i="16"/>
  <c r="AD458" i="16" s="1"/>
  <c r="W458" i="16"/>
  <c r="AC458" i="16" s="1"/>
  <c r="V458" i="16"/>
  <c r="AB458" i="16" s="1"/>
  <c r="X457" i="16"/>
  <c r="AD457" i="16" s="1"/>
  <c r="W457" i="16"/>
  <c r="AC457" i="16" s="1"/>
  <c r="V457" i="16"/>
  <c r="AB457" i="16" s="1"/>
  <c r="X456" i="16"/>
  <c r="AD456" i="16" s="1"/>
  <c r="W456" i="16"/>
  <c r="AC456" i="16" s="1"/>
  <c r="V456" i="16"/>
  <c r="AB456" i="16" s="1"/>
  <c r="X455" i="16"/>
  <c r="AD455" i="16" s="1"/>
  <c r="W455" i="16"/>
  <c r="AC455" i="16" s="1"/>
  <c r="V455" i="16"/>
  <c r="AB455" i="16" s="1"/>
  <c r="X454" i="16"/>
  <c r="AD454" i="16" s="1"/>
  <c r="W454" i="16"/>
  <c r="AC454" i="16" s="1"/>
  <c r="V454" i="16"/>
  <c r="AB454" i="16" s="1"/>
  <c r="X453" i="16"/>
  <c r="AD453" i="16" s="1"/>
  <c r="W453" i="16"/>
  <c r="AC453" i="16" s="1"/>
  <c r="V453" i="16"/>
  <c r="AB453" i="16" s="1"/>
  <c r="X452" i="16"/>
  <c r="AD452" i="16" s="1"/>
  <c r="W452" i="16"/>
  <c r="AC452" i="16" s="1"/>
  <c r="V452" i="16"/>
  <c r="AB452" i="16" s="1"/>
  <c r="X451" i="16"/>
  <c r="AD451" i="16" s="1"/>
  <c r="W451" i="16"/>
  <c r="AC451" i="16" s="1"/>
  <c r="V451" i="16"/>
  <c r="AB451" i="16" s="1"/>
  <c r="X450" i="16"/>
  <c r="AD450" i="16" s="1"/>
  <c r="W450" i="16"/>
  <c r="AC450" i="16" s="1"/>
  <c r="V450" i="16"/>
  <c r="AB450" i="16" s="1"/>
  <c r="X449" i="16"/>
  <c r="AD449" i="16" s="1"/>
  <c r="W449" i="16"/>
  <c r="AC449" i="16" s="1"/>
  <c r="V449" i="16"/>
  <c r="AB449" i="16" s="1"/>
  <c r="X448" i="16"/>
  <c r="AD448" i="16" s="1"/>
  <c r="W448" i="16"/>
  <c r="AC448" i="16" s="1"/>
  <c r="V448" i="16"/>
  <c r="AB448" i="16" s="1"/>
  <c r="X447" i="16"/>
  <c r="AD447" i="16" s="1"/>
  <c r="W447" i="16"/>
  <c r="AC447" i="16" s="1"/>
  <c r="V447" i="16"/>
  <c r="AB447" i="16" s="1"/>
  <c r="X446" i="16"/>
  <c r="AD446" i="16" s="1"/>
  <c r="W446" i="16"/>
  <c r="AC446" i="16" s="1"/>
  <c r="V446" i="16"/>
  <c r="AB446" i="16" s="1"/>
  <c r="X445" i="16"/>
  <c r="AD445" i="16" s="1"/>
  <c r="W445" i="16"/>
  <c r="AC445" i="16" s="1"/>
  <c r="V445" i="16"/>
  <c r="AB445" i="16" s="1"/>
  <c r="X444" i="16"/>
  <c r="AD444" i="16" s="1"/>
  <c r="W444" i="16"/>
  <c r="AC444" i="16" s="1"/>
  <c r="V444" i="16"/>
  <c r="AB444" i="16" s="1"/>
  <c r="X443" i="16"/>
  <c r="AD443" i="16" s="1"/>
  <c r="W443" i="16"/>
  <c r="AC443" i="16" s="1"/>
  <c r="V443" i="16"/>
  <c r="AB443" i="16" s="1"/>
  <c r="X442" i="16"/>
  <c r="AD442" i="16" s="1"/>
  <c r="W442" i="16"/>
  <c r="AC442" i="16" s="1"/>
  <c r="V442" i="16"/>
  <c r="AB442" i="16" s="1"/>
  <c r="X441" i="16"/>
  <c r="AD441" i="16" s="1"/>
  <c r="W441" i="16"/>
  <c r="AC441" i="16" s="1"/>
  <c r="V441" i="16"/>
  <c r="AB441" i="16" s="1"/>
  <c r="X440" i="16"/>
  <c r="AD440" i="16" s="1"/>
  <c r="W440" i="16"/>
  <c r="AC440" i="16" s="1"/>
  <c r="V440" i="16"/>
  <c r="AB440" i="16" s="1"/>
  <c r="X439" i="16"/>
  <c r="AD439" i="16" s="1"/>
  <c r="W439" i="16"/>
  <c r="AC439" i="16" s="1"/>
  <c r="V439" i="16"/>
  <c r="AB439" i="16" s="1"/>
  <c r="X438" i="16"/>
  <c r="AD438" i="16" s="1"/>
  <c r="W438" i="16"/>
  <c r="AC438" i="16" s="1"/>
  <c r="V438" i="16"/>
  <c r="AB438" i="16" s="1"/>
  <c r="X437" i="16"/>
  <c r="AD437" i="16" s="1"/>
  <c r="W437" i="16"/>
  <c r="AC437" i="16" s="1"/>
  <c r="V437" i="16"/>
  <c r="AB437" i="16" s="1"/>
  <c r="X436" i="16"/>
  <c r="AD436" i="16" s="1"/>
  <c r="W436" i="16"/>
  <c r="AC436" i="16" s="1"/>
  <c r="V436" i="16"/>
  <c r="AB436" i="16" s="1"/>
  <c r="X435" i="16"/>
  <c r="AD435" i="16" s="1"/>
  <c r="W435" i="16"/>
  <c r="AC435" i="16" s="1"/>
  <c r="V435" i="16"/>
  <c r="AB435" i="16" s="1"/>
  <c r="X434" i="16"/>
  <c r="AD434" i="16" s="1"/>
  <c r="W434" i="16"/>
  <c r="AC434" i="16" s="1"/>
  <c r="V434" i="16"/>
  <c r="AB434" i="16" s="1"/>
  <c r="X433" i="16"/>
  <c r="AD433" i="16" s="1"/>
  <c r="W433" i="16"/>
  <c r="AC433" i="16" s="1"/>
  <c r="V433" i="16"/>
  <c r="AB433" i="16" s="1"/>
  <c r="X432" i="16"/>
  <c r="AD432" i="16" s="1"/>
  <c r="W432" i="16"/>
  <c r="AC432" i="16" s="1"/>
  <c r="V432" i="16"/>
  <c r="AB432" i="16" s="1"/>
  <c r="X431" i="16"/>
  <c r="AD431" i="16" s="1"/>
  <c r="W431" i="16"/>
  <c r="AC431" i="16" s="1"/>
  <c r="V431" i="16"/>
  <c r="AB431" i="16" s="1"/>
  <c r="X430" i="16"/>
  <c r="AD430" i="16" s="1"/>
  <c r="W430" i="16"/>
  <c r="AC430" i="16" s="1"/>
  <c r="V430" i="16"/>
  <c r="AB430" i="16" s="1"/>
  <c r="X429" i="16"/>
  <c r="AD429" i="16" s="1"/>
  <c r="W429" i="16"/>
  <c r="AC429" i="16" s="1"/>
  <c r="V429" i="16"/>
  <c r="AB429" i="16" s="1"/>
  <c r="X428" i="16"/>
  <c r="AD428" i="16" s="1"/>
  <c r="W428" i="16"/>
  <c r="AC428" i="16" s="1"/>
  <c r="V428" i="16"/>
  <c r="AB428" i="16" s="1"/>
  <c r="X427" i="16"/>
  <c r="AD427" i="16" s="1"/>
  <c r="W427" i="16"/>
  <c r="AC427" i="16" s="1"/>
  <c r="V427" i="16"/>
  <c r="AB427" i="16" s="1"/>
  <c r="X426" i="16"/>
  <c r="AD426" i="16" s="1"/>
  <c r="W426" i="16"/>
  <c r="AC426" i="16" s="1"/>
  <c r="V426" i="16"/>
  <c r="AB426" i="16" s="1"/>
  <c r="X425" i="16"/>
  <c r="AD425" i="16" s="1"/>
  <c r="W425" i="16"/>
  <c r="AC425" i="16" s="1"/>
  <c r="V425" i="16"/>
  <c r="AB425" i="16" s="1"/>
  <c r="X424" i="16"/>
  <c r="AD424" i="16" s="1"/>
  <c r="W424" i="16"/>
  <c r="AC424" i="16" s="1"/>
  <c r="V424" i="16"/>
  <c r="AB424" i="16" s="1"/>
  <c r="X423" i="16"/>
  <c r="AD423" i="16" s="1"/>
  <c r="W423" i="16"/>
  <c r="AC423" i="16" s="1"/>
  <c r="V423" i="16"/>
  <c r="AB423" i="16" s="1"/>
  <c r="X422" i="16"/>
  <c r="AD422" i="16" s="1"/>
  <c r="W422" i="16"/>
  <c r="AC422" i="16" s="1"/>
  <c r="V422" i="16"/>
  <c r="AB422" i="16" s="1"/>
  <c r="X421" i="16"/>
  <c r="AD421" i="16" s="1"/>
  <c r="W421" i="16"/>
  <c r="AC421" i="16" s="1"/>
  <c r="V421" i="16"/>
  <c r="AB421" i="16" s="1"/>
  <c r="X420" i="16"/>
  <c r="AD420" i="16" s="1"/>
  <c r="W420" i="16"/>
  <c r="AC420" i="16" s="1"/>
  <c r="V420" i="16"/>
  <c r="AB420" i="16" s="1"/>
  <c r="X419" i="16"/>
  <c r="AD419" i="16" s="1"/>
  <c r="W419" i="16"/>
  <c r="AC419" i="16" s="1"/>
  <c r="V419" i="16"/>
  <c r="AB419" i="16" s="1"/>
  <c r="X418" i="16"/>
  <c r="AD418" i="16" s="1"/>
  <c r="W418" i="16"/>
  <c r="AC418" i="16" s="1"/>
  <c r="V418" i="16"/>
  <c r="AB418" i="16" s="1"/>
  <c r="X417" i="16"/>
  <c r="AD417" i="16" s="1"/>
  <c r="W417" i="16"/>
  <c r="AC417" i="16" s="1"/>
  <c r="V417" i="16"/>
  <c r="AB417" i="16" s="1"/>
  <c r="X416" i="16"/>
  <c r="AD416" i="16" s="1"/>
  <c r="W416" i="16"/>
  <c r="AC416" i="16" s="1"/>
  <c r="V416" i="16"/>
  <c r="AB416" i="16" s="1"/>
  <c r="X415" i="16"/>
  <c r="AD415" i="16" s="1"/>
  <c r="W415" i="16"/>
  <c r="AC415" i="16" s="1"/>
  <c r="V415" i="16"/>
  <c r="AB415" i="16" s="1"/>
  <c r="X414" i="16"/>
  <c r="AD414" i="16" s="1"/>
  <c r="W414" i="16"/>
  <c r="AC414" i="16" s="1"/>
  <c r="V414" i="16"/>
  <c r="AB414" i="16" s="1"/>
  <c r="X413" i="16"/>
  <c r="AD413" i="16" s="1"/>
  <c r="W413" i="16"/>
  <c r="AC413" i="16" s="1"/>
  <c r="V413" i="16"/>
  <c r="AB413" i="16" s="1"/>
  <c r="X412" i="16"/>
  <c r="AD412" i="16" s="1"/>
  <c r="W412" i="16"/>
  <c r="AC412" i="16" s="1"/>
  <c r="V412" i="16"/>
  <c r="AB412" i="16" s="1"/>
  <c r="X411" i="16"/>
  <c r="AD411" i="16" s="1"/>
  <c r="W411" i="16"/>
  <c r="AC411" i="16" s="1"/>
  <c r="V411" i="16"/>
  <c r="AB411" i="16" s="1"/>
  <c r="X410" i="16"/>
  <c r="AD410" i="16" s="1"/>
  <c r="W410" i="16"/>
  <c r="AC410" i="16" s="1"/>
  <c r="V410" i="16"/>
  <c r="X409" i="16"/>
  <c r="AD409" i="16" s="1"/>
  <c r="W409" i="16"/>
  <c r="AC409" i="16" s="1"/>
  <c r="V409" i="16"/>
  <c r="AB409" i="16" s="1"/>
  <c r="X408" i="16"/>
  <c r="AD408" i="16" s="1"/>
  <c r="W408" i="16"/>
  <c r="AC408" i="16" s="1"/>
  <c r="V408" i="16"/>
  <c r="AB408" i="16" s="1"/>
  <c r="X407" i="16"/>
  <c r="AD407" i="16" s="1"/>
  <c r="W407" i="16"/>
  <c r="AC407" i="16" s="1"/>
  <c r="V407" i="16"/>
  <c r="AB407" i="16" s="1"/>
  <c r="X406" i="16"/>
  <c r="AD406" i="16" s="1"/>
  <c r="W406" i="16"/>
  <c r="AC406" i="16" s="1"/>
  <c r="V406" i="16"/>
  <c r="AB406" i="16" s="1"/>
  <c r="X405" i="16"/>
  <c r="AD405" i="16" s="1"/>
  <c r="W405" i="16"/>
  <c r="AC405" i="16" s="1"/>
  <c r="V405" i="16"/>
  <c r="AB405" i="16" s="1"/>
  <c r="X404" i="16"/>
  <c r="AD404" i="16" s="1"/>
  <c r="W404" i="16"/>
  <c r="AC404" i="16" s="1"/>
  <c r="V404" i="16"/>
  <c r="AB404" i="16" s="1"/>
  <c r="X403" i="16"/>
  <c r="AD403" i="16" s="1"/>
  <c r="W403" i="16"/>
  <c r="AC403" i="16" s="1"/>
  <c r="V403" i="16"/>
  <c r="AB403" i="16" s="1"/>
  <c r="X402" i="16"/>
  <c r="AD402" i="16" s="1"/>
  <c r="W402" i="16"/>
  <c r="AC402" i="16" s="1"/>
  <c r="V402" i="16"/>
  <c r="AB402" i="16" s="1"/>
  <c r="X401" i="16"/>
  <c r="AD401" i="16" s="1"/>
  <c r="W401" i="16"/>
  <c r="AC401" i="16" s="1"/>
  <c r="V401" i="16"/>
  <c r="AB401" i="16" s="1"/>
  <c r="X400" i="16"/>
  <c r="AD400" i="16" s="1"/>
  <c r="W400" i="16"/>
  <c r="AC400" i="16" s="1"/>
  <c r="V400" i="16"/>
  <c r="AB400" i="16" s="1"/>
  <c r="X399" i="16"/>
  <c r="AD399" i="16" s="1"/>
  <c r="W399" i="16"/>
  <c r="AC399" i="16" s="1"/>
  <c r="V399" i="16"/>
  <c r="AB399" i="16" s="1"/>
  <c r="X398" i="16"/>
  <c r="AD398" i="16" s="1"/>
  <c r="W398" i="16"/>
  <c r="AC398" i="16" s="1"/>
  <c r="V398" i="16"/>
  <c r="AB398" i="16" s="1"/>
  <c r="X397" i="16"/>
  <c r="AD397" i="16" s="1"/>
  <c r="W397" i="16"/>
  <c r="AC397" i="16" s="1"/>
  <c r="V397" i="16"/>
  <c r="AB397" i="16" s="1"/>
  <c r="X396" i="16"/>
  <c r="AD396" i="16" s="1"/>
  <c r="W396" i="16"/>
  <c r="AC396" i="16" s="1"/>
  <c r="V396" i="16"/>
  <c r="AB396" i="16" s="1"/>
  <c r="X395" i="16"/>
  <c r="AD395" i="16" s="1"/>
  <c r="W395" i="16"/>
  <c r="AC395" i="16" s="1"/>
  <c r="V395" i="16"/>
  <c r="AB395" i="16" s="1"/>
  <c r="X394" i="16"/>
  <c r="AD394" i="16" s="1"/>
  <c r="W394" i="16"/>
  <c r="AC394" i="16" s="1"/>
  <c r="V394" i="16"/>
  <c r="AB394" i="16" s="1"/>
  <c r="X393" i="16"/>
  <c r="AD393" i="16" s="1"/>
  <c r="W393" i="16"/>
  <c r="AC393" i="16" s="1"/>
  <c r="V393" i="16"/>
  <c r="AB393" i="16" s="1"/>
  <c r="X392" i="16"/>
  <c r="AD392" i="16" s="1"/>
  <c r="W392" i="16"/>
  <c r="AC392" i="16" s="1"/>
  <c r="V392" i="16"/>
  <c r="AB392" i="16" s="1"/>
  <c r="X391" i="16"/>
  <c r="AD391" i="16" s="1"/>
  <c r="W391" i="16"/>
  <c r="AC391" i="16" s="1"/>
  <c r="V391" i="16"/>
  <c r="AB391" i="16" s="1"/>
  <c r="X390" i="16"/>
  <c r="AD390" i="16" s="1"/>
  <c r="W390" i="16"/>
  <c r="AC390" i="16" s="1"/>
  <c r="V390" i="16"/>
  <c r="AB390" i="16" s="1"/>
  <c r="X389" i="16"/>
  <c r="AD389" i="16" s="1"/>
  <c r="W389" i="16"/>
  <c r="AC389" i="16" s="1"/>
  <c r="V389" i="16"/>
  <c r="AB389" i="16" s="1"/>
  <c r="X388" i="16"/>
  <c r="AD388" i="16" s="1"/>
  <c r="W388" i="16"/>
  <c r="AC388" i="16" s="1"/>
  <c r="V388" i="16"/>
  <c r="AB388" i="16" s="1"/>
  <c r="X387" i="16"/>
  <c r="AD387" i="16" s="1"/>
  <c r="W387" i="16"/>
  <c r="AC387" i="16" s="1"/>
  <c r="V387" i="16"/>
  <c r="AB387" i="16" s="1"/>
  <c r="X386" i="16"/>
  <c r="AD386" i="16" s="1"/>
  <c r="W386" i="16"/>
  <c r="AC386" i="16" s="1"/>
  <c r="V386" i="16"/>
  <c r="AB386" i="16" s="1"/>
  <c r="X385" i="16"/>
  <c r="AD385" i="16" s="1"/>
  <c r="W385" i="16"/>
  <c r="AC385" i="16" s="1"/>
  <c r="V385" i="16"/>
  <c r="AB385" i="16" s="1"/>
  <c r="X384" i="16"/>
  <c r="AD384" i="16" s="1"/>
  <c r="W384" i="16"/>
  <c r="AC384" i="16" s="1"/>
  <c r="V384" i="16"/>
  <c r="AB384" i="16" s="1"/>
  <c r="X383" i="16"/>
  <c r="AD383" i="16" s="1"/>
  <c r="W383" i="16"/>
  <c r="AC383" i="16" s="1"/>
  <c r="V383" i="16"/>
  <c r="AB383" i="16" s="1"/>
  <c r="X382" i="16"/>
  <c r="AD382" i="16" s="1"/>
  <c r="W382" i="16"/>
  <c r="AC382" i="16" s="1"/>
  <c r="V382" i="16"/>
  <c r="AB382" i="16" s="1"/>
  <c r="X381" i="16"/>
  <c r="AD381" i="16" s="1"/>
  <c r="W381" i="16"/>
  <c r="AC381" i="16" s="1"/>
  <c r="V381" i="16"/>
  <c r="AB381" i="16" s="1"/>
  <c r="X380" i="16"/>
  <c r="AD380" i="16" s="1"/>
  <c r="W380" i="16"/>
  <c r="AC380" i="16" s="1"/>
  <c r="V380" i="16"/>
  <c r="AB380" i="16" s="1"/>
  <c r="X379" i="16"/>
  <c r="AD379" i="16" s="1"/>
  <c r="W379" i="16"/>
  <c r="AC379" i="16" s="1"/>
  <c r="V379" i="16"/>
  <c r="AB379" i="16" s="1"/>
  <c r="X378" i="16"/>
  <c r="AD378" i="16" s="1"/>
  <c r="W378" i="16"/>
  <c r="AC378" i="16" s="1"/>
  <c r="V378" i="16"/>
  <c r="AB378" i="16" s="1"/>
  <c r="X377" i="16"/>
  <c r="AD377" i="16" s="1"/>
  <c r="W377" i="16"/>
  <c r="AC377" i="16" s="1"/>
  <c r="V377" i="16"/>
  <c r="AB377" i="16" s="1"/>
  <c r="X376" i="16"/>
  <c r="AD376" i="16" s="1"/>
  <c r="W376" i="16"/>
  <c r="AC376" i="16" s="1"/>
  <c r="V376" i="16"/>
  <c r="AB376" i="16" s="1"/>
  <c r="X375" i="16"/>
  <c r="AD375" i="16" s="1"/>
  <c r="W375" i="16"/>
  <c r="AC375" i="16" s="1"/>
  <c r="V375" i="16"/>
  <c r="AB375" i="16" s="1"/>
  <c r="X374" i="16"/>
  <c r="AD374" i="16" s="1"/>
  <c r="W374" i="16"/>
  <c r="AC374" i="16" s="1"/>
  <c r="V374" i="16"/>
  <c r="AB374" i="16" s="1"/>
  <c r="X373" i="16"/>
  <c r="AD373" i="16" s="1"/>
  <c r="W373" i="16"/>
  <c r="AC373" i="16" s="1"/>
  <c r="V373" i="16"/>
  <c r="AB373" i="16" s="1"/>
  <c r="X372" i="16"/>
  <c r="AD372" i="16" s="1"/>
  <c r="W372" i="16"/>
  <c r="AC372" i="16" s="1"/>
  <c r="V372" i="16"/>
  <c r="AB372" i="16" s="1"/>
  <c r="X371" i="16"/>
  <c r="AD371" i="16" s="1"/>
  <c r="W371" i="16"/>
  <c r="AC371" i="16" s="1"/>
  <c r="V371" i="16"/>
  <c r="AB371" i="16" s="1"/>
  <c r="X370" i="16"/>
  <c r="AD370" i="16" s="1"/>
  <c r="W370" i="16"/>
  <c r="AC370" i="16" s="1"/>
  <c r="V370" i="16"/>
  <c r="AB370" i="16" s="1"/>
  <c r="X369" i="16"/>
  <c r="AD369" i="16" s="1"/>
  <c r="W369" i="16"/>
  <c r="AC369" i="16" s="1"/>
  <c r="V369" i="16"/>
  <c r="AB369" i="16" s="1"/>
  <c r="X368" i="16"/>
  <c r="AD368" i="16" s="1"/>
  <c r="W368" i="16"/>
  <c r="AC368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AD365" i="16" s="1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AD363" i="16" s="1"/>
  <c r="W363" i="16"/>
  <c r="AC363" i="16" s="1"/>
  <c r="V363" i="16"/>
  <c r="AB363" i="16" s="1"/>
  <c r="X362" i="16"/>
  <c r="AD362" i="16" s="1"/>
  <c r="W362" i="16"/>
  <c r="AC362" i="16" s="1"/>
  <c r="V362" i="16"/>
  <c r="AB362" i="16" s="1"/>
  <c r="X361" i="16"/>
  <c r="AD361" i="16" s="1"/>
  <c r="W361" i="16"/>
  <c r="AC361" i="16" s="1"/>
  <c r="V361" i="16"/>
  <c r="AB361" i="16" s="1"/>
  <c r="X360" i="16"/>
  <c r="AD360" i="16" s="1"/>
  <c r="W360" i="16"/>
  <c r="AC360" i="16" s="1"/>
  <c r="V360" i="16"/>
  <c r="AB360" i="16" s="1"/>
  <c r="X359" i="16"/>
  <c r="AD359" i="16" s="1"/>
  <c r="W359" i="16"/>
  <c r="AC359" i="16" s="1"/>
  <c r="V359" i="16"/>
  <c r="AB359" i="16" s="1"/>
  <c r="X358" i="16"/>
  <c r="AD358" i="16" s="1"/>
  <c r="W358" i="16"/>
  <c r="AC358" i="16" s="1"/>
  <c r="V358" i="16"/>
  <c r="AB358" i="16" s="1"/>
  <c r="X357" i="16"/>
  <c r="AD357" i="16" s="1"/>
  <c r="W357" i="16"/>
  <c r="AC357" i="16" s="1"/>
  <c r="V357" i="16"/>
  <c r="AB357" i="16" s="1"/>
  <c r="X356" i="16"/>
  <c r="AD356" i="16" s="1"/>
  <c r="W356" i="16"/>
  <c r="AC356" i="16" s="1"/>
  <c r="V356" i="16"/>
  <c r="AB356" i="16" s="1"/>
  <c r="X355" i="16"/>
  <c r="AD355" i="16" s="1"/>
  <c r="W355" i="16"/>
  <c r="AC355" i="16" s="1"/>
  <c r="V355" i="16"/>
  <c r="AB355" i="16" s="1"/>
  <c r="X354" i="16"/>
  <c r="AD354" i="16" s="1"/>
  <c r="W354" i="16"/>
  <c r="AC354" i="16" s="1"/>
  <c r="V354" i="16"/>
  <c r="AB354" i="16" s="1"/>
  <c r="X353" i="16"/>
  <c r="AD353" i="16" s="1"/>
  <c r="W353" i="16"/>
  <c r="AC353" i="16" s="1"/>
  <c r="V353" i="16"/>
  <c r="AB353" i="16" s="1"/>
  <c r="X352" i="16"/>
  <c r="AD352" i="16" s="1"/>
  <c r="W352" i="16"/>
  <c r="AC352" i="16" s="1"/>
  <c r="V352" i="16"/>
  <c r="AB352" i="16" s="1"/>
  <c r="X351" i="16"/>
  <c r="AD351" i="16" s="1"/>
  <c r="W351" i="16"/>
  <c r="AC351" i="16" s="1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AD347" i="16" s="1"/>
  <c r="W347" i="16"/>
  <c r="AC347" i="16" s="1"/>
  <c r="V347" i="16"/>
  <c r="AB347" i="16" s="1"/>
  <c r="X346" i="16"/>
  <c r="AD346" i="16" s="1"/>
  <c r="W346" i="16"/>
  <c r="AC346" i="16" s="1"/>
  <c r="V346" i="16"/>
  <c r="AB346" i="16" s="1"/>
  <c r="X345" i="16"/>
  <c r="AD345" i="16" s="1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AD232" i="16" s="1"/>
  <c r="W232" i="16"/>
  <c r="AC232" i="16" s="1"/>
  <c r="V232" i="16"/>
  <c r="AB232" i="16" s="1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AD227" i="16" s="1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AB224" i="16" s="1"/>
  <c r="V223" i="16"/>
  <c r="AB223" i="16" s="1"/>
  <c r="V222" i="16"/>
  <c r="AB222" i="16" s="1"/>
  <c r="V221" i="16"/>
  <c r="AB221" i="16" s="1"/>
  <c r="V220" i="16"/>
  <c r="AB220" i="16" s="1"/>
  <c r="V219" i="16"/>
  <c r="AB219" i="16" s="1"/>
  <c r="V218" i="16"/>
  <c r="AB218" i="16" s="1"/>
  <c r="V217" i="16"/>
  <c r="AB217" i="16" s="1"/>
  <c r="V216" i="16"/>
  <c r="AB216" i="16" s="1"/>
  <c r="V215" i="16"/>
  <c r="AB215" i="16" s="1"/>
  <c r="V214" i="16"/>
  <c r="AB214" i="16" s="1"/>
  <c r="X213" i="16"/>
  <c r="AD213" i="16" s="1"/>
  <c r="W213" i="16"/>
  <c r="AC213" i="16" s="1"/>
  <c r="X212" i="16"/>
  <c r="AD212" i="16" s="1"/>
  <c r="W212" i="16"/>
  <c r="AC212" i="16" s="1"/>
  <c r="X211" i="16"/>
  <c r="AD211" i="16" s="1"/>
  <c r="W211" i="16"/>
  <c r="AC211" i="16" s="1"/>
  <c r="X210" i="16"/>
  <c r="AD210" i="16" s="1"/>
  <c r="W210" i="16"/>
  <c r="AC210" i="16" s="1"/>
  <c r="X209" i="16"/>
  <c r="AD209" i="16" s="1"/>
  <c r="W209" i="16"/>
  <c r="AC209" i="16" s="1"/>
  <c r="X208" i="16"/>
  <c r="AD208" i="16" s="1"/>
  <c r="W208" i="16"/>
  <c r="AC208" i="16" s="1"/>
  <c r="X207" i="16"/>
  <c r="AD207" i="16" s="1"/>
  <c r="W207" i="16"/>
  <c r="AC207" i="16" s="1"/>
  <c r="X206" i="16"/>
  <c r="AD206" i="16" s="1"/>
  <c r="W206" i="16"/>
  <c r="AC206" i="16" s="1"/>
  <c r="X205" i="16"/>
  <c r="AD205" i="16" s="1"/>
  <c r="W205" i="16"/>
  <c r="AC205" i="16" s="1"/>
  <c r="X204" i="16"/>
  <c r="AD204" i="16" s="1"/>
  <c r="W204" i="16"/>
  <c r="AC204" i="16" s="1"/>
  <c r="V203" i="16"/>
  <c r="AB203" i="16" s="1"/>
  <c r="V202" i="16"/>
  <c r="AB202" i="16" s="1"/>
  <c r="V201" i="16"/>
  <c r="AB201" i="16" s="1"/>
  <c r="V200" i="16"/>
  <c r="AB200" i="16" s="1"/>
  <c r="V199" i="16"/>
  <c r="AB199" i="16" s="1"/>
  <c r="V198" i="16"/>
  <c r="AB198" i="16" s="1"/>
  <c r="V197" i="16"/>
  <c r="AB197" i="16" s="1"/>
  <c r="V196" i="16"/>
  <c r="AB196" i="16" s="1"/>
  <c r="V195" i="16"/>
  <c r="AB195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AC188" i="16" s="1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AB183" i="16" s="1"/>
  <c r="X182" i="16"/>
  <c r="AD182" i="16" s="1"/>
  <c r="W182" i="16"/>
  <c r="AC182" i="16" s="1"/>
  <c r="V182" i="16"/>
  <c r="AB182" i="16" s="1"/>
  <c r="X181" i="16"/>
  <c r="AD181" i="16" s="1"/>
  <c r="W181" i="16"/>
  <c r="AC181" i="16" s="1"/>
  <c r="V181" i="16"/>
  <c r="AB181" i="16" s="1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AB179" i="16" s="1"/>
  <c r="X178" i="16"/>
  <c r="AD178" i="16" s="1"/>
  <c r="W178" i="16"/>
  <c r="AC178" i="16" s="1"/>
  <c r="V178" i="16"/>
  <c r="AB178" i="16" s="1"/>
  <c r="X177" i="16"/>
  <c r="AD177" i="16" s="1"/>
  <c r="W177" i="16"/>
  <c r="AC177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Z51" i="6"/>
  <c r="X51" i="6"/>
  <c r="W51" i="6"/>
  <c r="V51" i="6"/>
  <c r="U51" i="6"/>
  <c r="AD50" i="6"/>
  <c r="AB50" i="6"/>
  <c r="AA50" i="6"/>
  <c r="Z50" i="6"/>
  <c r="X50" i="6"/>
  <c r="W50" i="6"/>
  <c r="V50" i="6"/>
  <c r="U50" i="6"/>
  <c r="AD49" i="6"/>
  <c r="AB49" i="6"/>
  <c r="AA49" i="6"/>
  <c r="AA49" i="7" s="1"/>
  <c r="Z49" i="6"/>
  <c r="X49" i="6"/>
  <c r="W49" i="6"/>
  <c r="V49" i="6"/>
  <c r="U49" i="6"/>
  <c r="AD48" i="6"/>
  <c r="AB48" i="6"/>
  <c r="AA48" i="6"/>
  <c r="Z48" i="6"/>
  <c r="X48" i="6"/>
  <c r="W48" i="6"/>
  <c r="V48" i="6"/>
  <c r="U48" i="6"/>
  <c r="AD47" i="6"/>
  <c r="AB47" i="6"/>
  <c r="AA47" i="6"/>
  <c r="Z47" i="6"/>
  <c r="X47" i="6"/>
  <c r="W47" i="6"/>
  <c r="V47" i="6"/>
  <c r="U47" i="6"/>
  <c r="AD46" i="6"/>
  <c r="AB46" i="6"/>
  <c r="AA46" i="6"/>
  <c r="Z46" i="6"/>
  <c r="X46" i="6"/>
  <c r="W46" i="6"/>
  <c r="V46" i="6"/>
  <c r="U46" i="6"/>
  <c r="AD45" i="6"/>
  <c r="AB45" i="6"/>
  <c r="AA45" i="6"/>
  <c r="AA45" i="7" s="1"/>
  <c r="Z45" i="6"/>
  <c r="X45" i="6"/>
  <c r="W45" i="6"/>
  <c r="V45" i="6"/>
  <c r="U45" i="6"/>
  <c r="AD44" i="6"/>
  <c r="AB44" i="6"/>
  <c r="AA44" i="6"/>
  <c r="Z44" i="6"/>
  <c r="X44" i="6"/>
  <c r="W44" i="6"/>
  <c r="V44" i="6"/>
  <c r="U44" i="6"/>
  <c r="AD43" i="6"/>
  <c r="AB43" i="6"/>
  <c r="AA43" i="6"/>
  <c r="Z43" i="6"/>
  <c r="X43" i="6"/>
  <c r="W43" i="6"/>
  <c r="V43" i="6"/>
  <c r="U43" i="6"/>
  <c r="AD42" i="6"/>
  <c r="AB42" i="6"/>
  <c r="AA42" i="6"/>
  <c r="Z42" i="6"/>
  <c r="Y42" i="6"/>
  <c r="X42" i="6"/>
  <c r="W42" i="6"/>
  <c r="V42" i="6"/>
  <c r="U42" i="6"/>
  <c r="AD41" i="6"/>
  <c r="AB41" i="6"/>
  <c r="AA41" i="6"/>
  <c r="AA41" i="7" s="1"/>
  <c r="Z41" i="6"/>
  <c r="X41" i="6"/>
  <c r="W41" i="6"/>
  <c r="V41" i="6"/>
  <c r="U41" i="6"/>
  <c r="AD40" i="6"/>
  <c r="AB40" i="6"/>
  <c r="AA40" i="6"/>
  <c r="Z40" i="6"/>
  <c r="X40" i="6"/>
  <c r="W40" i="6"/>
  <c r="V40" i="6"/>
  <c r="U40" i="6"/>
  <c r="AD39" i="6"/>
  <c r="AB39" i="6"/>
  <c r="AA39" i="6"/>
  <c r="Z39" i="6"/>
  <c r="X39" i="6"/>
  <c r="W39" i="6"/>
  <c r="V39" i="6"/>
  <c r="U39" i="6"/>
  <c r="AD38" i="6"/>
  <c r="AB38" i="6"/>
  <c r="AA38" i="6"/>
  <c r="Z38" i="6"/>
  <c r="X38" i="6"/>
  <c r="W38" i="6"/>
  <c r="V38" i="6"/>
  <c r="U38" i="6"/>
  <c r="AD37" i="6"/>
  <c r="AB37" i="6"/>
  <c r="AA37" i="6"/>
  <c r="AA37" i="7" s="1"/>
  <c r="Z37" i="6"/>
  <c r="X37" i="6"/>
  <c r="W37" i="6"/>
  <c r="V37" i="6"/>
  <c r="U37" i="6"/>
  <c r="AD36" i="6"/>
  <c r="AC36" i="6"/>
  <c r="AB36" i="6"/>
  <c r="AA36" i="6"/>
  <c r="Z36" i="6"/>
  <c r="X36" i="6"/>
  <c r="W36" i="6"/>
  <c r="V36" i="6"/>
  <c r="U36" i="6"/>
  <c r="AD35" i="6"/>
  <c r="AB35" i="6"/>
  <c r="AA35" i="6"/>
  <c r="Z35" i="6"/>
  <c r="X35" i="6"/>
  <c r="W35" i="6"/>
  <c r="V35" i="6"/>
  <c r="U35" i="6"/>
  <c r="AD34" i="6"/>
  <c r="AB34" i="6"/>
  <c r="AA34" i="6"/>
  <c r="Z34" i="6"/>
  <c r="X34" i="6"/>
  <c r="W34" i="6"/>
  <c r="V34" i="6"/>
  <c r="U34" i="6"/>
  <c r="AD33" i="6"/>
  <c r="AB33" i="6"/>
  <c r="AA33" i="6"/>
  <c r="AA33" i="7" s="1"/>
  <c r="Z33" i="6"/>
  <c r="X33" i="6"/>
  <c r="W33" i="6"/>
  <c r="V33" i="6"/>
  <c r="U33" i="6"/>
  <c r="AD32" i="6"/>
  <c r="AB32" i="6"/>
  <c r="AA32" i="6"/>
  <c r="Z32" i="6"/>
  <c r="X32" i="6"/>
  <c r="W32" i="6"/>
  <c r="V32" i="6"/>
  <c r="U32" i="6"/>
  <c r="AD31" i="6"/>
  <c r="AB31" i="6"/>
  <c r="AA31" i="6"/>
  <c r="Z31" i="6"/>
  <c r="X31" i="6"/>
  <c r="W31" i="6"/>
  <c r="V31" i="6"/>
  <c r="U31" i="6"/>
  <c r="AD30" i="6"/>
  <c r="AB30" i="6"/>
  <c r="AA30" i="6"/>
  <c r="Z30" i="6"/>
  <c r="X30" i="6"/>
  <c r="W30" i="6"/>
  <c r="V30" i="6"/>
  <c r="U30" i="6"/>
  <c r="AD29" i="6"/>
  <c r="AB29" i="6"/>
  <c r="AA29" i="6"/>
  <c r="AA29" i="7" s="1"/>
  <c r="Z29" i="6"/>
  <c r="X29" i="6"/>
  <c r="W29" i="6"/>
  <c r="V29" i="6"/>
  <c r="U29" i="6"/>
  <c r="AD28" i="6"/>
  <c r="AB28" i="6"/>
  <c r="AA28" i="6"/>
  <c r="Z28" i="6"/>
  <c r="X28" i="6"/>
  <c r="W28" i="6"/>
  <c r="V28" i="6"/>
  <c r="U28" i="6"/>
  <c r="AD27" i="6"/>
  <c r="AB27" i="6"/>
  <c r="AA27" i="6"/>
  <c r="Z27" i="6"/>
  <c r="X27" i="6"/>
  <c r="W27" i="6"/>
  <c r="V27" i="6"/>
  <c r="U27" i="6"/>
  <c r="AD26" i="6"/>
  <c r="AB26" i="6"/>
  <c r="AA26" i="6"/>
  <c r="Z26" i="6"/>
  <c r="Y26" i="6"/>
  <c r="X26" i="6"/>
  <c r="W26" i="6"/>
  <c r="V26" i="6"/>
  <c r="U26" i="6"/>
  <c r="AD25" i="6"/>
  <c r="AC25" i="6"/>
  <c r="AB25" i="6"/>
  <c r="AA25" i="6"/>
  <c r="AA25" i="7" s="1"/>
  <c r="Z25" i="6"/>
  <c r="Y25" i="6"/>
  <c r="X25" i="6"/>
  <c r="W25" i="6"/>
  <c r="V25" i="6"/>
  <c r="U25" i="6"/>
  <c r="AD24" i="6"/>
  <c r="AC24" i="6"/>
  <c r="AB24" i="6"/>
  <c r="AA24" i="6"/>
  <c r="Z24" i="6"/>
  <c r="X24" i="6"/>
  <c r="W24" i="6"/>
  <c r="V24" i="6"/>
  <c r="U24" i="6"/>
  <c r="AD23" i="6"/>
  <c r="AB23" i="6"/>
  <c r="AA23" i="6"/>
  <c r="Z23" i="6"/>
  <c r="X23" i="6"/>
  <c r="W23" i="6"/>
  <c r="V23" i="6"/>
  <c r="U23" i="6"/>
  <c r="AD22" i="6"/>
  <c r="AB22" i="6"/>
  <c r="AA22" i="6"/>
  <c r="Z22" i="6"/>
  <c r="X22" i="6"/>
  <c r="W22" i="6"/>
  <c r="V22" i="6"/>
  <c r="U22" i="6"/>
  <c r="AD21" i="6"/>
  <c r="AB21" i="6"/>
  <c r="AA21" i="6"/>
  <c r="AA21" i="7" s="1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Z19" i="6"/>
  <c r="Y19" i="6"/>
  <c r="X19" i="6"/>
  <c r="W19" i="6"/>
  <c r="V19" i="6"/>
  <c r="U19" i="6"/>
  <c r="AD18" i="6"/>
  <c r="AC18" i="6"/>
  <c r="AB18" i="6"/>
  <c r="AA18" i="6"/>
  <c r="Z18" i="6"/>
  <c r="Y18" i="6"/>
  <c r="X18" i="6"/>
  <c r="W18" i="6"/>
  <c r="V18" i="6"/>
  <c r="U18" i="6"/>
  <c r="AD17" i="6"/>
  <c r="AC17" i="6"/>
  <c r="AB17" i="6"/>
  <c r="AA17" i="6"/>
  <c r="AA17" i="7" s="1"/>
  <c r="Z17" i="6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Z15" i="6"/>
  <c r="Y15" i="6"/>
  <c r="X15" i="6"/>
  <c r="W15" i="6"/>
  <c r="V15" i="6"/>
  <c r="U15" i="6"/>
  <c r="AD14" i="6"/>
  <c r="AC14" i="6"/>
  <c r="AB14" i="6"/>
  <c r="AA14" i="6"/>
  <c r="Z14" i="6"/>
  <c r="Y14" i="6"/>
  <c r="X14" i="6"/>
  <c r="W14" i="6"/>
  <c r="V14" i="6"/>
  <c r="U14" i="6"/>
  <c r="AD13" i="6"/>
  <c r="AC13" i="6"/>
  <c r="AB13" i="6"/>
  <c r="AA13" i="6"/>
  <c r="AA13" i="7" s="1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Z11" i="6"/>
  <c r="Y11" i="6"/>
  <c r="X11" i="6"/>
  <c r="W11" i="6"/>
  <c r="V11" i="6"/>
  <c r="U11" i="6"/>
  <c r="AD10" i="6"/>
  <c r="AC10" i="6"/>
  <c r="AB10" i="6"/>
  <c r="AA10" i="6"/>
  <c r="Z10" i="6"/>
  <c r="Y10" i="6"/>
  <c r="X10" i="6"/>
  <c r="W10" i="6"/>
  <c r="V10" i="6"/>
  <c r="U10" i="6"/>
  <c r="AD9" i="6"/>
  <c r="AC9" i="6"/>
  <c r="AB9" i="6"/>
  <c r="AA9" i="6"/>
  <c r="AA9" i="7" s="1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Z7" i="6"/>
  <c r="Y7" i="6"/>
  <c r="X7" i="6"/>
  <c r="W7" i="6"/>
  <c r="V7" i="6"/>
  <c r="U7" i="6"/>
  <c r="AD6" i="6"/>
  <c r="AC6" i="6"/>
  <c r="AB6" i="6"/>
  <c r="AA6" i="6"/>
  <c r="Z6" i="6"/>
  <c r="Y6" i="6"/>
  <c r="X6" i="6"/>
  <c r="W6" i="6"/>
  <c r="V6" i="6"/>
  <c r="U6" i="6"/>
  <c r="AD5" i="6"/>
  <c r="AC5" i="6"/>
  <c r="AB5" i="6"/>
  <c r="AA5" i="6"/>
  <c r="AA5" i="7" s="1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AP24" i="14"/>
  <c r="AC24" i="14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7" i="13"/>
  <c r="V47" i="13"/>
  <c r="T47" i="13"/>
  <c r="P47" i="13"/>
  <c r="O47" i="13"/>
  <c r="N47" i="13"/>
  <c r="M47" i="13"/>
  <c r="V46" i="13"/>
  <c r="U46" i="13"/>
  <c r="T46" i="13"/>
  <c r="P46" i="13"/>
  <c r="O46" i="13"/>
  <c r="N46" i="13"/>
  <c r="M46" i="13"/>
  <c r="X45" i="13"/>
  <c r="V45" i="13"/>
  <c r="U45" i="13"/>
  <c r="T45" i="13"/>
  <c r="P45" i="13"/>
  <c r="O45" i="13"/>
  <c r="N45" i="13"/>
  <c r="M45" i="13"/>
  <c r="X47" i="12"/>
  <c r="V47" i="12"/>
  <c r="T47" i="12"/>
  <c r="P47" i="12"/>
  <c r="O47" i="12"/>
  <c r="N47" i="12"/>
  <c r="M47" i="12"/>
  <c r="V46" i="12"/>
  <c r="U46" i="12"/>
  <c r="T46" i="12"/>
  <c r="P46" i="12"/>
  <c r="O46" i="12"/>
  <c r="N46" i="12"/>
  <c r="M46" i="12"/>
  <c r="X45" i="12"/>
  <c r="V45" i="12"/>
  <c r="V49" i="12" s="1"/>
  <c r="U45" i="12"/>
  <c r="U49" i="12" s="1"/>
  <c r="T45" i="12"/>
  <c r="T49" i="12" s="1"/>
  <c r="P45" i="12"/>
  <c r="P49" i="12" s="1"/>
  <c r="O45" i="12"/>
  <c r="O49" i="12" s="1"/>
  <c r="N45" i="12"/>
  <c r="N49" i="12" s="1"/>
  <c r="M45" i="12"/>
  <c r="M49" i="12" s="1"/>
  <c r="Y42" i="1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7" i="11"/>
  <c r="V47" i="11"/>
  <c r="T47" i="11"/>
  <c r="P47" i="11"/>
  <c r="O47" i="11"/>
  <c r="N47" i="11"/>
  <c r="M47" i="11"/>
  <c r="V46" i="11"/>
  <c r="U46" i="11"/>
  <c r="T46" i="11"/>
  <c r="P46" i="11"/>
  <c r="O46" i="11"/>
  <c r="N46" i="11"/>
  <c r="M46" i="11"/>
  <c r="X45" i="11"/>
  <c r="V45" i="11"/>
  <c r="V49" i="11" s="1"/>
  <c r="U45" i="11"/>
  <c r="U49" i="11" s="1"/>
  <c r="T45" i="11"/>
  <c r="T49" i="11" s="1"/>
  <c r="P45" i="11"/>
  <c r="P49" i="11" s="1"/>
  <c r="O45" i="11"/>
  <c r="O49" i="11" s="1"/>
  <c r="N45" i="11"/>
  <c r="N49" i="11" s="1"/>
  <c r="M45" i="11"/>
  <c r="X47" i="10"/>
  <c r="X45" i="10"/>
  <c r="V47" i="10"/>
  <c r="V46" i="10"/>
  <c r="V45" i="10"/>
  <c r="U46" i="10"/>
  <c r="U45" i="10"/>
  <c r="T47" i="10"/>
  <c r="T46" i="10"/>
  <c r="T45" i="10"/>
  <c r="R48" i="10"/>
  <c r="P47" i="10"/>
  <c r="P46" i="10"/>
  <c r="P45" i="10"/>
  <c r="O47" i="10"/>
  <c r="O46" i="10"/>
  <c r="O45" i="10"/>
  <c r="N47" i="10"/>
  <c r="N46" i="10"/>
  <c r="N45" i="10"/>
  <c r="M47" i="10"/>
  <c r="M46" i="10"/>
  <c r="M45" i="10"/>
  <c r="Z42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5" i="10"/>
  <c r="Z14" i="10"/>
  <c r="Z13" i="10"/>
  <c r="Z12" i="10"/>
  <c r="V42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5" i="10"/>
  <c r="V14" i="10"/>
  <c r="V13" i="10"/>
  <c r="V12" i="10"/>
  <c r="U42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5" i="10"/>
  <c r="U14" i="10"/>
  <c r="U13" i="10"/>
  <c r="U12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5" i="10"/>
  <c r="T14" i="10"/>
  <c r="T13" i="10"/>
  <c r="T12" i="10"/>
  <c r="R42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5" i="10"/>
  <c r="R14" i="10"/>
  <c r="R13" i="10"/>
  <c r="R12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5" i="10"/>
  <c r="P14" i="10"/>
  <c r="P13" i="10"/>
  <c r="P12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5" i="10"/>
  <c r="O14" i="10"/>
  <c r="O13" i="10"/>
  <c r="O12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5" i="10"/>
  <c r="N14" i="10"/>
  <c r="N13" i="10"/>
  <c r="N12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5" i="10"/>
  <c r="M14" i="10"/>
  <c r="M13" i="10"/>
  <c r="M12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5" i="10"/>
  <c r="L14" i="10"/>
  <c r="L13" i="10"/>
  <c r="L12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AA51" i="7"/>
  <c r="Z51" i="7"/>
  <c r="AG50" i="7"/>
  <c r="AA50" i="7"/>
  <c r="Z50" i="7"/>
  <c r="AG49" i="7"/>
  <c r="Z49" i="7"/>
  <c r="AG48" i="7"/>
  <c r="AA48" i="7"/>
  <c r="Z48" i="7"/>
  <c r="AG47" i="7"/>
  <c r="AA47" i="7"/>
  <c r="Z47" i="7"/>
  <c r="AG46" i="7"/>
  <c r="AA46" i="7"/>
  <c r="Z46" i="7"/>
  <c r="AG45" i="7"/>
  <c r="Z45" i="7"/>
  <c r="AG44" i="7"/>
  <c r="AA44" i="7"/>
  <c r="Z44" i="7"/>
  <c r="AG43" i="7"/>
  <c r="AA43" i="7"/>
  <c r="Z43" i="7"/>
  <c r="AG42" i="7"/>
  <c r="AA42" i="7"/>
  <c r="Z42" i="7"/>
  <c r="AG41" i="7"/>
  <c r="Z41" i="7"/>
  <c r="AG40" i="7"/>
  <c r="AA40" i="7"/>
  <c r="Z40" i="7"/>
  <c r="AG39" i="7"/>
  <c r="AA39" i="7"/>
  <c r="Z39" i="7"/>
  <c r="AG38" i="7"/>
  <c r="AA38" i="7"/>
  <c r="Z38" i="7"/>
  <c r="AG37" i="7"/>
  <c r="Z37" i="7"/>
  <c r="AG36" i="7"/>
  <c r="AA36" i="7"/>
  <c r="Z36" i="7"/>
  <c r="AG35" i="7"/>
  <c r="AA35" i="7"/>
  <c r="Z35" i="7"/>
  <c r="AG34" i="7"/>
  <c r="AA34" i="7"/>
  <c r="Z34" i="7"/>
  <c r="AG33" i="7"/>
  <c r="Z33" i="7"/>
  <c r="AG32" i="7"/>
  <c r="AA32" i="7"/>
  <c r="Z32" i="7"/>
  <c r="AG31" i="7"/>
  <c r="AA31" i="7"/>
  <c r="Z31" i="7"/>
  <c r="AG30" i="7"/>
  <c r="AA30" i="7"/>
  <c r="Z30" i="7"/>
  <c r="AG29" i="7"/>
  <c r="Z29" i="7"/>
  <c r="AG28" i="7"/>
  <c r="AA28" i="7"/>
  <c r="Z28" i="7"/>
  <c r="AG27" i="7"/>
  <c r="AA27" i="7"/>
  <c r="Z27" i="7"/>
  <c r="AG26" i="7"/>
  <c r="AA26" i="7"/>
  <c r="Z26" i="7"/>
  <c r="AG25" i="7"/>
  <c r="Z25" i="7"/>
  <c r="AG24" i="7"/>
  <c r="AA24" i="7"/>
  <c r="Z24" i="7"/>
  <c r="AG23" i="7"/>
  <c r="AA23" i="7"/>
  <c r="Z23" i="7"/>
  <c r="AG22" i="7"/>
  <c r="AA22" i="7"/>
  <c r="Z22" i="7"/>
  <c r="AG21" i="7"/>
  <c r="Z21" i="7"/>
  <c r="AG20" i="7"/>
  <c r="AA20" i="7"/>
  <c r="Z20" i="7"/>
  <c r="AG19" i="7"/>
  <c r="AA19" i="7"/>
  <c r="Z19" i="7"/>
  <c r="AG18" i="7"/>
  <c r="AA18" i="7"/>
  <c r="Z18" i="7"/>
  <c r="AG17" i="7"/>
  <c r="Z17" i="7"/>
  <c r="AG16" i="7"/>
  <c r="AA16" i="7"/>
  <c r="Z16" i="7"/>
  <c r="AG15" i="7"/>
  <c r="AA15" i="7"/>
  <c r="Z15" i="7"/>
  <c r="AG14" i="7"/>
  <c r="AA14" i="7"/>
  <c r="Z14" i="7"/>
  <c r="AG13" i="7"/>
  <c r="Z13" i="7"/>
  <c r="AG12" i="7"/>
  <c r="AA12" i="7"/>
  <c r="Z12" i="7"/>
  <c r="AG11" i="7"/>
  <c r="AA11" i="7"/>
  <c r="Z11" i="7"/>
  <c r="AG10" i="7"/>
  <c r="AA10" i="7"/>
  <c r="Z10" i="7"/>
  <c r="AG9" i="7"/>
  <c r="Z9" i="7"/>
  <c r="AG8" i="7"/>
  <c r="AA8" i="7"/>
  <c r="Z8" i="7"/>
  <c r="AG7" i="7"/>
  <c r="AA7" i="7"/>
  <c r="Z7" i="7"/>
  <c r="AG6" i="7"/>
  <c r="AA6" i="7"/>
  <c r="Z6" i="7"/>
  <c r="AG5" i="7"/>
  <c r="Z5" i="7"/>
  <c r="AK56" i="7"/>
  <c r="AH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H58" i="6"/>
  <c r="AF58" i="6"/>
  <c r="AF57" i="6"/>
  <c r="AF56" i="6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V58" i="6"/>
  <c r="V57" i="6"/>
  <c r="U57" i="6"/>
  <c r="U56" i="6"/>
  <c r="S58" i="6"/>
  <c r="S57" i="6"/>
  <c r="S56" i="6"/>
  <c r="R58" i="6"/>
  <c r="R57" i="6"/>
  <c r="R56" i="6"/>
  <c r="Q58" i="6"/>
  <c r="Q57" i="6"/>
  <c r="Q56" i="6"/>
  <c r="P58" i="6"/>
  <c r="P57" i="6"/>
  <c r="P56" i="6"/>
  <c r="O58" i="6"/>
  <c r="O57" i="6"/>
  <c r="O56" i="6"/>
  <c r="M58" i="6"/>
  <c r="M57" i="6"/>
  <c r="M56" i="6"/>
  <c r="L58" i="6"/>
  <c r="L57" i="6"/>
  <c r="L56" i="6"/>
  <c r="L54" i="7" s="1"/>
  <c r="AK16" i="6"/>
  <c r="AK15" i="6"/>
  <c r="AK10" i="6"/>
  <c r="AK9" i="6"/>
  <c r="AK6" i="6"/>
  <c r="AK5" i="6"/>
  <c r="AI51" i="6"/>
  <c r="AI50" i="6"/>
  <c r="AI49" i="6"/>
  <c r="AI48" i="6"/>
  <c r="AI47" i="6"/>
  <c r="AI46" i="6"/>
  <c r="AI45" i="6"/>
  <c r="AI44" i="6"/>
  <c r="AI43" i="6"/>
  <c r="AI42" i="6"/>
  <c r="AI41" i="6"/>
  <c r="AI40" i="6"/>
  <c r="AI39" i="6"/>
  <c r="AI38" i="6"/>
  <c r="AI37" i="6"/>
  <c r="AI36" i="6"/>
  <c r="AI35" i="6"/>
  <c r="AI34" i="6"/>
  <c r="AI33" i="6"/>
  <c r="AI32" i="6"/>
  <c r="AI31" i="6"/>
  <c r="AI30" i="6"/>
  <c r="AI29" i="6"/>
  <c r="AI28" i="6"/>
  <c r="AI27" i="6"/>
  <c r="AI26" i="6"/>
  <c r="AI24" i="6"/>
  <c r="AI23" i="6"/>
  <c r="AI22" i="6"/>
  <c r="AI21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AJ56" i="6"/>
  <c r="AI58" i="6"/>
  <c r="AI55" i="7"/>
  <c r="AI56" i="6"/>
  <c r="AH56" i="6"/>
  <c r="W56" i="6"/>
  <c r="F18" i="5"/>
  <c r="F45" i="5"/>
  <c r="E45" i="5"/>
  <c r="D45" i="5"/>
  <c r="F43" i="5"/>
  <c r="D43" i="5"/>
  <c r="E41" i="5"/>
  <c r="D41" i="5"/>
  <c r="F28" i="5"/>
  <c r="AL58" i="6" s="1"/>
  <c r="E28" i="5"/>
  <c r="AL57" i="6" s="1"/>
  <c r="F23" i="5"/>
  <c r="AG56" i="7" s="1"/>
  <c r="D23" i="5"/>
  <c r="AG56" i="6" s="1"/>
  <c r="F20" i="5"/>
  <c r="E20" i="5"/>
  <c r="D20" i="5"/>
  <c r="AD56" i="6" s="1"/>
  <c r="E18" i="5"/>
  <c r="T39" i="4"/>
  <c r="S39" i="4"/>
  <c r="R39" i="4"/>
  <c r="Q39" i="4"/>
  <c r="P39" i="4"/>
  <c r="O39" i="4"/>
  <c r="N39" i="4"/>
  <c r="M39" i="4"/>
  <c r="L39" i="4"/>
  <c r="K39" i="4"/>
  <c r="J39" i="4"/>
  <c r="I39" i="4"/>
  <c r="U39" i="4" s="1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U43" i="3" s="1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U36" i="3" s="1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U35" i="3" s="1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U33" i="3" s="1"/>
  <c r="I33" i="3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U28" i="3" s="1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U27" i="3" s="1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U19" i="3" s="1"/>
  <c r="I19" i="3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U12" i="3" s="1"/>
  <c r="I12" i="3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L10" i="3"/>
  <c r="K10" i="3"/>
  <c r="J10" i="3"/>
  <c r="U10" i="3" s="1"/>
  <c r="I10" i="3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U7" i="3" s="1"/>
  <c r="L7" i="3"/>
  <c r="K7" i="3"/>
  <c r="J7" i="3"/>
  <c r="I7" i="3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I3" i="3"/>
  <c r="U3" i="3" s="1"/>
  <c r="T2" i="3"/>
  <c r="S2" i="3"/>
  <c r="R2" i="3"/>
  <c r="Q2" i="3"/>
  <c r="P2" i="3"/>
  <c r="O2" i="3"/>
  <c r="N2" i="3"/>
  <c r="M2" i="3"/>
  <c r="L2" i="3"/>
  <c r="K2" i="3"/>
  <c r="J2" i="3"/>
  <c r="U2" i="3" s="1"/>
  <c r="I2" i="3"/>
  <c r="H1" i="2"/>
  <c r="I38" i="23" l="1"/>
  <c r="AY90" i="23" s="1"/>
  <c r="I38" i="9"/>
  <c r="I38" i="8"/>
  <c r="I38" i="6"/>
  <c r="I38" i="7"/>
  <c r="I38" i="14"/>
  <c r="I46" i="23"/>
  <c r="I46" i="9"/>
  <c r="I46" i="8"/>
  <c r="I46" i="6"/>
  <c r="I46" i="7"/>
  <c r="I46" i="14"/>
  <c r="I36" i="23"/>
  <c r="I36" i="9"/>
  <c r="I36" i="7"/>
  <c r="I36" i="8"/>
  <c r="I36" i="6"/>
  <c r="I36" i="14"/>
  <c r="I17" i="23"/>
  <c r="I17" i="8"/>
  <c r="I17" i="6"/>
  <c r="I17" i="7"/>
  <c r="I17" i="14"/>
  <c r="I17" i="9"/>
  <c r="I21" i="23"/>
  <c r="I21" i="14"/>
  <c r="I21" i="9"/>
  <c r="I21" i="8"/>
  <c r="I21" i="6"/>
  <c r="I21" i="7"/>
  <c r="I33" i="23"/>
  <c r="AT85" i="23" s="1"/>
  <c r="I33" i="8"/>
  <c r="I33" i="7"/>
  <c r="I33" i="6"/>
  <c r="I33" i="14"/>
  <c r="I33" i="9"/>
  <c r="I49" i="23"/>
  <c r="I49" i="8"/>
  <c r="I49" i="7"/>
  <c r="I49" i="6"/>
  <c r="Y55" i="6" s="1"/>
  <c r="I49" i="14"/>
  <c r="I49" i="9"/>
  <c r="I10" i="24"/>
  <c r="I10" i="12"/>
  <c r="I10" i="11"/>
  <c r="I10" i="10"/>
  <c r="I10" i="13"/>
  <c r="I14" i="24"/>
  <c r="I14" i="11"/>
  <c r="I14" i="10"/>
  <c r="I14" i="13"/>
  <c r="I14" i="12"/>
  <c r="I16" i="24"/>
  <c r="I16" i="10"/>
  <c r="I16" i="13"/>
  <c r="I16" i="12"/>
  <c r="I16" i="11"/>
  <c r="I20" i="24"/>
  <c r="I20" i="12"/>
  <c r="I20" i="11"/>
  <c r="I20" i="10"/>
  <c r="I20" i="13"/>
  <c r="I24" i="24"/>
  <c r="I24" i="10"/>
  <c r="I24" i="13"/>
  <c r="I24" i="12"/>
  <c r="I24" i="11"/>
  <c r="I26" i="24"/>
  <c r="I26" i="12"/>
  <c r="I26" i="11"/>
  <c r="I26" i="10"/>
  <c r="I26" i="13"/>
  <c r="I28" i="24"/>
  <c r="I28" i="12"/>
  <c r="I28" i="11"/>
  <c r="I28" i="10"/>
  <c r="I28" i="13"/>
  <c r="I30" i="24"/>
  <c r="I30" i="11"/>
  <c r="I30" i="10"/>
  <c r="I30" i="13"/>
  <c r="I30" i="12"/>
  <c r="I32" i="24"/>
  <c r="I32" i="10"/>
  <c r="I32" i="13"/>
  <c r="I32" i="12"/>
  <c r="I32" i="11"/>
  <c r="I34" i="24"/>
  <c r="Z77" i="24" s="1"/>
  <c r="I34" i="12"/>
  <c r="I34" i="11"/>
  <c r="I34" i="10"/>
  <c r="I34" i="13"/>
  <c r="I36" i="24"/>
  <c r="I36" i="12"/>
  <c r="I36" i="11"/>
  <c r="I36" i="10"/>
  <c r="I36" i="13"/>
  <c r="I38" i="24"/>
  <c r="I38" i="11"/>
  <c r="I38" i="10"/>
  <c r="I38" i="13"/>
  <c r="I38" i="12"/>
  <c r="I40" i="24"/>
  <c r="I40" i="10"/>
  <c r="I40" i="13"/>
  <c r="I40" i="12"/>
  <c r="I40" i="11"/>
  <c r="I42" i="24"/>
  <c r="I42" i="12"/>
  <c r="I42" i="11"/>
  <c r="I42" i="10"/>
  <c r="I42" i="13"/>
  <c r="I30" i="23"/>
  <c r="I30" i="9"/>
  <c r="I30" i="8"/>
  <c r="I30" i="6"/>
  <c r="I30" i="7"/>
  <c r="I30" i="14"/>
  <c r="I9" i="23"/>
  <c r="AM61" i="23" s="1"/>
  <c r="I9" i="8"/>
  <c r="I9" i="7"/>
  <c r="I9" i="14"/>
  <c r="I9" i="9"/>
  <c r="I9" i="6"/>
  <c r="I19" i="23"/>
  <c r="AJ71" i="23" s="1"/>
  <c r="I19" i="7"/>
  <c r="I19" i="14"/>
  <c r="I19" i="9"/>
  <c r="I19" i="8"/>
  <c r="I19" i="6"/>
  <c r="I29" i="23"/>
  <c r="I29" i="7"/>
  <c r="I29" i="9"/>
  <c r="I29" i="14"/>
  <c r="I29" i="8"/>
  <c r="I29" i="6"/>
  <c r="I35" i="23"/>
  <c r="I35" i="14"/>
  <c r="I35" i="9"/>
  <c r="I35" i="7"/>
  <c r="I35" i="8"/>
  <c r="I35" i="6"/>
  <c r="I45" i="23"/>
  <c r="I45" i="7"/>
  <c r="I45" i="9"/>
  <c r="I45" i="14"/>
  <c r="I45" i="8"/>
  <c r="I45" i="6"/>
  <c r="I6" i="24"/>
  <c r="I6" i="11"/>
  <c r="I6" i="10"/>
  <c r="I6" i="13"/>
  <c r="I6" i="12"/>
  <c r="I8" i="24"/>
  <c r="I8" i="10"/>
  <c r="I8" i="13"/>
  <c r="I8" i="12"/>
  <c r="I8" i="11"/>
  <c r="I18" i="24"/>
  <c r="X61" i="24" s="1"/>
  <c r="I18" i="12"/>
  <c r="I18" i="11"/>
  <c r="I18" i="10"/>
  <c r="I18" i="13"/>
  <c r="P12" i="5"/>
  <c r="I5" i="23"/>
  <c r="AT57" i="23" s="1"/>
  <c r="I5" i="14"/>
  <c r="I5" i="9"/>
  <c r="I5" i="6"/>
  <c r="I5" i="8"/>
  <c r="I5" i="7"/>
  <c r="I13" i="23"/>
  <c r="AT65" i="23" s="1"/>
  <c r="I13" i="14"/>
  <c r="I13" i="9"/>
  <c r="I13" i="6"/>
  <c r="I13" i="8"/>
  <c r="I13" i="7"/>
  <c r="I15" i="23"/>
  <c r="AP67" i="23" s="1"/>
  <c r="I15" i="8"/>
  <c r="I15" i="7"/>
  <c r="I15" i="14"/>
  <c r="I15" i="9"/>
  <c r="I15" i="6"/>
  <c r="I11" i="23"/>
  <c r="BC63" i="23" s="1"/>
  <c r="I11" i="7"/>
  <c r="AE53" i="7" s="1"/>
  <c r="I11" i="14"/>
  <c r="I11" i="9"/>
  <c r="I11" i="6"/>
  <c r="I11" i="8"/>
  <c r="I23" i="23"/>
  <c r="AP75" i="23" s="1"/>
  <c r="I23" i="14"/>
  <c r="I23" i="8"/>
  <c r="I23" i="6"/>
  <c r="M38" i="6" s="1"/>
  <c r="I23" i="7"/>
  <c r="I23" i="9"/>
  <c r="I27" i="23"/>
  <c r="I27" i="14"/>
  <c r="I27" i="9"/>
  <c r="I27" i="7"/>
  <c r="I27" i="8"/>
  <c r="I27" i="6"/>
  <c r="I41" i="23"/>
  <c r="I41" i="8"/>
  <c r="I41" i="7"/>
  <c r="I41" i="6"/>
  <c r="I41" i="14"/>
  <c r="I41" i="9"/>
  <c r="I47" i="23"/>
  <c r="I47" i="8"/>
  <c r="I47" i="6"/>
  <c r="I47" i="14"/>
  <c r="I47" i="7"/>
  <c r="I47" i="9"/>
  <c r="I22" i="24"/>
  <c r="I22" i="11"/>
  <c r="I22" i="10"/>
  <c r="I22" i="13"/>
  <c r="I22" i="12"/>
  <c r="I39" i="23"/>
  <c r="I39" i="8"/>
  <c r="I39" i="6"/>
  <c r="I39" i="14"/>
  <c r="I39" i="7"/>
  <c r="I39" i="9"/>
  <c r="I22" i="23"/>
  <c r="BB74" i="23" s="1"/>
  <c r="I22" i="9"/>
  <c r="I22" i="8"/>
  <c r="I22" i="6"/>
  <c r="I22" i="14"/>
  <c r="I22" i="7"/>
  <c r="P13" i="5"/>
  <c r="I7" i="23"/>
  <c r="AM59" i="23" s="1"/>
  <c r="I7" i="6"/>
  <c r="M13" i="6" s="1"/>
  <c r="I7" i="8"/>
  <c r="I7" i="7"/>
  <c r="I7" i="14"/>
  <c r="I7" i="9"/>
  <c r="I10" i="23"/>
  <c r="AI62" i="23" s="1"/>
  <c r="I10" i="7"/>
  <c r="I10" i="14"/>
  <c r="I10" i="9"/>
  <c r="I10" i="6"/>
  <c r="I10" i="8"/>
  <c r="I25" i="23"/>
  <c r="I25" i="14"/>
  <c r="I25" i="8"/>
  <c r="I25" i="6"/>
  <c r="I25" i="9"/>
  <c r="I25" i="7"/>
  <c r="I37" i="23"/>
  <c r="AZ89" i="23" s="1"/>
  <c r="I37" i="7"/>
  <c r="I37" i="9"/>
  <c r="I37" i="14"/>
  <c r="I37" i="8"/>
  <c r="I37" i="6"/>
  <c r="I43" i="23"/>
  <c r="I43" i="14"/>
  <c r="I43" i="9"/>
  <c r="I43" i="7"/>
  <c r="I43" i="8"/>
  <c r="I43" i="6"/>
  <c r="I51" i="23"/>
  <c r="I51" i="14"/>
  <c r="I51" i="9"/>
  <c r="I51" i="7"/>
  <c r="I51" i="8"/>
  <c r="I51" i="6"/>
  <c r="I12" i="24"/>
  <c r="I12" i="12"/>
  <c r="I12" i="11"/>
  <c r="I12" i="10"/>
  <c r="I12" i="13"/>
  <c r="I31" i="23"/>
  <c r="AS83" i="23" s="1"/>
  <c r="I31" i="8"/>
  <c r="I31" i="6"/>
  <c r="I31" i="14"/>
  <c r="I31" i="7"/>
  <c r="I31" i="9"/>
  <c r="I6" i="23"/>
  <c r="I6" i="9"/>
  <c r="I6" i="6"/>
  <c r="Q55" i="6" s="1"/>
  <c r="Q60" i="6" s="1"/>
  <c r="I6" i="8"/>
  <c r="I6" i="7"/>
  <c r="I6" i="14"/>
  <c r="I8" i="23"/>
  <c r="AY60" i="23" s="1"/>
  <c r="I8" i="8"/>
  <c r="I8" i="7"/>
  <c r="I8" i="14"/>
  <c r="I8" i="9"/>
  <c r="I8" i="6"/>
  <c r="I12" i="23"/>
  <c r="I12" i="7"/>
  <c r="I12" i="14"/>
  <c r="I12" i="9"/>
  <c r="I12" i="6"/>
  <c r="I12" i="8"/>
  <c r="I14" i="23"/>
  <c r="I14" i="9"/>
  <c r="I14" i="6"/>
  <c r="I14" i="8"/>
  <c r="I14" i="7"/>
  <c r="I14" i="14"/>
  <c r="I16" i="23"/>
  <c r="AN68" i="23" s="1"/>
  <c r="I16" i="8"/>
  <c r="I16" i="7"/>
  <c r="AG53" i="7" s="1"/>
  <c r="I16" i="14"/>
  <c r="I16" i="9"/>
  <c r="I16" i="6"/>
  <c r="I18" i="23"/>
  <c r="I18" i="7"/>
  <c r="I18" i="14"/>
  <c r="I18" i="9"/>
  <c r="I18" i="8"/>
  <c r="I18" i="6"/>
  <c r="I20" i="23"/>
  <c r="I20" i="7"/>
  <c r="I20" i="14"/>
  <c r="I20" i="9"/>
  <c r="I20" i="8"/>
  <c r="I20" i="6"/>
  <c r="I24" i="23"/>
  <c r="AM76" i="23" s="1"/>
  <c r="I24" i="8"/>
  <c r="I24" i="7"/>
  <c r="I24" i="6"/>
  <c r="I24" i="14"/>
  <c r="I24" i="9"/>
  <c r="I26" i="23"/>
  <c r="I26" i="9"/>
  <c r="I26" i="7"/>
  <c r="I26" i="14"/>
  <c r="I26" i="8"/>
  <c r="I26" i="6"/>
  <c r="I28" i="23"/>
  <c r="I28" i="9"/>
  <c r="I28" i="7"/>
  <c r="I28" i="8"/>
  <c r="I28" i="6"/>
  <c r="M36" i="6" s="1"/>
  <c r="I28" i="14"/>
  <c r="I32" i="23"/>
  <c r="I32" i="8"/>
  <c r="I32" i="6"/>
  <c r="I32" i="7"/>
  <c r="I32" i="9"/>
  <c r="I32" i="14"/>
  <c r="I34" i="23"/>
  <c r="AJ86" i="23" s="1"/>
  <c r="I34" i="9"/>
  <c r="I34" i="7"/>
  <c r="I34" i="14"/>
  <c r="I34" i="8"/>
  <c r="I34" i="6"/>
  <c r="I40" i="23"/>
  <c r="I40" i="8"/>
  <c r="I40" i="6"/>
  <c r="I40" i="7"/>
  <c r="I40" i="9"/>
  <c r="I40" i="14"/>
  <c r="I42" i="23"/>
  <c r="I42" i="9"/>
  <c r="I42" i="7"/>
  <c r="I42" i="14"/>
  <c r="I42" i="8"/>
  <c r="I42" i="6"/>
  <c r="I44" i="23"/>
  <c r="I44" i="9"/>
  <c r="I44" i="7"/>
  <c r="I44" i="8"/>
  <c r="I44" i="6"/>
  <c r="I44" i="14"/>
  <c r="I48" i="23"/>
  <c r="AM100" i="23" s="1"/>
  <c r="I48" i="8"/>
  <c r="I48" i="6"/>
  <c r="I48" i="7"/>
  <c r="I48" i="9"/>
  <c r="I48" i="14"/>
  <c r="I50" i="23"/>
  <c r="I50" i="9"/>
  <c r="I50" i="7"/>
  <c r="AA53" i="7" s="1"/>
  <c r="AA58" i="7" s="1"/>
  <c r="I50" i="14"/>
  <c r="I50" i="8"/>
  <c r="I50" i="6"/>
  <c r="P14" i="5"/>
  <c r="I5" i="24"/>
  <c r="I5" i="12"/>
  <c r="I5" i="11"/>
  <c r="I5" i="10"/>
  <c r="I5" i="13"/>
  <c r="I7" i="24"/>
  <c r="I7" i="11"/>
  <c r="I7" i="10"/>
  <c r="I7" i="13"/>
  <c r="I7" i="12"/>
  <c r="I9" i="24"/>
  <c r="I9" i="13"/>
  <c r="I9" i="12"/>
  <c r="I9" i="11"/>
  <c r="I9" i="10"/>
  <c r="I11" i="24"/>
  <c r="I11" i="12"/>
  <c r="I11" i="11"/>
  <c r="I11" i="10"/>
  <c r="I11" i="13"/>
  <c r="I13" i="24"/>
  <c r="I13" i="12"/>
  <c r="I13" i="11"/>
  <c r="I13" i="10"/>
  <c r="I13" i="13"/>
  <c r="I15" i="24"/>
  <c r="I15" i="11"/>
  <c r="I15" i="10"/>
  <c r="R44" i="10" s="1"/>
  <c r="R49" i="10" s="1"/>
  <c r="I15" i="13"/>
  <c r="I15" i="12"/>
  <c r="I17" i="24"/>
  <c r="I17" i="13"/>
  <c r="I17" i="12"/>
  <c r="I17" i="11"/>
  <c r="I17" i="10"/>
  <c r="I19" i="24"/>
  <c r="I19" i="12"/>
  <c r="I19" i="11"/>
  <c r="I19" i="10"/>
  <c r="I19" i="13"/>
  <c r="I21" i="24"/>
  <c r="I21" i="12"/>
  <c r="I21" i="11"/>
  <c r="I21" i="10"/>
  <c r="I21" i="13"/>
  <c r="I23" i="24"/>
  <c r="I23" i="11"/>
  <c r="I23" i="10"/>
  <c r="I23" i="13"/>
  <c r="I23" i="12"/>
  <c r="I25" i="24"/>
  <c r="I25" i="13"/>
  <c r="I25" i="12"/>
  <c r="I25" i="11"/>
  <c r="I25" i="10"/>
  <c r="I27" i="24"/>
  <c r="I27" i="12"/>
  <c r="I27" i="11"/>
  <c r="I27" i="10"/>
  <c r="I27" i="13"/>
  <c r="I29" i="24"/>
  <c r="AE72" i="24" s="1"/>
  <c r="I29" i="12"/>
  <c r="I29" i="11"/>
  <c r="I29" i="10"/>
  <c r="I29" i="13"/>
  <c r="I31" i="24"/>
  <c r="AG74" i="24" s="1"/>
  <c r="I31" i="11"/>
  <c r="I31" i="10"/>
  <c r="I31" i="13"/>
  <c r="I31" i="12"/>
  <c r="I33" i="24"/>
  <c r="I33" i="13"/>
  <c r="I33" i="12"/>
  <c r="I33" i="11"/>
  <c r="I33" i="10"/>
  <c r="I35" i="24"/>
  <c r="X78" i="24" s="1"/>
  <c r="I35" i="12"/>
  <c r="I35" i="11"/>
  <c r="I35" i="10"/>
  <c r="I35" i="13"/>
  <c r="I37" i="24"/>
  <c r="Y80" i="24" s="1"/>
  <c r="I37" i="12"/>
  <c r="I37" i="11"/>
  <c r="I37" i="10"/>
  <c r="I37" i="13"/>
  <c r="I39" i="24"/>
  <c r="Z82" i="24" s="1"/>
  <c r="I39" i="11"/>
  <c r="I39" i="10"/>
  <c r="I39" i="13"/>
  <c r="I39" i="12"/>
  <c r="I41" i="24"/>
  <c r="I41" i="13"/>
  <c r="I41" i="12"/>
  <c r="I41" i="11"/>
  <c r="I41" i="10"/>
  <c r="AT4" i="16"/>
  <c r="AJ4" i="16"/>
  <c r="AT2" i="16"/>
  <c r="AT7" i="16" s="1"/>
  <c r="AT3" i="16"/>
  <c r="AJ3" i="16"/>
  <c r="AO4" i="16"/>
  <c r="AT5" i="16"/>
  <c r="AO3" i="16"/>
  <c r="AM57" i="7"/>
  <c r="AJ6" i="16"/>
  <c r="AT6" i="16"/>
  <c r="AO2" i="16"/>
  <c r="AO7" i="16" s="1"/>
  <c r="AA9" i="21"/>
  <c r="AA10" i="21"/>
  <c r="AC2" i="17"/>
  <c r="AO5" i="16"/>
  <c r="AD9" i="21"/>
  <c r="AG4" i="21"/>
  <c r="AC8" i="17"/>
  <c r="AC134" i="17"/>
  <c r="AC142" i="17"/>
  <c r="AC150" i="17"/>
  <c r="AC158" i="17"/>
  <c r="AC166" i="17"/>
  <c r="AC174" i="17"/>
  <c r="AC190" i="17"/>
  <c r="AC98" i="17"/>
  <c r="AC100" i="17"/>
  <c r="AC102" i="17"/>
  <c r="AC104" i="17"/>
  <c r="AC106" i="17"/>
  <c r="AI13" i="21"/>
  <c r="AC153" i="17"/>
  <c r="AC161" i="17"/>
  <c r="AC169" i="17"/>
  <c r="AC177" i="17"/>
  <c r="AC225" i="17"/>
  <c r="AI6" i="21"/>
  <c r="AF8" i="21"/>
  <c r="AC263" i="17"/>
  <c r="AC265" i="17"/>
  <c r="AI5" i="17" s="1"/>
  <c r="AC267" i="17"/>
  <c r="AC269" i="17"/>
  <c r="AC271" i="17"/>
  <c r="AC273" i="17"/>
  <c r="AC275" i="17"/>
  <c r="AC207" i="17"/>
  <c r="Y3" i="21"/>
  <c r="AC12" i="17"/>
  <c r="AC130" i="17"/>
  <c r="AC138" i="17"/>
  <c r="AC146" i="17"/>
  <c r="AC154" i="17"/>
  <c r="AC99" i="17"/>
  <c r="AC101" i="17"/>
  <c r="AC103" i="17"/>
  <c r="AC105" i="17"/>
  <c r="AI6" i="17" s="1"/>
  <c r="AC107" i="17"/>
  <c r="P15" i="5"/>
  <c r="AC133" i="17"/>
  <c r="AC141" i="17"/>
  <c r="AC149" i="17"/>
  <c r="AC157" i="17"/>
  <c r="AC165" i="17"/>
  <c r="P16" i="5"/>
  <c r="AC264" i="17"/>
  <c r="AC266" i="17"/>
  <c r="AC268" i="17"/>
  <c r="AC270" i="17"/>
  <c r="AC272" i="17"/>
  <c r="AC274" i="17"/>
  <c r="X6" i="21"/>
  <c r="AF6" i="21" s="1"/>
  <c r="P17" i="5"/>
  <c r="Z8" i="21"/>
  <c r="D30" i="5"/>
  <c r="E36" i="5"/>
  <c r="F36" i="5"/>
  <c r="AW69" i="23"/>
  <c r="AO69" i="23"/>
  <c r="BD69" i="23"/>
  <c r="BC69" i="23"/>
  <c r="AU69" i="23"/>
  <c r="AM69" i="23"/>
  <c r="BB69" i="23"/>
  <c r="AT69" i="23"/>
  <c r="AL69" i="23"/>
  <c r="BA69" i="23"/>
  <c r="AS69" i="23"/>
  <c r="AK69" i="23"/>
  <c r="AN69" i="23"/>
  <c r="AZ69" i="23"/>
  <c r="AJ69" i="23"/>
  <c r="AY69" i="23"/>
  <c r="AI69" i="23"/>
  <c r="AX69" i="23"/>
  <c r="AV69" i="23"/>
  <c r="AR69" i="23"/>
  <c r="AU61" i="23"/>
  <c r="AW62" i="23"/>
  <c r="AO62" i="23"/>
  <c r="BD62" i="23"/>
  <c r="AV62" i="23"/>
  <c r="AN62" i="23"/>
  <c r="BC62" i="23"/>
  <c r="AU62" i="23"/>
  <c r="AM62" i="23"/>
  <c r="BB62" i="23"/>
  <c r="AT62" i="23"/>
  <c r="AL62" i="23"/>
  <c r="BA62" i="23"/>
  <c r="AS62" i="23"/>
  <c r="AK62" i="23"/>
  <c r="AZ62" i="23"/>
  <c r="AR62" i="23"/>
  <c r="AJ62" i="23"/>
  <c r="BA70" i="23"/>
  <c r="AS70" i="23"/>
  <c r="AK70" i="23"/>
  <c r="AZ70" i="23"/>
  <c r="AR70" i="23"/>
  <c r="AJ70" i="23"/>
  <c r="AY70" i="23"/>
  <c r="AQ70" i="23"/>
  <c r="AI70" i="23"/>
  <c r="AX70" i="23"/>
  <c r="AP70" i="23"/>
  <c r="AW70" i="23"/>
  <c r="AO70" i="23"/>
  <c r="BC70" i="23"/>
  <c r="BB70" i="23"/>
  <c r="AV70" i="23"/>
  <c r="AU70" i="23"/>
  <c r="AT70" i="23"/>
  <c r="AN70" i="23"/>
  <c r="BA78" i="23"/>
  <c r="AS78" i="23"/>
  <c r="AK78" i="23"/>
  <c r="AZ78" i="23"/>
  <c r="AR78" i="23"/>
  <c r="AJ78" i="23"/>
  <c r="AW78" i="23"/>
  <c r="AO78" i="23"/>
  <c r="P78" i="23"/>
  <c r="AY78" i="23"/>
  <c r="AM78" i="23"/>
  <c r="AX78" i="23"/>
  <c r="AL78" i="23"/>
  <c r="AV78" i="23"/>
  <c r="AI78" i="23"/>
  <c r="AU78" i="23"/>
  <c r="AT78" i="23"/>
  <c r="R78" i="23"/>
  <c r="BC78" i="23"/>
  <c r="AP78" i="23"/>
  <c r="AN78" i="23"/>
  <c r="BD78" i="23"/>
  <c r="AR86" i="23"/>
  <c r="BC86" i="23"/>
  <c r="AN86" i="23"/>
  <c r="BB94" i="23"/>
  <c r="AT94" i="23"/>
  <c r="AL94" i="23"/>
  <c r="BA94" i="23"/>
  <c r="AS94" i="23"/>
  <c r="AK94" i="23"/>
  <c r="AZ94" i="23"/>
  <c r="AR94" i="23"/>
  <c r="AJ94" i="23"/>
  <c r="AX94" i="23"/>
  <c r="AP94" i="23"/>
  <c r="AW94" i="23"/>
  <c r="AO94" i="23"/>
  <c r="AM94" i="23"/>
  <c r="BD94" i="23"/>
  <c r="AI94" i="23"/>
  <c r="AV94" i="23"/>
  <c r="AQ94" i="23"/>
  <c r="AN94" i="23"/>
  <c r="AY94" i="23"/>
  <c r="AU94" i="23"/>
  <c r="BC102" i="23"/>
  <c r="AU102" i="23"/>
  <c r="AM102" i="23"/>
  <c r="BB102" i="23"/>
  <c r="AT102" i="23"/>
  <c r="AL102" i="23"/>
  <c r="BA102" i="23"/>
  <c r="AS102" i="23"/>
  <c r="AK102" i="23"/>
  <c r="AZ102" i="23"/>
  <c r="AY102" i="23"/>
  <c r="AQ102" i="23"/>
  <c r="AI102" i="23"/>
  <c r="AX102" i="23"/>
  <c r="AP102" i="23"/>
  <c r="AV102" i="23"/>
  <c r="AR102" i="23"/>
  <c r="AO102" i="23"/>
  <c r="AN102" i="23"/>
  <c r="AJ102" i="23"/>
  <c r="BD102" i="23"/>
  <c r="AW102" i="23"/>
  <c r="AL57" i="23"/>
  <c r="AT59" i="23"/>
  <c r="BB61" i="23"/>
  <c r="AP62" i="23"/>
  <c r="AX64" i="23"/>
  <c r="AL65" i="23"/>
  <c r="AY67" i="23"/>
  <c r="AW68" i="23"/>
  <c r="AQ78" i="23"/>
  <c r="BD85" i="23"/>
  <c r="AW85" i="23"/>
  <c r="AO85" i="23"/>
  <c r="AV85" i="23"/>
  <c r="AN85" i="23"/>
  <c r="BA85" i="23"/>
  <c r="AS85" i="23"/>
  <c r="AK85" i="23"/>
  <c r="AY85" i="23"/>
  <c r="AQ85" i="23"/>
  <c r="AI85" i="23"/>
  <c r="AX85" i="23"/>
  <c r="AP85" i="23"/>
  <c r="AL85" i="23"/>
  <c r="BC85" i="23"/>
  <c r="AJ85" i="23"/>
  <c r="BB85" i="23"/>
  <c r="AZ85" i="23"/>
  <c r="AU85" i="23"/>
  <c r="AR85" i="23"/>
  <c r="AM85" i="23"/>
  <c r="BA63" i="23"/>
  <c r="AS63" i="23"/>
  <c r="AK63" i="23"/>
  <c r="AZ63" i="23"/>
  <c r="AR63" i="23"/>
  <c r="AJ63" i="23"/>
  <c r="AY63" i="23"/>
  <c r="AQ63" i="23"/>
  <c r="AI63" i="23"/>
  <c r="AX63" i="23"/>
  <c r="AP63" i="23"/>
  <c r="AW63" i="23"/>
  <c r="AO63" i="23"/>
  <c r="BD63" i="23"/>
  <c r="AV63" i="23"/>
  <c r="AN63" i="23"/>
  <c r="AW71" i="23"/>
  <c r="AO71" i="23"/>
  <c r="BD71" i="23"/>
  <c r="AV71" i="23"/>
  <c r="AN71" i="23"/>
  <c r="BC71" i="23"/>
  <c r="AU71" i="23"/>
  <c r="AM71" i="23"/>
  <c r="BB71" i="23"/>
  <c r="AT71" i="23"/>
  <c r="AL71" i="23"/>
  <c r="BA71" i="23"/>
  <c r="AS71" i="23"/>
  <c r="AK71" i="23"/>
  <c r="AZ71" i="23"/>
  <c r="AY71" i="23"/>
  <c r="AX71" i="23"/>
  <c r="AR71" i="23"/>
  <c r="AQ71" i="23"/>
  <c r="AP71" i="23"/>
  <c r="AW79" i="23"/>
  <c r="AO79" i="23"/>
  <c r="P79" i="23"/>
  <c r="BD79" i="23"/>
  <c r="AV79" i="23"/>
  <c r="AN79" i="23"/>
  <c r="BA79" i="23"/>
  <c r="AS79" i="23"/>
  <c r="AK79" i="23"/>
  <c r="AY79" i="23"/>
  <c r="AQ79" i="23"/>
  <c r="AI79" i="23"/>
  <c r="AX79" i="23"/>
  <c r="AU79" i="23"/>
  <c r="R79" i="23"/>
  <c r="AT79" i="23"/>
  <c r="AR79" i="23"/>
  <c r="AP79" i="23"/>
  <c r="BB79" i="23"/>
  <c r="AL79" i="23"/>
  <c r="AZ79" i="23"/>
  <c r="AM79" i="23"/>
  <c r="AJ79" i="23"/>
  <c r="AW87" i="23"/>
  <c r="AO87" i="23"/>
  <c r="BD87" i="23"/>
  <c r="AV87" i="23"/>
  <c r="AN87" i="23"/>
  <c r="BB87" i="23"/>
  <c r="AT87" i="23"/>
  <c r="AL87" i="23"/>
  <c r="BA87" i="23"/>
  <c r="AS87" i="23"/>
  <c r="AK87" i="23"/>
  <c r="AY87" i="23"/>
  <c r="AI87" i="23"/>
  <c r="AX87" i="23"/>
  <c r="AQ87" i="23"/>
  <c r="BC87" i="23"/>
  <c r="AM87" i="23"/>
  <c r="AZ87" i="23"/>
  <c r="AJ87" i="23"/>
  <c r="AU87" i="23"/>
  <c r="AR87" i="23"/>
  <c r="AP87" i="23"/>
  <c r="AX95" i="23"/>
  <c r="AP95" i="23"/>
  <c r="AW95" i="23"/>
  <c r="AO95" i="23"/>
  <c r="BD95" i="23"/>
  <c r="AV95" i="23"/>
  <c r="AN95" i="23"/>
  <c r="BB95" i="23"/>
  <c r="AT95" i="23"/>
  <c r="AL95" i="23"/>
  <c r="BA95" i="23"/>
  <c r="AS95" i="23"/>
  <c r="AK95" i="23"/>
  <c r="AJ95" i="23"/>
  <c r="BC95" i="23"/>
  <c r="AI95" i="23"/>
  <c r="AU95" i="23"/>
  <c r="AQ95" i="23"/>
  <c r="AM95" i="23"/>
  <c r="AY95" i="23"/>
  <c r="AR95" i="23"/>
  <c r="AY103" i="23"/>
  <c r="AQ103" i="23"/>
  <c r="AI103" i="23"/>
  <c r="AX103" i="23"/>
  <c r="AP103" i="23"/>
  <c r="AW103" i="23"/>
  <c r="AO103" i="23"/>
  <c r="BD103" i="23"/>
  <c r="AV103" i="23"/>
  <c r="AN103" i="23"/>
  <c r="BC103" i="23"/>
  <c r="AU103" i="23"/>
  <c r="AM103" i="23"/>
  <c r="BB103" i="23"/>
  <c r="AT103" i="23"/>
  <c r="AL103" i="23"/>
  <c r="AJ103" i="23"/>
  <c r="BA103" i="23"/>
  <c r="AZ103" i="23"/>
  <c r="AS103" i="23"/>
  <c r="AK103" i="23"/>
  <c r="AR103" i="23"/>
  <c r="AM57" i="23"/>
  <c r="AU59" i="23"/>
  <c r="AI60" i="23"/>
  <c r="BC61" i="23"/>
  <c r="AQ62" i="23"/>
  <c r="AM65" i="23"/>
  <c r="AZ67" i="23"/>
  <c r="AX68" i="23"/>
  <c r="BB78" i="23"/>
  <c r="AW77" i="23"/>
  <c r="AO77" i="23"/>
  <c r="BD77" i="23"/>
  <c r="AV77" i="23"/>
  <c r="AN77" i="23"/>
  <c r="BA77" i="23"/>
  <c r="AS77" i="23"/>
  <c r="AK77" i="23"/>
  <c r="AR77" i="23"/>
  <c r="BC77" i="23"/>
  <c r="AQ77" i="23"/>
  <c r="BB77" i="23"/>
  <c r="AP77" i="23"/>
  <c r="AZ77" i="23"/>
  <c r="AM77" i="23"/>
  <c r="AY77" i="23"/>
  <c r="AL77" i="23"/>
  <c r="AU77" i="23"/>
  <c r="AI77" i="23"/>
  <c r="AX77" i="23"/>
  <c r="AW64" i="23"/>
  <c r="AO64" i="23"/>
  <c r="BD64" i="23"/>
  <c r="AV64" i="23"/>
  <c r="AN64" i="23"/>
  <c r="BC64" i="23"/>
  <c r="AU64" i="23"/>
  <c r="AM64" i="23"/>
  <c r="BB64" i="23"/>
  <c r="AT64" i="23"/>
  <c r="AL64" i="23"/>
  <c r="BA64" i="23"/>
  <c r="AS64" i="23"/>
  <c r="AK64" i="23"/>
  <c r="AZ64" i="23"/>
  <c r="AR64" i="23"/>
  <c r="AJ64" i="23"/>
  <c r="BA72" i="23"/>
  <c r="AS72" i="23"/>
  <c r="AK72" i="23"/>
  <c r="AZ72" i="23"/>
  <c r="AR72" i="23"/>
  <c r="AJ72" i="23"/>
  <c r="AY72" i="23"/>
  <c r="AQ72" i="23"/>
  <c r="AI72" i="23"/>
  <c r="AX72" i="23"/>
  <c r="AP72" i="23"/>
  <c r="AW72" i="23"/>
  <c r="AO72" i="23"/>
  <c r="BC72" i="23"/>
  <c r="AU72" i="23"/>
  <c r="AM72" i="23"/>
  <c r="AL72" i="23"/>
  <c r="BD72" i="23"/>
  <c r="BB72" i="23"/>
  <c r="AV72" i="23"/>
  <c r="BA80" i="23"/>
  <c r="AS80" i="23"/>
  <c r="AK80" i="23"/>
  <c r="AZ80" i="23"/>
  <c r="AR80" i="23"/>
  <c r="AJ80" i="23"/>
  <c r="AW80" i="23"/>
  <c r="AO80" i="23"/>
  <c r="P80" i="23"/>
  <c r="BC80" i="23"/>
  <c r="AU80" i="23"/>
  <c r="AM80" i="23"/>
  <c r="BB80" i="23"/>
  <c r="AT80" i="23"/>
  <c r="AL80" i="23"/>
  <c r="AQ80" i="23"/>
  <c r="AP80" i="23"/>
  <c r="R80" i="23"/>
  <c r="AN80" i="23"/>
  <c r="AI80" i="23"/>
  <c r="BD80" i="23"/>
  <c r="AX80" i="23"/>
  <c r="AY80" i="23"/>
  <c r="AV80" i="23"/>
  <c r="BB88" i="23"/>
  <c r="AT88" i="23"/>
  <c r="AL88" i="23"/>
  <c r="BA88" i="23"/>
  <c r="AS88" i="23"/>
  <c r="AK88" i="23"/>
  <c r="AZ88" i="23"/>
  <c r="AR88" i="23"/>
  <c r="AJ88" i="23"/>
  <c r="AX88" i="23"/>
  <c r="AP88" i="23"/>
  <c r="AW88" i="23"/>
  <c r="AO88" i="23"/>
  <c r="AU88" i="23"/>
  <c r="AQ88" i="23"/>
  <c r="BD88" i="23"/>
  <c r="AI88" i="23"/>
  <c r="AY88" i="23"/>
  <c r="AV88" i="23"/>
  <c r="BC88" i="23"/>
  <c r="AN88" i="23"/>
  <c r="AM88" i="23"/>
  <c r="BB96" i="23"/>
  <c r="AT96" i="23"/>
  <c r="AL96" i="23"/>
  <c r="BA96" i="23"/>
  <c r="AS96" i="23"/>
  <c r="AK96" i="23"/>
  <c r="AZ96" i="23"/>
  <c r="AR96" i="23"/>
  <c r="AJ96" i="23"/>
  <c r="AX96" i="23"/>
  <c r="AP96" i="23"/>
  <c r="AW96" i="23"/>
  <c r="AO96" i="23"/>
  <c r="BD96" i="23"/>
  <c r="AI96" i="23"/>
  <c r="BC96" i="23"/>
  <c r="AU96" i="23"/>
  <c r="AN96" i="23"/>
  <c r="AM96" i="23"/>
  <c r="AY96" i="23"/>
  <c r="AV96" i="23"/>
  <c r="AQ96" i="23"/>
  <c r="BB59" i="23"/>
  <c r="AP60" i="23"/>
  <c r="AX62" i="23"/>
  <c r="AL63" i="23"/>
  <c r="AL70" i="23"/>
  <c r="AN72" i="23"/>
  <c r="AJ75" i="23"/>
  <c r="BC79" i="23"/>
  <c r="AX93" i="23"/>
  <c r="AP93" i="23"/>
  <c r="AW93" i="23"/>
  <c r="AO93" i="23"/>
  <c r="BD93" i="23"/>
  <c r="AV93" i="23"/>
  <c r="AN93" i="23"/>
  <c r="BB93" i="23"/>
  <c r="AT93" i="23"/>
  <c r="AL93" i="23"/>
  <c r="BA93" i="23"/>
  <c r="AS93" i="23"/>
  <c r="AK93" i="23"/>
  <c r="AM93" i="23"/>
  <c r="AJ93" i="23"/>
  <c r="AY93" i="23"/>
  <c r="AR93" i="23"/>
  <c r="AQ93" i="23"/>
  <c r="BC93" i="23"/>
  <c r="AZ93" i="23"/>
  <c r="AI93" i="23"/>
  <c r="AU93" i="23"/>
  <c r="AQ69" i="23"/>
  <c r="BA57" i="23"/>
  <c r="AS57" i="23"/>
  <c r="AK57" i="23"/>
  <c r="AZ57" i="23"/>
  <c r="AR57" i="23"/>
  <c r="AJ57" i="23"/>
  <c r="AY57" i="23"/>
  <c r="AQ57" i="23"/>
  <c r="AI57" i="23"/>
  <c r="AX57" i="23"/>
  <c r="AP57" i="23"/>
  <c r="AW57" i="23"/>
  <c r="AO57" i="23"/>
  <c r="BD57" i="23"/>
  <c r="AV57" i="23"/>
  <c r="AN57" i="23"/>
  <c r="BA65" i="23"/>
  <c r="AS65" i="23"/>
  <c r="AK65" i="23"/>
  <c r="AZ65" i="23"/>
  <c r="AR65" i="23"/>
  <c r="AJ65" i="23"/>
  <c r="AY65" i="23"/>
  <c r="AQ65" i="23"/>
  <c r="AI65" i="23"/>
  <c r="AX65" i="23"/>
  <c r="AP65" i="23"/>
  <c r="AW65" i="23"/>
  <c r="AO65" i="23"/>
  <c r="BD65" i="23"/>
  <c r="AV65" i="23"/>
  <c r="AN65" i="23"/>
  <c r="AW73" i="23"/>
  <c r="AO73" i="23"/>
  <c r="P73" i="23"/>
  <c r="BD73" i="23"/>
  <c r="AV73" i="23"/>
  <c r="AN73" i="23"/>
  <c r="BC73" i="23"/>
  <c r="AU73" i="23"/>
  <c r="AM73" i="23"/>
  <c r="BB73" i="23"/>
  <c r="AT73" i="23"/>
  <c r="AL73" i="23"/>
  <c r="BA73" i="23"/>
  <c r="AS73" i="23"/>
  <c r="AK73" i="23"/>
  <c r="AY73" i="23"/>
  <c r="AQ73" i="23"/>
  <c r="AI73" i="23"/>
  <c r="R73" i="23"/>
  <c r="AZ73" i="23"/>
  <c r="AX73" i="23"/>
  <c r="AR73" i="23"/>
  <c r="AP73" i="23"/>
  <c r="AJ73" i="23"/>
  <c r="AW81" i="23"/>
  <c r="AO81" i="23"/>
  <c r="P81" i="23"/>
  <c r="BD81" i="23"/>
  <c r="AV81" i="23"/>
  <c r="AN81" i="23"/>
  <c r="BA81" i="23"/>
  <c r="AS81" i="23"/>
  <c r="AK81" i="23"/>
  <c r="AY81" i="23"/>
  <c r="AQ81" i="23"/>
  <c r="AI81" i="23"/>
  <c r="R81" i="23"/>
  <c r="AX81" i="23"/>
  <c r="AP81" i="23"/>
  <c r="AR81" i="23"/>
  <c r="AM81" i="23"/>
  <c r="AL81" i="23"/>
  <c r="BC81" i="23"/>
  <c r="AJ81" i="23"/>
  <c r="BB81" i="23"/>
  <c r="AU81" i="23"/>
  <c r="AT81" i="23"/>
  <c r="AX89" i="23"/>
  <c r="AP89" i="23"/>
  <c r="AW89" i="23"/>
  <c r="AO89" i="23"/>
  <c r="BD89" i="23"/>
  <c r="AV89" i="23"/>
  <c r="AN89" i="23"/>
  <c r="BB89" i="23"/>
  <c r="AT89" i="23"/>
  <c r="AL89" i="23"/>
  <c r="BA89" i="23"/>
  <c r="AS89" i="23"/>
  <c r="AK89" i="23"/>
  <c r="AR89" i="23"/>
  <c r="AQ89" i="23"/>
  <c r="BC89" i="23"/>
  <c r="AI89" i="23"/>
  <c r="AY89" i="23"/>
  <c r="AU89" i="23"/>
  <c r="AM89" i="23"/>
  <c r="AJ89" i="23"/>
  <c r="AX97" i="23"/>
  <c r="AP97" i="23"/>
  <c r="AW97" i="23"/>
  <c r="AO97" i="23"/>
  <c r="BD97" i="23"/>
  <c r="AV97" i="23"/>
  <c r="AN97" i="23"/>
  <c r="BC97" i="23"/>
  <c r="BB97" i="23"/>
  <c r="AT97" i="23"/>
  <c r="AL97" i="23"/>
  <c r="BA97" i="23"/>
  <c r="AS97" i="23"/>
  <c r="AK97" i="23"/>
  <c r="AI97" i="23"/>
  <c r="AZ97" i="23"/>
  <c r="AR97" i="23"/>
  <c r="AM97" i="23"/>
  <c r="AJ97" i="23"/>
  <c r="AY97" i="23"/>
  <c r="AU97" i="23"/>
  <c r="AQ97" i="23"/>
  <c r="AU57" i="23"/>
  <c r="BC59" i="23"/>
  <c r="AQ60" i="23"/>
  <c r="AY62" i="23"/>
  <c r="AM63" i="23"/>
  <c r="AU65" i="23"/>
  <c r="AM70" i="23"/>
  <c r="AT72" i="23"/>
  <c r="AT77" i="23"/>
  <c r="AW58" i="23"/>
  <c r="AO58" i="23"/>
  <c r="BD58" i="23"/>
  <c r="AV58" i="23"/>
  <c r="AN58" i="23"/>
  <c r="BC58" i="23"/>
  <c r="AU58" i="23"/>
  <c r="AM58" i="23"/>
  <c r="BB58" i="23"/>
  <c r="AT58" i="23"/>
  <c r="AL58" i="23"/>
  <c r="BA58" i="23"/>
  <c r="AS58" i="23"/>
  <c r="AK58" i="23"/>
  <c r="AZ58" i="23"/>
  <c r="AR58" i="23"/>
  <c r="AJ58" i="23"/>
  <c r="AM66" i="23"/>
  <c r="AR66" i="23"/>
  <c r="AY74" i="23"/>
  <c r="P74" i="23"/>
  <c r="BA82" i="23"/>
  <c r="AS82" i="23"/>
  <c r="AK82" i="23"/>
  <c r="AZ82" i="23"/>
  <c r="AR82" i="23"/>
  <c r="AJ82" i="23"/>
  <c r="AW82" i="23"/>
  <c r="AO82" i="23"/>
  <c r="BC82" i="23"/>
  <c r="AU82" i="23"/>
  <c r="AM82" i="23"/>
  <c r="BB82" i="23"/>
  <c r="AT82" i="23"/>
  <c r="AL82" i="23"/>
  <c r="AP82" i="23"/>
  <c r="AN82" i="23"/>
  <c r="AI82" i="23"/>
  <c r="BD82" i="23"/>
  <c r="AY82" i="23"/>
  <c r="AV82" i="23"/>
  <c r="AX82" i="23"/>
  <c r="AQ82" i="23"/>
  <c r="BB90" i="23"/>
  <c r="AT90" i="23"/>
  <c r="AL90" i="23"/>
  <c r="BA90" i="23"/>
  <c r="AS90" i="23"/>
  <c r="AK90" i="23"/>
  <c r="AZ90" i="23"/>
  <c r="AR90" i="23"/>
  <c r="AJ90" i="23"/>
  <c r="AX90" i="23"/>
  <c r="AP90" i="23"/>
  <c r="AW90" i="23"/>
  <c r="AO90" i="23"/>
  <c r="AQ90" i="23"/>
  <c r="AN90" i="23"/>
  <c r="BC90" i="23"/>
  <c r="AV90" i="23"/>
  <c r="AU90" i="23"/>
  <c r="AM90" i="23"/>
  <c r="AI90" i="23"/>
  <c r="BD90" i="23"/>
  <c r="BC98" i="23"/>
  <c r="AU98" i="23"/>
  <c r="AM98" i="23"/>
  <c r="BB98" i="23"/>
  <c r="AT98" i="23"/>
  <c r="AL98" i="23"/>
  <c r="BA98" i="23"/>
  <c r="AS98" i="23"/>
  <c r="AK98" i="23"/>
  <c r="AY98" i="23"/>
  <c r="AQ98" i="23"/>
  <c r="AX98" i="23"/>
  <c r="AP98" i="23"/>
  <c r="AZ98" i="23"/>
  <c r="AW98" i="23"/>
  <c r="AV98" i="23"/>
  <c r="AR98" i="23"/>
  <c r="AO98" i="23"/>
  <c r="AN98" i="23"/>
  <c r="AI98" i="23"/>
  <c r="BD98" i="23"/>
  <c r="AJ98" i="23"/>
  <c r="BB57" i="23"/>
  <c r="AP58" i="23"/>
  <c r="AX60" i="23"/>
  <c r="AL61" i="23"/>
  <c r="AT63" i="23"/>
  <c r="BB65" i="23"/>
  <c r="BD70" i="23"/>
  <c r="AZ81" i="23"/>
  <c r="BC94" i="23"/>
  <c r="BA59" i="23"/>
  <c r="AS59" i="23"/>
  <c r="AK59" i="23"/>
  <c r="AZ59" i="23"/>
  <c r="AR59" i="23"/>
  <c r="AJ59" i="23"/>
  <c r="AY59" i="23"/>
  <c r="AQ59" i="23"/>
  <c r="AI59" i="23"/>
  <c r="AX59" i="23"/>
  <c r="AP59" i="23"/>
  <c r="AW59" i="23"/>
  <c r="AO59" i="23"/>
  <c r="BD59" i="23"/>
  <c r="AV59" i="23"/>
  <c r="AN59" i="23"/>
  <c r="AW67" i="23"/>
  <c r="AO67" i="23"/>
  <c r="BC67" i="23"/>
  <c r="AU67" i="23"/>
  <c r="AM67" i="23"/>
  <c r="AX67" i="23"/>
  <c r="AL67" i="23"/>
  <c r="AV67" i="23"/>
  <c r="AK67" i="23"/>
  <c r="AT67" i="23"/>
  <c r="AJ67" i="23"/>
  <c r="BD67" i="23"/>
  <c r="AS67" i="23"/>
  <c r="AI67" i="23"/>
  <c r="BB67" i="23"/>
  <c r="AR67" i="23"/>
  <c r="BA67" i="23"/>
  <c r="AQ67" i="23"/>
  <c r="AW75" i="23"/>
  <c r="AO75" i="23"/>
  <c r="P75" i="23"/>
  <c r="BD75" i="23"/>
  <c r="AV75" i="23"/>
  <c r="AN75" i="23"/>
  <c r="BC75" i="23"/>
  <c r="AU75" i="23"/>
  <c r="AM75" i="23"/>
  <c r="BB75" i="23"/>
  <c r="AT75" i="23"/>
  <c r="AL75" i="23"/>
  <c r="BA75" i="23"/>
  <c r="AS75" i="23"/>
  <c r="AK75" i="23"/>
  <c r="AY75" i="23"/>
  <c r="AQ75" i="23"/>
  <c r="AI75" i="23"/>
  <c r="R75" i="23"/>
  <c r="AZ75" i="23"/>
  <c r="AX75" i="23"/>
  <c r="AR75" i="23"/>
  <c r="BA83" i="23"/>
  <c r="AM83" i="23"/>
  <c r="AX91" i="23"/>
  <c r="AP91" i="23"/>
  <c r="AW91" i="23"/>
  <c r="AO91" i="23"/>
  <c r="BD91" i="23"/>
  <c r="AV91" i="23"/>
  <c r="AN91" i="23"/>
  <c r="BB91" i="23"/>
  <c r="AT91" i="23"/>
  <c r="AL91" i="23"/>
  <c r="BA91" i="23"/>
  <c r="AS91" i="23"/>
  <c r="AK91" i="23"/>
  <c r="AQ91" i="23"/>
  <c r="AM91" i="23"/>
  <c r="AZ91" i="23"/>
  <c r="AU91" i="23"/>
  <c r="AR91" i="23"/>
  <c r="BC91" i="23"/>
  <c r="AY91" i="23"/>
  <c r="AJ91" i="23"/>
  <c r="AI91" i="23"/>
  <c r="AY99" i="23"/>
  <c r="AQ99" i="23"/>
  <c r="AI99" i="23"/>
  <c r="AX99" i="23"/>
  <c r="AP99" i="23"/>
  <c r="AW99" i="23"/>
  <c r="AO99" i="23"/>
  <c r="BC99" i="23"/>
  <c r="AU99" i="23"/>
  <c r="AM99" i="23"/>
  <c r="BB99" i="23"/>
  <c r="AT99" i="23"/>
  <c r="AL99" i="23"/>
  <c r="AZ99" i="23"/>
  <c r="AV99" i="23"/>
  <c r="AS99" i="23"/>
  <c r="AR99" i="23"/>
  <c r="AN99" i="23"/>
  <c r="AK99" i="23"/>
  <c r="BA99" i="23"/>
  <c r="AJ99" i="23"/>
  <c r="BD99" i="23"/>
  <c r="BC57" i="23"/>
  <c r="AQ58" i="23"/>
  <c r="AU63" i="23"/>
  <c r="AI64" i="23"/>
  <c r="BC65" i="23"/>
  <c r="AZ95" i="23"/>
  <c r="BA61" i="23"/>
  <c r="AS61" i="23"/>
  <c r="AK61" i="23"/>
  <c r="AZ61" i="23"/>
  <c r="AR61" i="23"/>
  <c r="AJ61" i="23"/>
  <c r="AY61" i="23"/>
  <c r="AQ61" i="23"/>
  <c r="AI61" i="23"/>
  <c r="AX61" i="23"/>
  <c r="AP61" i="23"/>
  <c r="AW61" i="23"/>
  <c r="AO61" i="23"/>
  <c r="BD61" i="23"/>
  <c r="AV61" i="23"/>
  <c r="AN61" i="23"/>
  <c r="AY101" i="23"/>
  <c r="AQ101" i="23"/>
  <c r="AI101" i="23"/>
  <c r="AX101" i="23"/>
  <c r="AP101" i="23"/>
  <c r="AW101" i="23"/>
  <c r="AO101" i="23"/>
  <c r="BC101" i="23"/>
  <c r="AU101" i="23"/>
  <c r="AM101" i="23"/>
  <c r="BB101" i="23"/>
  <c r="AT101" i="23"/>
  <c r="AL101" i="23"/>
  <c r="AV101" i="23"/>
  <c r="AS101" i="23"/>
  <c r="AR101" i="23"/>
  <c r="AN101" i="23"/>
  <c r="AK101" i="23"/>
  <c r="BD101" i="23"/>
  <c r="AJ101" i="23"/>
  <c r="AZ101" i="23"/>
  <c r="BA101" i="23"/>
  <c r="AW60" i="23"/>
  <c r="AO60" i="23"/>
  <c r="BD60" i="23"/>
  <c r="AV60" i="23"/>
  <c r="AN60" i="23"/>
  <c r="BC60" i="23"/>
  <c r="AU60" i="23"/>
  <c r="AM60" i="23"/>
  <c r="F8" i="25" s="1"/>
  <c r="BB60" i="23"/>
  <c r="AT60" i="23"/>
  <c r="AL60" i="23"/>
  <c r="BA60" i="23"/>
  <c r="AS60" i="23"/>
  <c r="AK60" i="23"/>
  <c r="AZ60" i="23"/>
  <c r="AR60" i="23"/>
  <c r="AJ60" i="23"/>
  <c r="BA68" i="23"/>
  <c r="AS68" i="23"/>
  <c r="AK68" i="23"/>
  <c r="AY68" i="23"/>
  <c r="AQ68" i="23"/>
  <c r="AI68" i="23"/>
  <c r="AV68" i="23"/>
  <c r="AL68" i="23"/>
  <c r="AU68" i="23"/>
  <c r="AJ68" i="23"/>
  <c r="BD68" i="23"/>
  <c r="AT68" i="23"/>
  <c r="BC68" i="23"/>
  <c r="AR68" i="23"/>
  <c r="BB68" i="23"/>
  <c r="AP68" i="23"/>
  <c r="AZ68" i="23"/>
  <c r="AO68" i="23"/>
  <c r="AR76" i="23"/>
  <c r="AI76" i="23"/>
  <c r="BC76" i="23"/>
  <c r="BA84" i="23"/>
  <c r="AS84" i="23"/>
  <c r="AK84" i="23"/>
  <c r="AZ84" i="23"/>
  <c r="AR84" i="23"/>
  <c r="AJ84" i="23"/>
  <c r="AW84" i="23"/>
  <c r="AO84" i="23"/>
  <c r="BC84" i="23"/>
  <c r="AU84" i="23"/>
  <c r="AM84" i="23"/>
  <c r="BB84" i="23"/>
  <c r="AT84" i="23"/>
  <c r="AL84" i="23"/>
  <c r="AN84" i="23"/>
  <c r="AI84" i="23"/>
  <c r="BD84" i="23"/>
  <c r="AY84" i="23"/>
  <c r="AX84" i="23"/>
  <c r="AQ84" i="23"/>
  <c r="AV84" i="23"/>
  <c r="AP84" i="23"/>
  <c r="BB92" i="23"/>
  <c r="AT92" i="23"/>
  <c r="AL92" i="23"/>
  <c r="BA92" i="23"/>
  <c r="AS92" i="23"/>
  <c r="AK92" i="23"/>
  <c r="AZ92" i="23"/>
  <c r="AR92" i="23"/>
  <c r="AJ92" i="23"/>
  <c r="AX92" i="23"/>
  <c r="AP92" i="23"/>
  <c r="AW92" i="23"/>
  <c r="AO92" i="23"/>
  <c r="AN92" i="23"/>
  <c r="AM92" i="23"/>
  <c r="AY92" i="23"/>
  <c r="AU92" i="23"/>
  <c r="AQ92" i="23"/>
  <c r="BD92" i="23"/>
  <c r="BC92" i="23"/>
  <c r="AV92" i="23"/>
  <c r="AI92" i="23"/>
  <c r="AU100" i="23"/>
  <c r="AY100" i="23"/>
  <c r="AO100" i="23"/>
  <c r="AX58" i="23"/>
  <c r="AL59" i="23"/>
  <c r="AT61" i="23"/>
  <c r="BB63" i="23"/>
  <c r="AP64" i="23"/>
  <c r="AN67" i="23"/>
  <c r="AM68" i="23"/>
  <c r="AP69" i="23"/>
  <c r="AI71" i="23"/>
  <c r="AJ77" i="23"/>
  <c r="AU83" i="23"/>
  <c r="AG52" i="24"/>
  <c r="AE52" i="24"/>
  <c r="AH52" i="24"/>
  <c r="X52" i="24"/>
  <c r="AF52" i="24"/>
  <c r="AD52" i="24"/>
  <c r="AC52" i="24"/>
  <c r="AB52" i="24"/>
  <c r="AA52" i="24"/>
  <c r="Z52" i="24"/>
  <c r="Y52" i="24"/>
  <c r="AG60" i="24"/>
  <c r="Y60" i="24"/>
  <c r="AE60" i="24"/>
  <c r="AC60" i="24"/>
  <c r="AD60" i="24"/>
  <c r="AB60" i="24"/>
  <c r="AA60" i="24"/>
  <c r="Z60" i="24"/>
  <c r="X60" i="24"/>
  <c r="AH60" i="24"/>
  <c r="AF60" i="24"/>
  <c r="AG68" i="24"/>
  <c r="Y68" i="24"/>
  <c r="AE68" i="24"/>
  <c r="AD68" i="24"/>
  <c r="AC68" i="24"/>
  <c r="AB68" i="24"/>
  <c r="Z68" i="24"/>
  <c r="X68" i="24"/>
  <c r="AH68" i="24"/>
  <c r="AF68" i="24"/>
  <c r="AA68" i="24"/>
  <c r="AC76" i="24"/>
  <c r="AA76" i="24"/>
  <c r="Y76" i="24"/>
  <c r="AH76" i="24"/>
  <c r="X76" i="24"/>
  <c r="AG76" i="24"/>
  <c r="AF76" i="24"/>
  <c r="AE76" i="24"/>
  <c r="AD76" i="24"/>
  <c r="AB76" i="24"/>
  <c r="Z76" i="24"/>
  <c r="AC84" i="24"/>
  <c r="AB84" i="24"/>
  <c r="AA84" i="24"/>
  <c r="AG84" i="24"/>
  <c r="Y84" i="24"/>
  <c r="X84" i="24"/>
  <c r="AH84" i="24"/>
  <c r="AF84" i="24"/>
  <c r="AE84" i="24"/>
  <c r="AD84" i="24"/>
  <c r="Z84" i="24"/>
  <c r="AC51" i="24"/>
  <c r="AB51" i="24"/>
  <c r="AA51" i="24"/>
  <c r="AH51" i="24"/>
  <c r="Z51" i="24"/>
  <c r="AG51" i="24"/>
  <c r="Y51" i="24"/>
  <c r="AF51" i="24"/>
  <c r="X51" i="24"/>
  <c r="AE51" i="24"/>
  <c r="AD51" i="24"/>
  <c r="AE59" i="24"/>
  <c r="AC59" i="24"/>
  <c r="AB59" i="24"/>
  <c r="AA59" i="24"/>
  <c r="Z59" i="24"/>
  <c r="Y59" i="24"/>
  <c r="AH59" i="24"/>
  <c r="X59" i="24"/>
  <c r="AG59" i="24"/>
  <c r="AF59" i="24"/>
  <c r="AD59" i="24"/>
  <c r="AE67" i="24"/>
  <c r="AC67" i="24"/>
  <c r="AB67" i="24"/>
  <c r="AA67" i="24"/>
  <c r="AH67" i="24"/>
  <c r="Z67" i="24"/>
  <c r="Y67" i="24"/>
  <c r="X67" i="24"/>
  <c r="AG67" i="24"/>
  <c r="AF67" i="24"/>
  <c r="AD67" i="24"/>
  <c r="AG75" i="24"/>
  <c r="Y75" i="24"/>
  <c r="AB75" i="24"/>
  <c r="AA75" i="24"/>
  <c r="Z75" i="24"/>
  <c r="AH75" i="24"/>
  <c r="X75" i="24"/>
  <c r="AF75" i="24"/>
  <c r="AE75" i="24"/>
  <c r="AD75" i="24"/>
  <c r="AC75" i="24"/>
  <c r="AA83" i="24"/>
  <c r="AH83" i="24"/>
  <c r="Z83" i="24"/>
  <c r="AG83" i="24"/>
  <c r="Y83" i="24"/>
  <c r="AE83" i="24"/>
  <c r="AD83" i="24"/>
  <c r="AC83" i="24"/>
  <c r="AB83" i="24"/>
  <c r="X83" i="24"/>
  <c r="AF83" i="24"/>
  <c r="AA53" i="24"/>
  <c r="AG53" i="24"/>
  <c r="Y53" i="24"/>
  <c r="AA61" i="24"/>
  <c r="AG61" i="24"/>
  <c r="Y61" i="24"/>
  <c r="AE61" i="24"/>
  <c r="AA69" i="24"/>
  <c r="AG69" i="24"/>
  <c r="Y69" i="24"/>
  <c r="AF69" i="24"/>
  <c r="X69" i="24"/>
  <c r="AE69" i="24"/>
  <c r="AD69" i="24"/>
  <c r="AC77" i="24"/>
  <c r="AE85" i="24"/>
  <c r="AD85" i="24"/>
  <c r="AC85" i="24"/>
  <c r="AA85" i="24"/>
  <c r="AH85" i="24"/>
  <c r="AG85" i="24"/>
  <c r="AF85" i="24"/>
  <c r="AB85" i="24"/>
  <c r="Z85" i="24"/>
  <c r="Y85" i="24"/>
  <c r="Z48" i="24"/>
  <c r="AH48" i="24"/>
  <c r="AB49" i="24"/>
  <c r="AD50" i="24"/>
  <c r="Z53" i="24"/>
  <c r="Y55" i="24"/>
  <c r="X56" i="24"/>
  <c r="AH57" i="24"/>
  <c r="AG58" i="24"/>
  <c r="Z61" i="24"/>
  <c r="AG63" i="24"/>
  <c r="X64" i="24"/>
  <c r="AB65" i="24"/>
  <c r="AH69" i="24"/>
  <c r="AC54" i="24"/>
  <c r="AA54" i="24"/>
  <c r="AC70" i="24"/>
  <c r="AA70" i="24"/>
  <c r="AH70" i="24"/>
  <c r="Z70" i="24"/>
  <c r="AG70" i="24"/>
  <c r="Y70" i="24"/>
  <c r="AF70" i="24"/>
  <c r="X70" i="24"/>
  <c r="AF78" i="24"/>
  <c r="AA48" i="24"/>
  <c r="AC49" i="24"/>
  <c r="AE50" i="24"/>
  <c r="AB53" i="24"/>
  <c r="Z54" i="24"/>
  <c r="Z56" i="24"/>
  <c r="X58" i="24"/>
  <c r="AH58" i="24"/>
  <c r="AB61" i="24"/>
  <c r="Z64" i="24"/>
  <c r="AC65" i="24"/>
  <c r="X85" i="24"/>
  <c r="AE55" i="24"/>
  <c r="AC55" i="24"/>
  <c r="AE63" i="24"/>
  <c r="AC63" i="24"/>
  <c r="AA63" i="24"/>
  <c r="AG71" i="24"/>
  <c r="Y71" i="24"/>
  <c r="AH71" i="24"/>
  <c r="X71" i="24"/>
  <c r="AF71" i="24"/>
  <c r="AE71" i="24"/>
  <c r="AD71" i="24"/>
  <c r="AC71" i="24"/>
  <c r="AB71" i="24"/>
  <c r="AA79" i="24"/>
  <c r="AH79" i="24"/>
  <c r="Z79" i="24"/>
  <c r="AG79" i="24"/>
  <c r="Y79" i="24"/>
  <c r="AF79" i="24"/>
  <c r="AE79" i="24"/>
  <c r="AD79" i="24"/>
  <c r="AC79" i="24"/>
  <c r="AB79" i="24"/>
  <c r="X79" i="24"/>
  <c r="AB48" i="24"/>
  <c r="AD49" i="24"/>
  <c r="H8" i="26" s="1"/>
  <c r="X50" i="24"/>
  <c r="AF50" i="24"/>
  <c r="AC53" i="24"/>
  <c r="AB54" i="24"/>
  <c r="AA55" i="24"/>
  <c r="Y58" i="24"/>
  <c r="AC61" i="24"/>
  <c r="X63" i="24"/>
  <c r="AD65" i="24"/>
  <c r="X74" i="24"/>
  <c r="AG56" i="24"/>
  <c r="Y56" i="24"/>
  <c r="AE56" i="24"/>
  <c r="AG64" i="24"/>
  <c r="Y64" i="24"/>
  <c r="AE64" i="24"/>
  <c r="AC64" i="24"/>
  <c r="AA72" i="24"/>
  <c r="AD72" i="24"/>
  <c r="AC72" i="24"/>
  <c r="AB72" i="24"/>
  <c r="Z72" i="24"/>
  <c r="AH72" i="24"/>
  <c r="Y72" i="24"/>
  <c r="AG72" i="24"/>
  <c r="X72" i="24"/>
  <c r="AC80" i="24"/>
  <c r="AB80" i="24"/>
  <c r="AA80" i="24"/>
  <c r="X80" i="24"/>
  <c r="AH80" i="24"/>
  <c r="AG80" i="24"/>
  <c r="AF80" i="24"/>
  <c r="AE80" i="24"/>
  <c r="AD80" i="24"/>
  <c r="AC48" i="24"/>
  <c r="AE49" i="24"/>
  <c r="Y50" i="24"/>
  <c r="AG50" i="24"/>
  <c r="AD53" i="24"/>
  <c r="AD54" i="24"/>
  <c r="AB55" i="24"/>
  <c r="AB56" i="24"/>
  <c r="Z58" i="24"/>
  <c r="AD61" i="24"/>
  <c r="AH62" i="24"/>
  <c r="Y63" i="24"/>
  <c r="AB64" i="24"/>
  <c r="AF72" i="24"/>
  <c r="Y74" i="24"/>
  <c r="Z80" i="24"/>
  <c r="Y57" i="24"/>
  <c r="AA65" i="24"/>
  <c r="AG65" i="24"/>
  <c r="Y65" i="24"/>
  <c r="AE65" i="24"/>
  <c r="AC73" i="24"/>
  <c r="Z73" i="24"/>
  <c r="AH73" i="24"/>
  <c r="Y73" i="24"/>
  <c r="AG73" i="24"/>
  <c r="X73" i="24"/>
  <c r="AF73" i="24"/>
  <c r="AE73" i="24"/>
  <c r="AD73" i="24"/>
  <c r="AE81" i="24"/>
  <c r="AD81" i="24"/>
  <c r="AC81" i="24"/>
  <c r="AA81" i="24"/>
  <c r="Z81" i="24"/>
  <c r="Y81" i="24"/>
  <c r="X81" i="24"/>
  <c r="AH81" i="24"/>
  <c r="AG81" i="24"/>
  <c r="AD48" i="24"/>
  <c r="X49" i="24"/>
  <c r="AF49" i="24"/>
  <c r="Z50" i="24"/>
  <c r="AH50" i="24"/>
  <c r="AE53" i="24"/>
  <c r="AE54" i="24"/>
  <c r="AD55" i="24"/>
  <c r="AC56" i="24"/>
  <c r="AC57" i="24"/>
  <c r="AF61" i="24"/>
  <c r="Z63" i="24"/>
  <c r="AD64" i="24"/>
  <c r="AH65" i="24"/>
  <c r="Z71" i="24"/>
  <c r="AC58" i="24"/>
  <c r="AA58" i="24"/>
  <c r="AC66" i="24"/>
  <c r="AA66" i="24"/>
  <c r="AH66" i="24"/>
  <c r="Z66" i="24"/>
  <c r="AG66" i="24"/>
  <c r="Y66" i="24"/>
  <c r="AF66" i="24"/>
  <c r="AE74" i="24"/>
  <c r="AF74" i="24"/>
  <c r="AD74" i="24"/>
  <c r="AC74" i="24"/>
  <c r="AB74" i="24"/>
  <c r="AA74" i="24"/>
  <c r="Z74" i="24"/>
  <c r="AG82" i="24"/>
  <c r="Y82" i="24"/>
  <c r="AF82" i="24"/>
  <c r="X82" i="24"/>
  <c r="AE82" i="24"/>
  <c r="AC82" i="24"/>
  <c r="AH82" i="24"/>
  <c r="AD82" i="24"/>
  <c r="AB82" i="24"/>
  <c r="AA82" i="24"/>
  <c r="Y49" i="24"/>
  <c r="AF53" i="24"/>
  <c r="AF54" i="24"/>
  <c r="AF55" i="24"/>
  <c r="AD56" i="24"/>
  <c r="AD58" i="24"/>
  <c r="AH61" i="24"/>
  <c r="AB63" i="24"/>
  <c r="AF64" i="24"/>
  <c r="AB66" i="24"/>
  <c r="Z69" i="24"/>
  <c r="AA71" i="24"/>
  <c r="AH74" i="24"/>
  <c r="AH78" i="24"/>
  <c r="Z6" i="21"/>
  <c r="AH6" i="21" s="1"/>
  <c r="AJ13" i="21"/>
  <c r="Z3" i="21"/>
  <c r="AH3" i="21" s="1"/>
  <c r="AJ3" i="21"/>
  <c r="AH8" i="21"/>
  <c r="AJ4" i="21"/>
  <c r="Z4" i="21"/>
  <c r="AH4" i="21" s="1"/>
  <c r="Z13" i="21"/>
  <c r="AH13" i="21" s="1"/>
  <c r="R9" i="21"/>
  <c r="M224" i="21"/>
  <c r="U9" i="21" s="1"/>
  <c r="AI9" i="21" s="1"/>
  <c r="R10" i="21"/>
  <c r="U10" i="21"/>
  <c r="AI10" i="21" s="1"/>
  <c r="U11" i="21"/>
  <c r="AI11" i="21" s="1"/>
  <c r="AG3" i="21"/>
  <c r="R11" i="21"/>
  <c r="R12" i="21"/>
  <c r="M472" i="21"/>
  <c r="U12" i="21" s="1"/>
  <c r="AI12" i="21" s="1"/>
  <c r="Z5" i="21"/>
  <c r="AH5" i="21" s="1"/>
  <c r="AJ5" i="21"/>
  <c r="AG8" i="21"/>
  <c r="X13" i="21"/>
  <c r="AF13" i="21" s="1"/>
  <c r="X5" i="21"/>
  <c r="AF5" i="21" s="1"/>
  <c r="Y5" i="21"/>
  <c r="AG5" i="21" s="1"/>
  <c r="AJ2" i="16"/>
  <c r="AJ7" i="16" s="1"/>
  <c r="AJ5" i="16"/>
  <c r="AO8" i="16"/>
  <c r="AO9" i="16" s="1"/>
  <c r="AC6" i="17"/>
  <c r="AC4" i="17"/>
  <c r="AC9" i="17"/>
  <c r="AC16" i="17"/>
  <c r="AC7" i="17"/>
  <c r="AC14" i="17"/>
  <c r="AC3" i="17"/>
  <c r="AI3" i="17" s="1"/>
  <c r="AC10" i="17"/>
  <c r="AC182" i="17"/>
  <c r="AC187" i="17"/>
  <c r="AC197" i="17"/>
  <c r="AC209" i="17"/>
  <c r="AC231" i="17"/>
  <c r="AC131" i="17"/>
  <c r="AI8" i="17" s="1"/>
  <c r="AC139" i="17"/>
  <c r="AC147" i="17"/>
  <c r="AC155" i="17"/>
  <c r="AC163" i="17"/>
  <c r="AC171" i="17"/>
  <c r="AC179" i="17"/>
  <c r="AC199" i="17"/>
  <c r="AC204" i="17"/>
  <c r="AC220" i="17"/>
  <c r="AC233" i="17"/>
  <c r="AC13" i="17"/>
  <c r="AC15" i="17"/>
  <c r="AC17" i="17"/>
  <c r="AC19" i="17"/>
  <c r="AC21" i="17"/>
  <c r="AC23" i="17"/>
  <c r="AC25" i="17"/>
  <c r="AC27" i="17"/>
  <c r="AC29" i="17"/>
  <c r="AC31" i="17"/>
  <c r="AC33" i="17"/>
  <c r="AC35" i="17"/>
  <c r="AC37" i="17"/>
  <c r="AC39" i="17"/>
  <c r="AC41" i="17"/>
  <c r="AC43" i="17"/>
  <c r="AC45" i="17"/>
  <c r="AC47" i="17"/>
  <c r="AC49" i="17"/>
  <c r="AC51" i="17"/>
  <c r="AC53" i="17"/>
  <c r="AC55" i="17"/>
  <c r="AC57" i="17"/>
  <c r="AC59" i="17"/>
  <c r="AC61" i="17"/>
  <c r="AC63" i="17"/>
  <c r="AC65" i="17"/>
  <c r="AC67" i="17"/>
  <c r="AC69" i="17"/>
  <c r="AC71" i="17"/>
  <c r="AC73" i="17"/>
  <c r="AC75" i="17"/>
  <c r="AC77" i="17"/>
  <c r="AC79" i="17"/>
  <c r="AC81" i="17"/>
  <c r="AC83" i="17"/>
  <c r="AC85" i="17"/>
  <c r="AC87" i="17"/>
  <c r="AC89" i="17"/>
  <c r="AC91" i="17"/>
  <c r="AC93" i="17"/>
  <c r="AC95" i="17"/>
  <c r="AC97" i="17"/>
  <c r="AC128" i="17"/>
  <c r="AC136" i="17"/>
  <c r="AC144" i="17"/>
  <c r="AC152" i="17"/>
  <c r="AC160" i="17"/>
  <c r="AC168" i="17"/>
  <c r="AC176" i="17"/>
  <c r="AC189" i="17"/>
  <c r="AC201" i="17"/>
  <c r="AC239" i="17"/>
  <c r="AC173" i="17"/>
  <c r="AC181" i="17"/>
  <c r="AC186" i="17"/>
  <c r="AC191" i="17"/>
  <c r="AC196" i="17"/>
  <c r="AC206" i="17"/>
  <c r="AC215" i="17"/>
  <c r="AC241" i="17"/>
  <c r="AC162" i="17"/>
  <c r="AC170" i="17"/>
  <c r="AC178" i="17"/>
  <c r="AC183" i="17"/>
  <c r="AC193" i="17"/>
  <c r="AC203" i="17"/>
  <c r="AC217" i="17"/>
  <c r="AC247" i="17"/>
  <c r="AT8" i="16"/>
  <c r="AC135" i="17"/>
  <c r="AC143" i="17"/>
  <c r="AC151" i="17"/>
  <c r="AC159" i="17"/>
  <c r="AC167" i="17"/>
  <c r="AC175" i="17"/>
  <c r="AC188" i="17"/>
  <c r="AC198" i="17"/>
  <c r="AC249" i="17"/>
  <c r="AC18" i="17"/>
  <c r="AC20" i="17"/>
  <c r="AC22" i="17"/>
  <c r="AC24" i="17"/>
  <c r="AC26" i="17"/>
  <c r="AC28" i="17"/>
  <c r="AC30" i="17"/>
  <c r="AC32" i="17"/>
  <c r="AC34" i="17"/>
  <c r="AC36" i="17"/>
  <c r="AC38" i="17"/>
  <c r="AC40" i="17"/>
  <c r="AC42" i="17"/>
  <c r="AC44" i="17"/>
  <c r="AC46" i="17"/>
  <c r="AC48" i="17"/>
  <c r="AC50" i="17"/>
  <c r="AC52" i="17"/>
  <c r="AC54" i="17"/>
  <c r="AC56" i="17"/>
  <c r="AC58" i="17"/>
  <c r="AC60" i="17"/>
  <c r="AC62" i="17"/>
  <c r="AI2" i="17" s="1"/>
  <c r="AC64" i="17"/>
  <c r="AC66" i="17"/>
  <c r="AC68" i="17"/>
  <c r="AC70" i="17"/>
  <c r="AC72" i="17"/>
  <c r="AC74" i="17"/>
  <c r="AC76" i="17"/>
  <c r="AC78" i="17"/>
  <c r="AC80" i="17"/>
  <c r="AC82" i="17"/>
  <c r="AC84" i="17"/>
  <c r="AC86" i="17"/>
  <c r="AC88" i="17"/>
  <c r="AC90" i="17"/>
  <c r="AC92" i="17"/>
  <c r="AC94" i="17"/>
  <c r="AC96" i="17"/>
  <c r="AC132" i="17"/>
  <c r="AC140" i="17"/>
  <c r="AC148" i="17"/>
  <c r="AC156" i="17"/>
  <c r="AC164" i="17"/>
  <c r="AC172" i="17"/>
  <c r="AC180" i="17"/>
  <c r="AC185" i="17"/>
  <c r="AC195" i="17"/>
  <c r="AC205" i="17"/>
  <c r="AI7" i="17" s="1"/>
  <c r="AC212" i="17"/>
  <c r="AC223" i="17"/>
  <c r="AC255" i="17"/>
  <c r="AC228" i="17"/>
  <c r="AC236" i="17"/>
  <c r="AC244" i="17"/>
  <c r="AC252" i="17"/>
  <c r="AC260" i="17"/>
  <c r="AC257" i="17"/>
  <c r="AC214" i="17"/>
  <c r="AC222" i="17"/>
  <c r="AC230" i="17"/>
  <c r="AC238" i="17"/>
  <c r="AC246" i="17"/>
  <c r="AC254" i="17"/>
  <c r="AC262" i="17"/>
  <c r="AC211" i="17"/>
  <c r="AC219" i="17"/>
  <c r="AC227" i="17"/>
  <c r="AC235" i="17"/>
  <c r="AC243" i="17"/>
  <c r="AC251" i="17"/>
  <c r="AC259" i="17"/>
  <c r="AC184" i="17"/>
  <c r="AC192" i="17"/>
  <c r="AC200" i="17"/>
  <c r="AC208" i="17"/>
  <c r="AC216" i="17"/>
  <c r="AC224" i="17"/>
  <c r="AC232" i="17"/>
  <c r="AC240" i="17"/>
  <c r="AC248" i="17"/>
  <c r="AC256" i="17"/>
  <c r="AC213" i="17"/>
  <c r="AC221" i="17"/>
  <c r="AC229" i="17"/>
  <c r="AC237" i="17"/>
  <c r="AC245" i="17"/>
  <c r="AC253" i="17"/>
  <c r="AC261" i="17"/>
  <c r="AC194" i="17"/>
  <c r="AC202" i="17"/>
  <c r="AC210" i="17"/>
  <c r="AC218" i="17"/>
  <c r="AC226" i="17"/>
  <c r="AC234" i="17"/>
  <c r="AC242" i="17"/>
  <c r="AC250" i="17"/>
  <c r="AC258" i="17"/>
  <c r="AD54" i="8"/>
  <c r="AD54" i="9"/>
  <c r="AD54" i="7"/>
  <c r="AJ54" i="9"/>
  <c r="AJ54" i="8"/>
  <c r="AJ54" i="7"/>
  <c r="AG54" i="9"/>
  <c r="AG54" i="8"/>
  <c r="AG54" i="7"/>
  <c r="AB56" i="9"/>
  <c r="AB56" i="8"/>
  <c r="AB56" i="7"/>
  <c r="AB58" i="6"/>
  <c r="AA45" i="13"/>
  <c r="AA45" i="12"/>
  <c r="AA45" i="11"/>
  <c r="AA45" i="10"/>
  <c r="AA46" i="13"/>
  <c r="AA46" i="12"/>
  <c r="AA46" i="11"/>
  <c r="AA46" i="10"/>
  <c r="AA47" i="13"/>
  <c r="AA47" i="10"/>
  <c r="AA47" i="11"/>
  <c r="AA47" i="12"/>
  <c r="W54" i="8"/>
  <c r="W58" i="8" s="1"/>
  <c r="W54" i="9"/>
  <c r="W54" i="7"/>
  <c r="X54" i="9"/>
  <c r="X54" i="7"/>
  <c r="X54" i="8"/>
  <c r="X58" i="8" s="1"/>
  <c r="R45" i="13"/>
  <c r="R45" i="10"/>
  <c r="R45" i="11"/>
  <c r="R45" i="12"/>
  <c r="AJ55" i="9"/>
  <c r="AJ55" i="8"/>
  <c r="AJ55" i="7"/>
  <c r="AJ57" i="6"/>
  <c r="AD55" i="9"/>
  <c r="AD55" i="8"/>
  <c r="AD55" i="7"/>
  <c r="AD57" i="6"/>
  <c r="AH54" i="8"/>
  <c r="AH54" i="9"/>
  <c r="AH54" i="7"/>
  <c r="U54" i="9"/>
  <c r="U54" i="8"/>
  <c r="U58" i="8" s="1"/>
  <c r="U54" i="7"/>
  <c r="AB55" i="9"/>
  <c r="AB55" i="8"/>
  <c r="AB57" i="6"/>
  <c r="AB55" i="7"/>
  <c r="AL56" i="9"/>
  <c r="AL56" i="8"/>
  <c r="AL56" i="7"/>
  <c r="O54" i="8"/>
  <c r="O58" i="8" s="1"/>
  <c r="O54" i="9"/>
  <c r="O54" i="7"/>
  <c r="AA56" i="9"/>
  <c r="AA56" i="8"/>
  <c r="AA56" i="7"/>
  <c r="AA58" i="6"/>
  <c r="U47" i="12"/>
  <c r="U47" i="13"/>
  <c r="U47" i="11"/>
  <c r="U47" i="10"/>
  <c r="F41" i="5"/>
  <c r="U56" i="9"/>
  <c r="U56" i="8"/>
  <c r="U56" i="7"/>
  <c r="U58" i="6"/>
  <c r="AH55" i="9"/>
  <c r="AH55" i="8"/>
  <c r="AH57" i="6"/>
  <c r="Z45" i="13"/>
  <c r="Z45" i="11"/>
  <c r="Z49" i="11" s="1"/>
  <c r="Z45" i="12"/>
  <c r="Z49" i="12" s="1"/>
  <c r="Z45" i="10"/>
  <c r="R55" i="6"/>
  <c r="R60" i="6" s="1"/>
  <c r="R39" i="7" s="1"/>
  <c r="AG56" i="9"/>
  <c r="AG56" i="8"/>
  <c r="AG58" i="6"/>
  <c r="Y45" i="13"/>
  <c r="Y45" i="10"/>
  <c r="Y45" i="11"/>
  <c r="Y45" i="12"/>
  <c r="V56" i="9"/>
  <c r="V56" i="8"/>
  <c r="V56" i="7"/>
  <c r="AH56" i="9"/>
  <c r="AH56" i="8"/>
  <c r="Z46" i="13"/>
  <c r="Z46" i="12"/>
  <c r="Z46" i="11"/>
  <c r="Z46" i="10"/>
  <c r="AH55" i="7"/>
  <c r="AL55" i="9"/>
  <c r="AL55" i="8"/>
  <c r="AL55" i="7"/>
  <c r="AI56" i="9"/>
  <c r="AI56" i="8"/>
  <c r="AI56" i="7"/>
  <c r="W45" i="12"/>
  <c r="W45" i="13"/>
  <c r="W45" i="10"/>
  <c r="W45" i="11"/>
  <c r="AD56" i="9"/>
  <c r="AD56" i="7"/>
  <c r="AD56" i="8"/>
  <c r="AD58" i="6"/>
  <c r="W46" i="13"/>
  <c r="W46" i="12"/>
  <c r="W46" i="10"/>
  <c r="W46" i="11"/>
  <c r="AJ56" i="9"/>
  <c r="AJ56" i="8"/>
  <c r="AJ56" i="7"/>
  <c r="AJ58" i="6"/>
  <c r="D18" i="5"/>
  <c r="AB56" i="6" s="1"/>
  <c r="D28" i="5"/>
  <c r="AL56" i="6" s="1"/>
  <c r="Y47" i="13"/>
  <c r="Y47" i="12"/>
  <c r="Y47" i="10"/>
  <c r="Y47" i="11"/>
  <c r="Z56" i="9"/>
  <c r="Z56" i="8"/>
  <c r="Z56" i="7"/>
  <c r="AI54" i="8"/>
  <c r="AI58" i="8" s="1"/>
  <c r="AI54" i="9"/>
  <c r="AI54" i="7"/>
  <c r="Z47" i="13"/>
  <c r="Z47" i="12"/>
  <c r="Z47" i="11"/>
  <c r="Z47" i="10"/>
  <c r="AI55" i="9"/>
  <c r="AI55" i="8"/>
  <c r="AI57" i="6"/>
  <c r="M14" i="6"/>
  <c r="Z58" i="6"/>
  <c r="Z54" i="8"/>
  <c r="Z58" i="8" s="1"/>
  <c r="Z44" i="9" s="1"/>
  <c r="Z54" i="9"/>
  <c r="Z54" i="7"/>
  <c r="L54" i="9"/>
  <c r="L54" i="8"/>
  <c r="L58" i="8" s="1"/>
  <c r="R54" i="8"/>
  <c r="R58" i="8" s="1"/>
  <c r="R54" i="9"/>
  <c r="R54" i="7"/>
  <c r="AA54" i="8"/>
  <c r="AA58" i="8" s="1"/>
  <c r="AA51" i="9" s="1"/>
  <c r="AA54" i="9"/>
  <c r="AA54" i="7"/>
  <c r="P54" i="9"/>
  <c r="P54" i="8"/>
  <c r="P58" i="8" s="1"/>
  <c r="P54" i="7"/>
  <c r="AE54" i="8"/>
  <c r="AE54" i="9"/>
  <c r="AK54" i="9"/>
  <c r="AK54" i="8"/>
  <c r="AK58" i="8" s="1"/>
  <c r="AK54" i="7"/>
  <c r="M54" i="9"/>
  <c r="M54" i="8"/>
  <c r="M58" i="8" s="1"/>
  <c r="M54" i="7"/>
  <c r="S54" i="8"/>
  <c r="S54" i="9"/>
  <c r="S54" i="7"/>
  <c r="AC54" i="9"/>
  <c r="AC54" i="7"/>
  <c r="AC54" i="8"/>
  <c r="AC58" i="8" s="1"/>
  <c r="AF54" i="9"/>
  <c r="AF54" i="8"/>
  <c r="AF54" i="7"/>
  <c r="Q54" i="9"/>
  <c r="Q54" i="8"/>
  <c r="Q58" i="8" s="1"/>
  <c r="Q54" i="7"/>
  <c r="AE54" i="7"/>
  <c r="M49" i="11"/>
  <c r="X44" i="11"/>
  <c r="Y44" i="11"/>
  <c r="S44" i="10"/>
  <c r="P48" i="10"/>
  <c r="X44" i="10"/>
  <c r="X49" i="10" s="1"/>
  <c r="U48" i="10"/>
  <c r="N48" i="10"/>
  <c r="N48" i="11" s="1"/>
  <c r="M44" i="10"/>
  <c r="Z43" i="9"/>
  <c r="Z31" i="9"/>
  <c r="Z45" i="9"/>
  <c r="Z25" i="9"/>
  <c r="Z22" i="9"/>
  <c r="Z23" i="9"/>
  <c r="Z24" i="9"/>
  <c r="Z17" i="9"/>
  <c r="Z10" i="9"/>
  <c r="Z7" i="9"/>
  <c r="AA47" i="9"/>
  <c r="AA48" i="9"/>
  <c r="AA50" i="9"/>
  <c r="AA38" i="9"/>
  <c r="AA27" i="9"/>
  <c r="AA32" i="9"/>
  <c r="AA22" i="9"/>
  <c r="AA7" i="9"/>
  <c r="AA17" i="9"/>
  <c r="AA16" i="9"/>
  <c r="M67" i="6"/>
  <c r="M69" i="6"/>
  <c r="AF53" i="7"/>
  <c r="Z53" i="7"/>
  <c r="Z58" i="7" s="1"/>
  <c r="M66" i="6"/>
  <c r="M68" i="6"/>
  <c r="M22" i="6"/>
  <c r="M31" i="6"/>
  <c r="M35" i="6"/>
  <c r="M39" i="6"/>
  <c r="M43" i="6"/>
  <c r="M51" i="6"/>
  <c r="V55" i="6"/>
  <c r="AF55" i="6"/>
  <c r="AF60" i="6" s="1"/>
  <c r="AH55" i="6"/>
  <c r="AH60" i="6" s="1"/>
  <c r="M34" i="6"/>
  <c r="M7" i="6"/>
  <c r="M23" i="6"/>
  <c r="X55" i="6"/>
  <c r="X60" i="6" s="1"/>
  <c r="M26" i="6"/>
  <c r="M46" i="6"/>
  <c r="M8" i="6"/>
  <c r="M18" i="6"/>
  <c r="M32" i="6"/>
  <c r="M40" i="6"/>
  <c r="M44" i="6"/>
  <c r="M48" i="6"/>
  <c r="Z55" i="6"/>
  <c r="M30" i="6"/>
  <c r="M11" i="6"/>
  <c r="M24" i="6"/>
  <c r="S55" i="6"/>
  <c r="S60" i="6" s="1"/>
  <c r="U55" i="6"/>
  <c r="U60" i="6" s="1"/>
  <c r="AC55" i="6"/>
  <c r="AC60" i="6" s="1"/>
  <c r="AE55" i="6"/>
  <c r="AE60" i="6" s="1"/>
  <c r="M20" i="6"/>
  <c r="M33" i="6"/>
  <c r="M37" i="6"/>
  <c r="M41" i="6"/>
  <c r="M45" i="6"/>
  <c r="M49" i="6"/>
  <c r="W55" i="6"/>
  <c r="W60" i="6" s="1"/>
  <c r="AA55" i="6"/>
  <c r="D37" i="5"/>
  <c r="R30" i="11" l="1"/>
  <c r="R19" i="11"/>
  <c r="M8" i="25"/>
  <c r="AD62" i="24"/>
  <c r="Z62" i="24"/>
  <c r="AB62" i="24"/>
  <c r="AB44" i="10"/>
  <c r="AI66" i="23"/>
  <c r="AY66" i="23"/>
  <c r="AB57" i="24"/>
  <c r="AF57" i="24"/>
  <c r="AE57" i="24"/>
  <c r="P55" i="6"/>
  <c r="P60" i="6" s="1"/>
  <c r="M12" i="6"/>
  <c r="M55" i="6" s="1"/>
  <c r="M60" i="6" s="1"/>
  <c r="M37" i="7" s="1"/>
  <c r="M50" i="6"/>
  <c r="M28" i="6"/>
  <c r="M17" i="6"/>
  <c r="M47" i="6"/>
  <c r="M42" i="6"/>
  <c r="M63" i="6"/>
  <c r="AA21" i="9"/>
  <c r="AA25" i="9"/>
  <c r="AA31" i="9"/>
  <c r="AA41" i="9"/>
  <c r="Z8" i="9"/>
  <c r="Z14" i="9"/>
  <c r="Z28" i="9"/>
  <c r="Z26" i="9"/>
  <c r="Z32" i="9"/>
  <c r="Z47" i="9"/>
  <c r="Z44" i="10"/>
  <c r="U44" i="10"/>
  <c r="P44" i="10"/>
  <c r="M25" i="6"/>
  <c r="AI55" i="6"/>
  <c r="AI60" i="6" s="1"/>
  <c r="AG57" i="24"/>
  <c r="I10" i="26"/>
  <c r="Y78" i="24"/>
  <c r="AA77" i="24"/>
  <c r="AD77" i="24"/>
  <c r="AR100" i="23"/>
  <c r="AK100" i="23"/>
  <c r="BC100" i="23"/>
  <c r="AN76" i="23"/>
  <c r="AV76" i="23"/>
  <c r="AZ76" i="23"/>
  <c r="AR83" i="23"/>
  <c r="AP83" i="23"/>
  <c r="AN83" i="23"/>
  <c r="AP66" i="23"/>
  <c r="I8" i="25" s="1"/>
  <c r="BD74" i="23"/>
  <c r="AO74" i="23"/>
  <c r="AJ74" i="23"/>
  <c r="AZ66" i="23"/>
  <c r="S8" i="25" s="1"/>
  <c r="AU66" i="23"/>
  <c r="N8" i="25" s="1"/>
  <c r="AQ86" i="23"/>
  <c r="AT86" i="23"/>
  <c r="AZ86" i="23"/>
  <c r="AA34" i="9"/>
  <c r="AA24" i="9"/>
  <c r="AA36" i="9"/>
  <c r="AA49" i="9"/>
  <c r="Z12" i="9"/>
  <c r="Z5" i="9"/>
  <c r="Z33" i="9"/>
  <c r="Z30" i="9"/>
  <c r="Z36" i="9"/>
  <c r="Z51" i="9"/>
  <c r="T44" i="10"/>
  <c r="L44" i="10"/>
  <c r="AD57" i="24"/>
  <c r="AD78" i="24"/>
  <c r="AA57" i="24"/>
  <c r="Z57" i="24"/>
  <c r="Z78" i="24"/>
  <c r="AG78" i="24"/>
  <c r="AF77" i="24"/>
  <c r="AE77" i="24"/>
  <c r="AV100" i="23"/>
  <c r="AS100" i="23"/>
  <c r="BB76" i="23"/>
  <c r="AL76" i="23"/>
  <c r="AK76" i="23"/>
  <c r="AT83" i="23"/>
  <c r="AX83" i="23"/>
  <c r="AV83" i="23"/>
  <c r="AL74" i="23"/>
  <c r="AW74" i="23"/>
  <c r="AR74" i="23"/>
  <c r="AK66" i="23"/>
  <c r="BC66" i="23"/>
  <c r="V8" i="25" s="1"/>
  <c r="BB86" i="23"/>
  <c r="AU86" i="23"/>
  <c r="AK86" i="23"/>
  <c r="D6" i="25" s="1"/>
  <c r="AB58" i="24"/>
  <c r="AF58" i="24"/>
  <c r="AE58" i="24"/>
  <c r="AI58" i="23"/>
  <c r="AY58" i="23"/>
  <c r="AB73" i="24"/>
  <c r="AA73" i="24"/>
  <c r="AA19" i="9"/>
  <c r="AA6" i="9"/>
  <c r="AA30" i="9"/>
  <c r="AA40" i="9"/>
  <c r="Z16" i="9"/>
  <c r="Z9" i="9"/>
  <c r="Z41" i="9"/>
  <c r="Z38" i="9"/>
  <c r="Z40" i="9"/>
  <c r="W44" i="10"/>
  <c r="N44" i="10"/>
  <c r="O44" i="10"/>
  <c r="AJ8" i="16"/>
  <c r="AJ9" i="16" s="1"/>
  <c r="X57" i="24"/>
  <c r="AA78" i="24"/>
  <c r="Y62" i="24"/>
  <c r="AG77" i="24"/>
  <c r="AW100" i="23"/>
  <c r="BA100" i="23"/>
  <c r="AQ76" i="23"/>
  <c r="AX76" i="23"/>
  <c r="AS76" i="23"/>
  <c r="AZ83" i="23"/>
  <c r="AI83" i="23"/>
  <c r="B6" i="25" s="1"/>
  <c r="BD83" i="23"/>
  <c r="D8" i="25"/>
  <c r="AN74" i="23"/>
  <c r="AP74" i="23"/>
  <c r="AZ74" i="23"/>
  <c r="AS66" i="23"/>
  <c r="L8" i="25" s="1"/>
  <c r="AN66" i="23"/>
  <c r="AV74" i="23"/>
  <c r="BD86" i="23"/>
  <c r="AO86" i="23"/>
  <c r="AS86" i="23"/>
  <c r="AA64" i="24"/>
  <c r="AH64" i="24"/>
  <c r="AE48" i="24"/>
  <c r="X48" i="24"/>
  <c r="B8" i="26" s="1"/>
  <c r="AG48" i="24"/>
  <c r="K8" i="26" s="1"/>
  <c r="AF48" i="24"/>
  <c r="Y48" i="24"/>
  <c r="C8" i="26" s="1"/>
  <c r="AF65" i="24"/>
  <c r="Z65" i="24"/>
  <c r="X65" i="24"/>
  <c r="AG49" i="24"/>
  <c r="AH49" i="24"/>
  <c r="L8" i="26" s="1"/>
  <c r="AA49" i="24"/>
  <c r="E8" i="26" s="1"/>
  <c r="Z49" i="24"/>
  <c r="AA12" i="9"/>
  <c r="AA28" i="9"/>
  <c r="AA14" i="9"/>
  <c r="AA35" i="9"/>
  <c r="AA44" i="9"/>
  <c r="Z20" i="9"/>
  <c r="Z13" i="9"/>
  <c r="Z19" i="9"/>
  <c r="Z49" i="9"/>
  <c r="Z48" i="9"/>
  <c r="Q44" i="10"/>
  <c r="X48" i="10"/>
  <c r="V48" i="10"/>
  <c r="V48" i="11" s="1"/>
  <c r="AB77" i="24"/>
  <c r="AB78" i="24"/>
  <c r="AG62" i="24"/>
  <c r="AH77" i="24"/>
  <c r="AZ100" i="23"/>
  <c r="AP100" i="23"/>
  <c r="AL100" i="23"/>
  <c r="BD76" i="23"/>
  <c r="P76" i="23"/>
  <c r="BA76" i="23"/>
  <c r="T6" i="25" s="1"/>
  <c r="BB83" i="23"/>
  <c r="AQ83" i="23"/>
  <c r="AO83" i="23"/>
  <c r="AT74" i="23"/>
  <c r="AX74" i="23"/>
  <c r="AK74" i="23"/>
  <c r="BA66" i="23"/>
  <c r="T8" i="25" s="1"/>
  <c r="AV66" i="23"/>
  <c r="O6" i="25" s="1"/>
  <c r="AV86" i="23"/>
  <c r="AW86" i="23"/>
  <c r="BA86" i="23"/>
  <c r="AE70" i="24"/>
  <c r="AD70" i="24"/>
  <c r="AB70" i="24"/>
  <c r="Y54" i="24"/>
  <c r="AH54" i="24"/>
  <c r="AG54" i="24"/>
  <c r="X54" i="24"/>
  <c r="AC69" i="24"/>
  <c r="AB69" i="24"/>
  <c r="AC78" i="24"/>
  <c r="AA62" i="24"/>
  <c r="X77" i="24"/>
  <c r="BD100" i="23"/>
  <c r="AX100" i="23"/>
  <c r="AT100" i="23"/>
  <c r="R76" i="23"/>
  <c r="AO76" i="23"/>
  <c r="AJ83" i="23"/>
  <c r="AY83" i="23"/>
  <c r="R6" i="25" s="1"/>
  <c r="AW83" i="23"/>
  <c r="AM74" i="23"/>
  <c r="R74" i="23"/>
  <c r="AS74" i="23"/>
  <c r="AL66" i="23"/>
  <c r="E8" i="25" s="1"/>
  <c r="BD66" i="23"/>
  <c r="AI86" i="23"/>
  <c r="AP86" i="23"/>
  <c r="I6" i="25" s="1"/>
  <c r="Z55" i="24"/>
  <c r="AH55" i="24"/>
  <c r="AG55" i="24"/>
  <c r="X55" i="24"/>
  <c r="AH53" i="24"/>
  <c r="X53" i="24"/>
  <c r="B10" i="26"/>
  <c r="AA11" i="9"/>
  <c r="AA37" i="9"/>
  <c r="AA42" i="9"/>
  <c r="AA39" i="9"/>
  <c r="Z11" i="9"/>
  <c r="Z21" i="9"/>
  <c r="Z50" i="9"/>
  <c r="Z29" i="9"/>
  <c r="Z35" i="9"/>
  <c r="Z48" i="10"/>
  <c r="Z48" i="12" s="1"/>
  <c r="O48" i="10"/>
  <c r="O48" i="11" s="1"/>
  <c r="Y44" i="10"/>
  <c r="M48" i="10"/>
  <c r="M48" i="12" s="1"/>
  <c r="X12" i="21"/>
  <c r="AF12" i="21" s="1"/>
  <c r="AE78" i="24"/>
  <c r="AC62" i="24"/>
  <c r="Y77" i="24"/>
  <c r="AX66" i="23"/>
  <c r="Q8" i="25" s="1"/>
  <c r="AJ100" i="23"/>
  <c r="AI100" i="23"/>
  <c r="BB100" i="23"/>
  <c r="AP76" i="23"/>
  <c r="AT76" i="23"/>
  <c r="M6" i="25" s="1"/>
  <c r="AW76" i="23"/>
  <c r="BC83" i="23"/>
  <c r="AK83" i="23"/>
  <c r="AU74" i="23"/>
  <c r="N6" i="25" s="1"/>
  <c r="AI74" i="23"/>
  <c r="BA74" i="23"/>
  <c r="AT66" i="23"/>
  <c r="AO66" i="23"/>
  <c r="H10" i="25" s="1"/>
  <c r="AY86" i="23"/>
  <c r="AX86" i="23"/>
  <c r="Q6" i="25" s="1"/>
  <c r="X66" i="24"/>
  <c r="AE66" i="24"/>
  <c r="AD66" i="24"/>
  <c r="AA50" i="24"/>
  <c r="AC50" i="24"/>
  <c r="G8" i="26" s="1"/>
  <c r="AB50" i="24"/>
  <c r="F8" i="26" s="1"/>
  <c r="AY64" i="23"/>
  <c r="AQ64" i="23"/>
  <c r="J6" i="25" s="1"/>
  <c r="AF81" i="24"/>
  <c r="AB81" i="24"/>
  <c r="AH63" i="24"/>
  <c r="AF63" i="24"/>
  <c r="AD63" i="24"/>
  <c r="R50" i="7"/>
  <c r="R50" i="9" s="1"/>
  <c r="M27" i="6"/>
  <c r="AA9" i="9"/>
  <c r="M21" i="6"/>
  <c r="M29" i="6"/>
  <c r="M19" i="6"/>
  <c r="L55" i="6"/>
  <c r="L60" i="6" s="1"/>
  <c r="O55" i="6"/>
  <c r="O60" i="6" s="1"/>
  <c r="O41" i="7" s="1"/>
  <c r="AA13" i="9"/>
  <c r="AA15" i="9"/>
  <c r="AA23" i="9"/>
  <c r="AA46" i="9"/>
  <c r="AA43" i="9"/>
  <c r="Z15" i="9"/>
  <c r="Z42" i="9"/>
  <c r="Z18" i="9"/>
  <c r="Z34" i="9"/>
  <c r="Z39" i="9"/>
  <c r="T48" i="10"/>
  <c r="T48" i="12" s="1"/>
  <c r="AA44" i="10"/>
  <c r="V44" i="10"/>
  <c r="X62" i="24"/>
  <c r="J8" i="26"/>
  <c r="AF62" i="24"/>
  <c r="AE62" i="24"/>
  <c r="I6" i="26" s="1"/>
  <c r="AN100" i="23"/>
  <c r="G6" i="25" s="1"/>
  <c r="AQ100" i="23"/>
  <c r="AY76" i="23"/>
  <c r="AU76" i="23"/>
  <c r="AJ76" i="23"/>
  <c r="AQ66" i="23"/>
  <c r="AL83" i="23"/>
  <c r="BC74" i="23"/>
  <c r="V6" i="25" s="1"/>
  <c r="AQ74" i="23"/>
  <c r="AJ66" i="23"/>
  <c r="C6" i="25" s="1"/>
  <c r="BB66" i="23"/>
  <c r="U8" i="25" s="1"/>
  <c r="AW66" i="23"/>
  <c r="P8" i="25" s="1"/>
  <c r="M10" i="25"/>
  <c r="AL86" i="23"/>
  <c r="E6" i="25" s="1"/>
  <c r="AM86" i="23"/>
  <c r="AA56" i="24"/>
  <c r="AH56" i="24"/>
  <c r="AF56" i="24"/>
  <c r="M49" i="10"/>
  <c r="M48" i="11"/>
  <c r="R39" i="9"/>
  <c r="AA5" i="9"/>
  <c r="AA33" i="9"/>
  <c r="AA10" i="9"/>
  <c r="AA26" i="9"/>
  <c r="AA45" i="9"/>
  <c r="Z6" i="9"/>
  <c r="Z53" i="9" s="1"/>
  <c r="Z37" i="9"/>
  <c r="Z27" i="9"/>
  <c r="Z46" i="9"/>
  <c r="D4" i="5"/>
  <c r="F30" i="5" s="1"/>
  <c r="G10" i="25"/>
  <c r="G8" i="25"/>
  <c r="I10" i="25"/>
  <c r="L10" i="25"/>
  <c r="L6" i="25"/>
  <c r="E10" i="25"/>
  <c r="I8" i="26"/>
  <c r="J10" i="26"/>
  <c r="O8" i="25"/>
  <c r="Q10" i="25"/>
  <c r="T10" i="25"/>
  <c r="C10" i="26"/>
  <c r="V10" i="25"/>
  <c r="W6" i="25"/>
  <c r="W10" i="25"/>
  <c r="W8" i="25"/>
  <c r="K6" i="25"/>
  <c r="K10" i="25"/>
  <c r="K8" i="25"/>
  <c r="F6" i="25"/>
  <c r="F10" i="25"/>
  <c r="G6" i="26"/>
  <c r="G10" i="26"/>
  <c r="H6" i="25"/>
  <c r="B6" i="26"/>
  <c r="P10" i="25"/>
  <c r="P6" i="25"/>
  <c r="B10" i="25"/>
  <c r="U10" i="25"/>
  <c r="U6" i="25"/>
  <c r="H6" i="26"/>
  <c r="H10" i="26"/>
  <c r="E6" i="26"/>
  <c r="L6" i="26"/>
  <c r="L10" i="26"/>
  <c r="R10" i="25"/>
  <c r="F10" i="26"/>
  <c r="D6" i="26"/>
  <c r="D10" i="26"/>
  <c r="D8" i="26"/>
  <c r="N10" i="25"/>
  <c r="D10" i="25"/>
  <c r="X11" i="21"/>
  <c r="AF11" i="21" s="1"/>
  <c r="X10" i="21"/>
  <c r="AF10" i="21" s="1"/>
  <c r="X9" i="21"/>
  <c r="AF9" i="21" s="1"/>
  <c r="AT9" i="16"/>
  <c r="R41" i="7"/>
  <c r="R46" i="7"/>
  <c r="R38" i="7"/>
  <c r="R51" i="7"/>
  <c r="R43" i="7"/>
  <c r="N49" i="10"/>
  <c r="N7" i="11" s="1"/>
  <c r="R47" i="7"/>
  <c r="AI51" i="7"/>
  <c r="R40" i="7"/>
  <c r="R14" i="11"/>
  <c r="R33" i="7"/>
  <c r="O41" i="9"/>
  <c r="AC18" i="7"/>
  <c r="AC25" i="7"/>
  <c r="AC17" i="7"/>
  <c r="AC13" i="7"/>
  <c r="AC5" i="7"/>
  <c r="AC20" i="7"/>
  <c r="AC16" i="7"/>
  <c r="AC19" i="7"/>
  <c r="AC11" i="7"/>
  <c r="AC7" i="7"/>
  <c r="AC15" i="7"/>
  <c r="AC8" i="7"/>
  <c r="AC14" i="7"/>
  <c r="AC9" i="7"/>
  <c r="AC12" i="7"/>
  <c r="AC10" i="7"/>
  <c r="AC50" i="7"/>
  <c r="AC39" i="7"/>
  <c r="AC6" i="7"/>
  <c r="AC23" i="7"/>
  <c r="AC51" i="7"/>
  <c r="AC48" i="7"/>
  <c r="AC28" i="7"/>
  <c r="AC32" i="7"/>
  <c r="AC36" i="7"/>
  <c r="AC46" i="7"/>
  <c r="AC38" i="7"/>
  <c r="AC22" i="7"/>
  <c r="AC41" i="7"/>
  <c r="AC44" i="7"/>
  <c r="AC47" i="7"/>
  <c r="AC35" i="7"/>
  <c r="AC37" i="7"/>
  <c r="AC26" i="7"/>
  <c r="AC43" i="7"/>
  <c r="AC40" i="7"/>
  <c r="AC45" i="7"/>
  <c r="AC34" i="7"/>
  <c r="AC42" i="7"/>
  <c r="AC31" i="7"/>
  <c r="AC27" i="7"/>
  <c r="AC24" i="7"/>
  <c r="AC30" i="7"/>
  <c r="AC49" i="7"/>
  <c r="M16" i="11"/>
  <c r="M10" i="11"/>
  <c r="M8" i="11"/>
  <c r="M6" i="11"/>
  <c r="M9" i="11"/>
  <c r="M7" i="11"/>
  <c r="M5" i="11"/>
  <c r="M11" i="11"/>
  <c r="M19" i="11"/>
  <c r="M21" i="11"/>
  <c r="M13" i="11"/>
  <c r="M18" i="11"/>
  <c r="M28" i="11"/>
  <c r="M29" i="11"/>
  <c r="M40" i="11"/>
  <c r="M23" i="11"/>
  <c r="M27" i="11"/>
  <c r="M33" i="11"/>
  <c r="M26" i="11"/>
  <c r="M36" i="11"/>
  <c r="M31" i="11"/>
  <c r="M24" i="11"/>
  <c r="M35" i="11"/>
  <c r="M30" i="11"/>
  <c r="M38" i="11"/>
  <c r="M20" i="11"/>
  <c r="M15" i="11"/>
  <c r="M12" i="11"/>
  <c r="M17" i="11"/>
  <c r="M34" i="11"/>
  <c r="M37" i="11"/>
  <c r="M14" i="11"/>
  <c r="M32" i="11"/>
  <c r="M25" i="11"/>
  <c r="M42" i="11"/>
  <c r="M39" i="11"/>
  <c r="M41" i="11"/>
  <c r="M22" i="11"/>
  <c r="U48" i="11"/>
  <c r="U48" i="12"/>
  <c r="P48" i="11"/>
  <c r="P48" i="12"/>
  <c r="S14" i="11"/>
  <c r="W51" i="7"/>
  <c r="W49" i="7"/>
  <c r="W45" i="7"/>
  <c r="W41" i="7"/>
  <c r="W48" i="7"/>
  <c r="W44" i="7"/>
  <c r="W40" i="7"/>
  <c r="W47" i="7"/>
  <c r="W50" i="7"/>
  <c r="W36" i="7"/>
  <c r="W32" i="7"/>
  <c r="W28" i="7"/>
  <c r="W24" i="7"/>
  <c r="W20" i="7"/>
  <c r="W16" i="7"/>
  <c r="W12" i="7"/>
  <c r="W8" i="7"/>
  <c r="W43" i="7"/>
  <c r="W46" i="7"/>
  <c r="W39" i="7"/>
  <c r="W35" i="7"/>
  <c r="W31" i="7"/>
  <c r="W27" i="7"/>
  <c r="W23" i="7"/>
  <c r="W19" i="7"/>
  <c r="W15" i="7"/>
  <c r="W11" i="7"/>
  <c r="W7" i="7"/>
  <c r="W29" i="7"/>
  <c r="W38" i="7"/>
  <c r="W22" i="7"/>
  <c r="W10" i="7"/>
  <c r="W9" i="7"/>
  <c r="W25" i="7"/>
  <c r="W34" i="7"/>
  <c r="W18" i="7"/>
  <c r="W6" i="7"/>
  <c r="W5" i="7"/>
  <c r="W37" i="7"/>
  <c r="W21" i="7"/>
  <c r="W30" i="7"/>
  <c r="W13" i="7"/>
  <c r="W26" i="7"/>
  <c r="W42" i="7"/>
  <c r="W14" i="7"/>
  <c r="W17" i="7"/>
  <c r="W33" i="7"/>
  <c r="F37" i="5"/>
  <c r="R47" i="13"/>
  <c r="R47" i="12"/>
  <c r="R49" i="12" s="1"/>
  <c r="R47" i="11"/>
  <c r="R47" i="10"/>
  <c r="U50" i="7"/>
  <c r="U46" i="7"/>
  <c r="U42" i="7"/>
  <c r="U49" i="7"/>
  <c r="U45" i="7"/>
  <c r="U41" i="7"/>
  <c r="U47" i="7"/>
  <c r="U44" i="7"/>
  <c r="U37" i="7"/>
  <c r="U33" i="7"/>
  <c r="U29" i="7"/>
  <c r="U25" i="7"/>
  <c r="U21" i="7"/>
  <c r="U17" i="7"/>
  <c r="U13" i="7"/>
  <c r="U9" i="7"/>
  <c r="U43" i="7"/>
  <c r="U36" i="7"/>
  <c r="U32" i="7"/>
  <c r="U28" i="7"/>
  <c r="U24" i="7"/>
  <c r="U20" i="7"/>
  <c r="U16" i="7"/>
  <c r="U12" i="7"/>
  <c r="U8" i="7"/>
  <c r="U40" i="7"/>
  <c r="U39" i="7"/>
  <c r="U26" i="7"/>
  <c r="U23" i="7"/>
  <c r="U14" i="7"/>
  <c r="U38" i="7"/>
  <c r="U35" i="7"/>
  <c r="U22" i="7"/>
  <c r="U19" i="7"/>
  <c r="U10" i="7"/>
  <c r="U51" i="7"/>
  <c r="U5" i="7"/>
  <c r="U34" i="7"/>
  <c r="U31" i="7"/>
  <c r="U18" i="7"/>
  <c r="U15" i="7"/>
  <c r="U11" i="7"/>
  <c r="U6" i="7"/>
  <c r="U7" i="7"/>
  <c r="U48" i="7"/>
  <c r="U27" i="7"/>
  <c r="U30" i="7"/>
  <c r="AH25" i="7"/>
  <c r="AH17" i="7"/>
  <c r="AH20" i="7"/>
  <c r="AH16" i="7"/>
  <c r="AH12" i="7"/>
  <c r="AH19" i="7"/>
  <c r="AH15" i="7"/>
  <c r="AH8" i="7"/>
  <c r="AH14" i="7"/>
  <c r="AH10" i="7"/>
  <c r="AH5" i="7"/>
  <c r="AH6" i="7"/>
  <c r="AH9" i="7"/>
  <c r="AH7" i="7"/>
  <c r="AH11" i="7"/>
  <c r="AH18" i="7"/>
  <c r="AH40" i="7"/>
  <c r="AH13" i="7"/>
  <c r="AH42" i="7"/>
  <c r="AH34" i="7"/>
  <c r="AH29" i="7"/>
  <c r="AH37" i="7"/>
  <c r="AH45" i="7"/>
  <c r="AH50" i="7"/>
  <c r="AH22" i="7"/>
  <c r="AH44" i="7"/>
  <c r="AH23" i="7"/>
  <c r="AH26" i="7"/>
  <c r="AH30" i="7"/>
  <c r="AH38" i="7"/>
  <c r="AH49" i="7"/>
  <c r="AH48" i="7"/>
  <c r="AH33" i="7"/>
  <c r="AH35" i="7"/>
  <c r="AH46" i="7"/>
  <c r="AH41" i="7"/>
  <c r="AH43" i="7"/>
  <c r="AH47" i="7"/>
  <c r="AH51" i="7"/>
  <c r="AH21" i="7"/>
  <c r="AH28" i="7"/>
  <c r="AH36" i="7"/>
  <c r="AH24" i="7"/>
  <c r="AH31" i="7"/>
  <c r="AH39" i="7"/>
  <c r="AH32" i="7"/>
  <c r="AH27" i="7"/>
  <c r="AC29" i="7"/>
  <c r="X50" i="7"/>
  <c r="X46" i="7"/>
  <c r="X42" i="7"/>
  <c r="X49" i="7"/>
  <c r="X45" i="7"/>
  <c r="X41" i="7"/>
  <c r="X36" i="7"/>
  <c r="X32" i="7"/>
  <c r="X28" i="7"/>
  <c r="X24" i="7"/>
  <c r="X20" i="7"/>
  <c r="X16" i="7"/>
  <c r="X43" i="7"/>
  <c r="X40" i="7"/>
  <c r="X39" i="7"/>
  <c r="X35" i="7"/>
  <c r="X31" i="7"/>
  <c r="X27" i="7"/>
  <c r="X23" i="7"/>
  <c r="X19" i="7"/>
  <c r="X15" i="7"/>
  <c r="X11" i="7"/>
  <c r="X38" i="7"/>
  <c r="X34" i="7"/>
  <c r="X30" i="7"/>
  <c r="X26" i="7"/>
  <c r="X22" i="7"/>
  <c r="X18" i="7"/>
  <c r="X14" i="7"/>
  <c r="X10" i="7"/>
  <c r="X9" i="7"/>
  <c r="X25" i="7"/>
  <c r="X12" i="7"/>
  <c r="X47" i="7"/>
  <c r="X51" i="7"/>
  <c r="X37" i="7"/>
  <c r="X21" i="7"/>
  <c r="X48" i="7"/>
  <c r="X44" i="7"/>
  <c r="X13" i="7"/>
  <c r="X7" i="7"/>
  <c r="X33" i="7"/>
  <c r="X17" i="7"/>
  <c r="X6" i="7"/>
  <c r="X5" i="7"/>
  <c r="X29" i="7"/>
  <c r="X8" i="7"/>
  <c r="Z49" i="8"/>
  <c r="Y49" i="23" s="1"/>
  <c r="Y101" i="23" s="1"/>
  <c r="Z48" i="8"/>
  <c r="Y48" i="23" s="1"/>
  <c r="Y100" i="23" s="1"/>
  <c r="Z47" i="8"/>
  <c r="Y47" i="23" s="1"/>
  <c r="Y99" i="23" s="1"/>
  <c r="Z44" i="8"/>
  <c r="Y44" i="23" s="1"/>
  <c r="Y96" i="23" s="1"/>
  <c r="Z37" i="8"/>
  <c r="Y37" i="23" s="1"/>
  <c r="Y89" i="23" s="1"/>
  <c r="Z29" i="8"/>
  <c r="Y29" i="23" s="1"/>
  <c r="Y81" i="23" s="1"/>
  <c r="Z21" i="8"/>
  <c r="Y21" i="23" s="1"/>
  <c r="Y73" i="23" s="1"/>
  <c r="Z46" i="8"/>
  <c r="Y46" i="23" s="1"/>
  <c r="Y98" i="23" s="1"/>
  <c r="Z43" i="8"/>
  <c r="Y43" i="23" s="1"/>
  <c r="Y95" i="23" s="1"/>
  <c r="Z36" i="8"/>
  <c r="Y36" i="23" s="1"/>
  <c r="Y88" i="23" s="1"/>
  <c r="Z28" i="8"/>
  <c r="Y28" i="23" s="1"/>
  <c r="Y80" i="23" s="1"/>
  <c r="Z20" i="8"/>
  <c r="Y20" i="23" s="1"/>
  <c r="Y72" i="23" s="1"/>
  <c r="Z42" i="8"/>
  <c r="Y42" i="23" s="1"/>
  <c r="Y94" i="23" s="1"/>
  <c r="Z34" i="8"/>
  <c r="Y34" i="23" s="1"/>
  <c r="Y86" i="23" s="1"/>
  <c r="Z26" i="8"/>
  <c r="Y26" i="23" s="1"/>
  <c r="Y78" i="23" s="1"/>
  <c r="Z18" i="8"/>
  <c r="Y18" i="23" s="1"/>
  <c r="Y70" i="23" s="1"/>
  <c r="Z40" i="8"/>
  <c r="Z32" i="8"/>
  <c r="Y32" i="23" s="1"/>
  <c r="Y84" i="23" s="1"/>
  <c r="Z51" i="8"/>
  <c r="Y51" i="23" s="1"/>
  <c r="Y103" i="23" s="1"/>
  <c r="Z39" i="8"/>
  <c r="Y39" i="23" s="1"/>
  <c r="Y91" i="23" s="1"/>
  <c r="Z31" i="8"/>
  <c r="Y31" i="23" s="1"/>
  <c r="Y83" i="23" s="1"/>
  <c r="Z23" i="8"/>
  <c r="Y23" i="23" s="1"/>
  <c r="Y75" i="23" s="1"/>
  <c r="Z15" i="8"/>
  <c r="Y15" i="23" s="1"/>
  <c r="Y67" i="23" s="1"/>
  <c r="Z35" i="8"/>
  <c r="Y35" i="23" s="1"/>
  <c r="Y87" i="23" s="1"/>
  <c r="Z22" i="8"/>
  <c r="Y22" i="23" s="1"/>
  <c r="Y74" i="23" s="1"/>
  <c r="Z8" i="8"/>
  <c r="Y8" i="23" s="1"/>
  <c r="Y60" i="23" s="1"/>
  <c r="Z50" i="8"/>
  <c r="Y50" i="23" s="1"/>
  <c r="Y102" i="23" s="1"/>
  <c r="Z45" i="8"/>
  <c r="Y45" i="23" s="1"/>
  <c r="Y97" i="23" s="1"/>
  <c r="Z19" i="8"/>
  <c r="Y19" i="23" s="1"/>
  <c r="Y71" i="23" s="1"/>
  <c r="Z12" i="8"/>
  <c r="Y12" i="23" s="1"/>
  <c r="Y64" i="23" s="1"/>
  <c r="Z41" i="8"/>
  <c r="Y41" i="23" s="1"/>
  <c r="Y93" i="23" s="1"/>
  <c r="Z6" i="8"/>
  <c r="Y6" i="23" s="1"/>
  <c r="Y58" i="23" s="1"/>
  <c r="Z30" i="8"/>
  <c r="Y30" i="23" s="1"/>
  <c r="Y82" i="23" s="1"/>
  <c r="Z16" i="8"/>
  <c r="Y16" i="23" s="1"/>
  <c r="Y68" i="23" s="1"/>
  <c r="Z13" i="8"/>
  <c r="Z5" i="8"/>
  <c r="Y5" i="23" s="1"/>
  <c r="Y57" i="23" s="1"/>
  <c r="Z38" i="8"/>
  <c r="Y38" i="23" s="1"/>
  <c r="Y90" i="23" s="1"/>
  <c r="Z33" i="8"/>
  <c r="Y33" i="23" s="1"/>
  <c r="Y85" i="23" s="1"/>
  <c r="Z27" i="8"/>
  <c r="Z10" i="8"/>
  <c r="Y10" i="23" s="1"/>
  <c r="Y62" i="23" s="1"/>
  <c r="Z25" i="8"/>
  <c r="Y25" i="23" s="1"/>
  <c r="Y77" i="23" s="1"/>
  <c r="Z14" i="8"/>
  <c r="Y14" i="23" s="1"/>
  <c r="Y66" i="23" s="1"/>
  <c r="Z11" i="8"/>
  <c r="Y11" i="23" s="1"/>
  <c r="Y63" i="23" s="1"/>
  <c r="Z9" i="8"/>
  <c r="Y9" i="23" s="1"/>
  <c r="Y61" i="23" s="1"/>
  <c r="Z17" i="8"/>
  <c r="Y17" i="23" s="1"/>
  <c r="Y69" i="23" s="1"/>
  <c r="Z24" i="8"/>
  <c r="Y24" i="23" s="1"/>
  <c r="Y76" i="23" s="1"/>
  <c r="Z7" i="8"/>
  <c r="Y7" i="23" s="1"/>
  <c r="Y59" i="23" s="1"/>
  <c r="AC33" i="7"/>
  <c r="S18" i="7"/>
  <c r="S25" i="7"/>
  <c r="S17" i="7"/>
  <c r="S13" i="7"/>
  <c r="S5" i="7"/>
  <c r="S20" i="7"/>
  <c r="S16" i="7"/>
  <c r="S8" i="7"/>
  <c r="S9" i="7"/>
  <c r="S19" i="7"/>
  <c r="S10" i="7"/>
  <c r="S12" i="7"/>
  <c r="S6" i="7"/>
  <c r="S7" i="7"/>
  <c r="S14" i="7"/>
  <c r="S49" i="7"/>
  <c r="S15" i="7"/>
  <c r="S11" i="7"/>
  <c r="S31" i="7"/>
  <c r="S44" i="7"/>
  <c r="S32" i="7"/>
  <c r="S40" i="7"/>
  <c r="S35" i="7"/>
  <c r="S29" i="7"/>
  <c r="S28" i="7"/>
  <c r="S39" i="7"/>
  <c r="S23" i="7"/>
  <c r="S24" i="7"/>
  <c r="S34" i="7"/>
  <c r="S47" i="7"/>
  <c r="S48" i="7"/>
  <c r="S33" i="7"/>
  <c r="S50" i="7"/>
  <c r="S21" i="7"/>
  <c r="S36" i="7"/>
  <c r="S27" i="7"/>
  <c r="S22" i="7"/>
  <c r="S43" i="7"/>
  <c r="S37" i="7"/>
  <c r="S42" i="7"/>
  <c r="S41" i="7"/>
  <c r="S51" i="7"/>
  <c r="S26" i="7"/>
  <c r="S30" i="7"/>
  <c r="S38" i="7"/>
  <c r="S45" i="7"/>
  <c r="Q27" i="7"/>
  <c r="Q23" i="7"/>
  <c r="Q26" i="7"/>
  <c r="Q22" i="7"/>
  <c r="Q14" i="7"/>
  <c r="Q29" i="7"/>
  <c r="Q21" i="7"/>
  <c r="Q15" i="7"/>
  <c r="Q28" i="7"/>
  <c r="Q24" i="7"/>
  <c r="Q8" i="7"/>
  <c r="Q9" i="7"/>
  <c r="Q10" i="7"/>
  <c r="Q16" i="7"/>
  <c r="Q5" i="7"/>
  <c r="Q13" i="7"/>
  <c r="Q6" i="7"/>
  <c r="Q35" i="7"/>
  <c r="Q43" i="7"/>
  <c r="Q51" i="7"/>
  <c r="Q40" i="7"/>
  <c r="Q20" i="7"/>
  <c r="Q37" i="7"/>
  <c r="Q38" i="7"/>
  <c r="Q18" i="7"/>
  <c r="Q48" i="7"/>
  <c r="Q44" i="7"/>
  <c r="Q45" i="7"/>
  <c r="Q36" i="7"/>
  <c r="Q7" i="7"/>
  <c r="Q31" i="7"/>
  <c r="Q33" i="7"/>
  <c r="Q32" i="7"/>
  <c r="Q19" i="7"/>
  <c r="Q12" i="7"/>
  <c r="Q46" i="7"/>
  <c r="Q39" i="7"/>
  <c r="Q41" i="7"/>
  <c r="Q25" i="7"/>
  <c r="Q34" i="7"/>
  <c r="Q30" i="7"/>
  <c r="Q50" i="7"/>
  <c r="Q47" i="7"/>
  <c r="Q49" i="7"/>
  <c r="Q42" i="7"/>
  <c r="L29" i="7"/>
  <c r="L21" i="7"/>
  <c r="L5" i="7"/>
  <c r="L28" i="7"/>
  <c r="L24" i="7"/>
  <c r="L16" i="7"/>
  <c r="L27" i="7"/>
  <c r="L23" i="7"/>
  <c r="L15" i="7"/>
  <c r="L10" i="7"/>
  <c r="L9" i="7"/>
  <c r="L26" i="7"/>
  <c r="L13" i="7"/>
  <c r="L22" i="7"/>
  <c r="L14" i="7"/>
  <c r="L6" i="7"/>
  <c r="L8" i="7"/>
  <c r="L45" i="7"/>
  <c r="L30" i="7"/>
  <c r="L11" i="7"/>
  <c r="L20" i="7"/>
  <c r="L46" i="7"/>
  <c r="L36" i="7"/>
  <c r="L12" i="7"/>
  <c r="L42" i="7"/>
  <c r="L32" i="7"/>
  <c r="L17" i="7"/>
  <c r="L47" i="7"/>
  <c r="L50" i="7"/>
  <c r="L40" i="7"/>
  <c r="L33" i="7"/>
  <c r="L34" i="7"/>
  <c r="L25" i="7"/>
  <c r="L7" i="7"/>
  <c r="L49" i="7"/>
  <c r="L35" i="7"/>
  <c r="L44" i="7"/>
  <c r="L37" i="7"/>
  <c r="L38" i="7"/>
  <c r="L43" i="7"/>
  <c r="L48" i="7"/>
  <c r="L19" i="7"/>
  <c r="L41" i="7"/>
  <c r="L51" i="7"/>
  <c r="L18" i="7"/>
  <c r="L31" i="7"/>
  <c r="L39" i="7"/>
  <c r="O20" i="7"/>
  <c r="O16" i="7"/>
  <c r="O19" i="7"/>
  <c r="O15" i="7"/>
  <c r="O11" i="7"/>
  <c r="O18" i="7"/>
  <c r="O17" i="7"/>
  <c r="O6" i="7"/>
  <c r="O5" i="7"/>
  <c r="O13" i="7"/>
  <c r="O14" i="7"/>
  <c r="O25" i="7"/>
  <c r="O8" i="7"/>
  <c r="O21" i="7"/>
  <c r="O12" i="7"/>
  <c r="O37" i="7"/>
  <c r="O7" i="7"/>
  <c r="O10" i="7"/>
  <c r="O9" i="7"/>
  <c r="O23" i="7"/>
  <c r="O22" i="7"/>
  <c r="O40" i="7"/>
  <c r="O31" i="7"/>
  <c r="O44" i="7"/>
  <c r="O32" i="7"/>
  <c r="O29" i="7"/>
  <c r="O39" i="7"/>
  <c r="O48" i="7"/>
  <c r="O36" i="7"/>
  <c r="O47" i="7"/>
  <c r="O24" i="7"/>
  <c r="O49" i="7"/>
  <c r="O34" i="7"/>
  <c r="O27" i="7"/>
  <c r="O42" i="7"/>
  <c r="O30" i="7"/>
  <c r="O50" i="7"/>
  <c r="O35" i="7"/>
  <c r="O45" i="7"/>
  <c r="O43" i="7"/>
  <c r="O51" i="7"/>
  <c r="O28" i="7"/>
  <c r="O33" i="7"/>
  <c r="O38" i="7"/>
  <c r="O26" i="7"/>
  <c r="O46" i="7"/>
  <c r="AC21" i="7"/>
  <c r="S45" i="13"/>
  <c r="S45" i="12"/>
  <c r="S45" i="11"/>
  <c r="S45" i="10"/>
  <c r="S30" i="11"/>
  <c r="S19" i="11"/>
  <c r="S46" i="7"/>
  <c r="AA48" i="8"/>
  <c r="Z48" i="23" s="1"/>
  <c r="Z100" i="23" s="1"/>
  <c r="AA47" i="8"/>
  <c r="Z47" i="23" s="1"/>
  <c r="Z99" i="23" s="1"/>
  <c r="AA50" i="8"/>
  <c r="Z50" i="23" s="1"/>
  <c r="Z102" i="23" s="1"/>
  <c r="AA46" i="8"/>
  <c r="Z46" i="23" s="1"/>
  <c r="Z98" i="23" s="1"/>
  <c r="AA43" i="8"/>
  <c r="Z43" i="23" s="1"/>
  <c r="Z95" i="23" s="1"/>
  <c r="AA36" i="8"/>
  <c r="Z36" i="23" s="1"/>
  <c r="Z88" i="23" s="1"/>
  <c r="AA28" i="8"/>
  <c r="Z28" i="23" s="1"/>
  <c r="Z80" i="23" s="1"/>
  <c r="AA20" i="8"/>
  <c r="AA45" i="8"/>
  <c r="Z45" i="23" s="1"/>
  <c r="Z97" i="23" s="1"/>
  <c r="AA35" i="8"/>
  <c r="Z35" i="23" s="1"/>
  <c r="Z87" i="23" s="1"/>
  <c r="AA27" i="8"/>
  <c r="Z27" i="23" s="1"/>
  <c r="Z79" i="23" s="1"/>
  <c r="AA19" i="8"/>
  <c r="AA41" i="8"/>
  <c r="Z41" i="23" s="1"/>
  <c r="Z93" i="23" s="1"/>
  <c r="AA33" i="8"/>
  <c r="Z33" i="23" s="1"/>
  <c r="Z85" i="23" s="1"/>
  <c r="AA25" i="8"/>
  <c r="AA17" i="8"/>
  <c r="Z17" i="23" s="1"/>
  <c r="Z69" i="23" s="1"/>
  <c r="AA12" i="8"/>
  <c r="Z12" i="23" s="1"/>
  <c r="Z64" i="23" s="1"/>
  <c r="AA51" i="8"/>
  <c r="Z51" i="23" s="1"/>
  <c r="Z103" i="23" s="1"/>
  <c r="AA39" i="8"/>
  <c r="Z39" i="23" s="1"/>
  <c r="Z91" i="23" s="1"/>
  <c r="AA38" i="8"/>
  <c r="Z38" i="23" s="1"/>
  <c r="Z90" i="23" s="1"/>
  <c r="AA30" i="8"/>
  <c r="Z30" i="23" s="1"/>
  <c r="Z82" i="23" s="1"/>
  <c r="AA22" i="8"/>
  <c r="Z22" i="23" s="1"/>
  <c r="Z74" i="23" s="1"/>
  <c r="AA40" i="8"/>
  <c r="Z40" i="23" s="1"/>
  <c r="Z92" i="23" s="1"/>
  <c r="AA21" i="8"/>
  <c r="Z21" i="23" s="1"/>
  <c r="Z73" i="23" s="1"/>
  <c r="AA15" i="8"/>
  <c r="Z15" i="23" s="1"/>
  <c r="Z67" i="23" s="1"/>
  <c r="AA18" i="8"/>
  <c r="AA7" i="8"/>
  <c r="Z7" i="23" s="1"/>
  <c r="Z59" i="23" s="1"/>
  <c r="AA42" i="8"/>
  <c r="Z42" i="23" s="1"/>
  <c r="Z94" i="23" s="1"/>
  <c r="AA37" i="8"/>
  <c r="Z37" i="23" s="1"/>
  <c r="Z89" i="23" s="1"/>
  <c r="AA32" i="8"/>
  <c r="Z32" i="23" s="1"/>
  <c r="Z84" i="23" s="1"/>
  <c r="AA31" i="8"/>
  <c r="Z31" i="23" s="1"/>
  <c r="Z83" i="23" s="1"/>
  <c r="AA16" i="8"/>
  <c r="Z16" i="23" s="1"/>
  <c r="Z68" i="23" s="1"/>
  <c r="AA13" i="8"/>
  <c r="AA5" i="8"/>
  <c r="Z5" i="23" s="1"/>
  <c r="Z57" i="23" s="1"/>
  <c r="AA49" i="8"/>
  <c r="AA29" i="8"/>
  <c r="AA10" i="8"/>
  <c r="Z10" i="23" s="1"/>
  <c r="Z62" i="23" s="1"/>
  <c r="AA26" i="8"/>
  <c r="Z26" i="23" s="1"/>
  <c r="Z78" i="23" s="1"/>
  <c r="AA14" i="8"/>
  <c r="Z14" i="23" s="1"/>
  <c r="Z66" i="23" s="1"/>
  <c r="AA11" i="8"/>
  <c r="Z11" i="23" s="1"/>
  <c r="Z63" i="23" s="1"/>
  <c r="AA9" i="8"/>
  <c r="AA44" i="8"/>
  <c r="Z44" i="23" s="1"/>
  <c r="Z96" i="23" s="1"/>
  <c r="AA34" i="8"/>
  <c r="Z34" i="23" s="1"/>
  <c r="Z86" i="23" s="1"/>
  <c r="AA24" i="8"/>
  <c r="Z24" i="23" s="1"/>
  <c r="Z76" i="23" s="1"/>
  <c r="AA6" i="8"/>
  <c r="Z6" i="23" s="1"/>
  <c r="Z58" i="23" s="1"/>
  <c r="AA23" i="8"/>
  <c r="AA8" i="8"/>
  <c r="Q17" i="7"/>
  <c r="AA18" i="9"/>
  <c r="AA29" i="9"/>
  <c r="AA8" i="9"/>
  <c r="AA20" i="9"/>
  <c r="Q11" i="7"/>
  <c r="P27" i="7"/>
  <c r="P23" i="7"/>
  <c r="P19" i="7"/>
  <c r="P15" i="7"/>
  <c r="P11" i="7"/>
  <c r="P7" i="7"/>
  <c r="P26" i="7"/>
  <c r="P22" i="7"/>
  <c r="P18" i="7"/>
  <c r="P14" i="7"/>
  <c r="P10" i="7"/>
  <c r="P6" i="7"/>
  <c r="P16" i="7"/>
  <c r="P13" i="7"/>
  <c r="P29" i="7"/>
  <c r="P28" i="7"/>
  <c r="P25" i="7"/>
  <c r="P24" i="7"/>
  <c r="P8" i="7"/>
  <c r="P21" i="7"/>
  <c r="P12" i="7"/>
  <c r="P9" i="7"/>
  <c r="P36" i="7"/>
  <c r="P5" i="7"/>
  <c r="P17" i="7"/>
  <c r="P20" i="7"/>
  <c r="P33" i="7"/>
  <c r="P42" i="7"/>
  <c r="P30" i="7"/>
  <c r="P32" i="7"/>
  <c r="P37" i="7"/>
  <c r="P39" i="7"/>
  <c r="P40" i="7"/>
  <c r="P34" i="7"/>
  <c r="P38" i="7"/>
  <c r="P45" i="7"/>
  <c r="P46" i="7"/>
  <c r="P49" i="7"/>
  <c r="P35" i="7"/>
  <c r="P41" i="7"/>
  <c r="P48" i="7"/>
  <c r="P50" i="7"/>
  <c r="P44" i="7"/>
  <c r="P31" i="7"/>
  <c r="P47" i="7"/>
  <c r="P43" i="7"/>
  <c r="P51" i="7"/>
  <c r="R26" i="11"/>
  <c r="AB54" i="9"/>
  <c r="AB54" i="8"/>
  <c r="AB54" i="7"/>
  <c r="AI20" i="7"/>
  <c r="AI16" i="7"/>
  <c r="AI12" i="7"/>
  <c r="AI8" i="7"/>
  <c r="AI19" i="7"/>
  <c r="AI15" i="7"/>
  <c r="AI11" i="7"/>
  <c r="AI7" i="7"/>
  <c r="AI17" i="7"/>
  <c r="AI14" i="7"/>
  <c r="AI9" i="7"/>
  <c r="AI29" i="7"/>
  <c r="AI26" i="7"/>
  <c r="AI5" i="7"/>
  <c r="AI25" i="7"/>
  <c r="AI6" i="7"/>
  <c r="AI37" i="7"/>
  <c r="AI10" i="7"/>
  <c r="AI18" i="7"/>
  <c r="AI34" i="7"/>
  <c r="AI21" i="7"/>
  <c r="AI13" i="7"/>
  <c r="AI30" i="7"/>
  <c r="AI23" i="7"/>
  <c r="AI38" i="7"/>
  <c r="AI32" i="7"/>
  <c r="AI28" i="7"/>
  <c r="AI46" i="7"/>
  <c r="AI40" i="7"/>
  <c r="AI48" i="7"/>
  <c r="AI24" i="7"/>
  <c r="AI22" i="7"/>
  <c r="AI33" i="7"/>
  <c r="AI42" i="7"/>
  <c r="AI41" i="7"/>
  <c r="AI36" i="7"/>
  <c r="AI39" i="7"/>
  <c r="AI44" i="7"/>
  <c r="AI47" i="7"/>
  <c r="AI43" i="7"/>
  <c r="AI50" i="7"/>
  <c r="Z48" i="11"/>
  <c r="R32" i="11"/>
  <c r="Q20" i="9"/>
  <c r="AI31" i="7"/>
  <c r="O48" i="12"/>
  <c r="N48" i="12"/>
  <c r="R35" i="11"/>
  <c r="R41" i="11"/>
  <c r="R24" i="11"/>
  <c r="R28" i="11"/>
  <c r="R28" i="13" s="1"/>
  <c r="S28" i="13" s="1"/>
  <c r="R27" i="11"/>
  <c r="R34" i="11"/>
  <c r="R33" i="11"/>
  <c r="R33" i="13" s="1"/>
  <c r="S33" i="13" s="1"/>
  <c r="R39" i="11"/>
  <c r="R20" i="11"/>
  <c r="R38" i="11"/>
  <c r="AC5" i="9"/>
  <c r="AD5" i="9" s="1"/>
  <c r="R31" i="11"/>
  <c r="R21" i="11"/>
  <c r="R21" i="13" s="1"/>
  <c r="S21" i="13" s="1"/>
  <c r="AI49" i="7"/>
  <c r="R11" i="11"/>
  <c r="R11" i="13" s="1"/>
  <c r="S11" i="13" s="1"/>
  <c r="R9" i="11"/>
  <c r="R9" i="13" s="1"/>
  <c r="S9" i="13" s="1"/>
  <c r="R7" i="11"/>
  <c r="R7" i="13" s="1"/>
  <c r="S7" i="13" s="1"/>
  <c r="R5" i="11"/>
  <c r="R16" i="11"/>
  <c r="R10" i="11"/>
  <c r="R8" i="11"/>
  <c r="R6" i="11"/>
  <c r="R18" i="11"/>
  <c r="R18" i="13" s="1"/>
  <c r="S18" i="13" s="1"/>
  <c r="R25" i="11"/>
  <c r="R15" i="11"/>
  <c r="R13" i="11"/>
  <c r="R36" i="11"/>
  <c r="R29" i="11"/>
  <c r="R40" i="11"/>
  <c r="R42" i="11"/>
  <c r="R22" i="11"/>
  <c r="R37" i="11"/>
  <c r="R37" i="13" s="1"/>
  <c r="S37" i="13" s="1"/>
  <c r="R23" i="11"/>
  <c r="V48" i="12"/>
  <c r="R12" i="11"/>
  <c r="R17" i="11"/>
  <c r="R30" i="7"/>
  <c r="R34" i="7"/>
  <c r="R44" i="7"/>
  <c r="R36" i="7"/>
  <c r="R48" i="7"/>
  <c r="W47" i="13"/>
  <c r="W47" i="12"/>
  <c r="W47" i="11"/>
  <c r="W47" i="10"/>
  <c r="R45" i="7"/>
  <c r="R46" i="13"/>
  <c r="R46" i="12"/>
  <c r="R46" i="10"/>
  <c r="R46" i="11"/>
  <c r="R49" i="11" s="1"/>
  <c r="R48" i="11" s="1"/>
  <c r="E37" i="5"/>
  <c r="R35" i="7"/>
  <c r="R37" i="7"/>
  <c r="AH58" i="8"/>
  <c r="AJ58" i="8"/>
  <c r="AI22" i="9"/>
  <c r="AL54" i="8"/>
  <c r="AL54" i="9"/>
  <c r="AL54" i="7"/>
  <c r="U17" i="9"/>
  <c r="R26" i="7"/>
  <c r="R22" i="7"/>
  <c r="R18" i="7"/>
  <c r="R14" i="7"/>
  <c r="R10" i="7"/>
  <c r="R6" i="7"/>
  <c r="R29" i="7"/>
  <c r="R25" i="7"/>
  <c r="R21" i="7"/>
  <c r="R17" i="7"/>
  <c r="R13" i="7"/>
  <c r="R9" i="7"/>
  <c r="R28" i="7"/>
  <c r="R7" i="7"/>
  <c r="R27" i="7"/>
  <c r="R24" i="7"/>
  <c r="R23" i="7"/>
  <c r="R12" i="7"/>
  <c r="R20" i="7"/>
  <c r="R19" i="7"/>
  <c r="R5" i="7"/>
  <c r="R49" i="7"/>
  <c r="R15" i="7"/>
  <c r="R11" i="7"/>
  <c r="R31" i="7"/>
  <c r="R16" i="7"/>
  <c r="R32" i="7"/>
  <c r="R8" i="7"/>
  <c r="R42" i="7"/>
  <c r="R36" i="13"/>
  <c r="S36" i="13" s="1"/>
  <c r="R19" i="13"/>
  <c r="S19" i="13" s="1"/>
  <c r="R42" i="13"/>
  <c r="S42" i="13" s="1"/>
  <c r="R26" i="13"/>
  <c r="S26" i="13" s="1"/>
  <c r="R25" i="13"/>
  <c r="S25" i="13" s="1"/>
  <c r="R30" i="13"/>
  <c r="S30" i="13" s="1"/>
  <c r="R14" i="13"/>
  <c r="S14" i="13" s="1"/>
  <c r="R48" i="12"/>
  <c r="R24" i="13"/>
  <c r="S24" i="13" s="1"/>
  <c r="R39" i="13"/>
  <c r="S39" i="13" s="1"/>
  <c r="V49" i="10"/>
  <c r="Z49" i="10"/>
  <c r="U49" i="10"/>
  <c r="P49" i="10"/>
  <c r="O49" i="10"/>
  <c r="M64" i="6"/>
  <c r="M70" i="6" s="1"/>
  <c r="Y56" i="6"/>
  <c r="V56" i="6"/>
  <c r="V60" i="6"/>
  <c r="Z49" i="23" l="1"/>
  <c r="Z101" i="23" s="1"/>
  <c r="Y13" i="23"/>
  <c r="Y65" i="23" s="1"/>
  <c r="O7" i="25" s="1"/>
  <c r="T49" i="10"/>
  <c r="S10" i="25"/>
  <c r="Z23" i="23"/>
  <c r="Z75" i="23" s="1"/>
  <c r="Z9" i="23"/>
  <c r="Z61" i="23" s="1"/>
  <c r="Z13" i="23"/>
  <c r="Z65" i="23" s="1"/>
  <c r="Y40" i="23"/>
  <c r="Y92" i="23" s="1"/>
  <c r="S6" i="25"/>
  <c r="J8" i="25"/>
  <c r="J6" i="26"/>
  <c r="H8" i="25"/>
  <c r="N21" i="11"/>
  <c r="Z25" i="23"/>
  <c r="Z77" i="23" s="1"/>
  <c r="Y27" i="23"/>
  <c r="Y79" i="23" s="1"/>
  <c r="F6" i="26"/>
  <c r="M6" i="26" s="1"/>
  <c r="E10" i="26"/>
  <c r="O10" i="25"/>
  <c r="K6" i="26"/>
  <c r="C8" i="25"/>
  <c r="R8" i="25"/>
  <c r="AI35" i="7"/>
  <c r="AI35" i="9" s="1"/>
  <c r="AI45" i="7"/>
  <c r="AI45" i="9" s="1"/>
  <c r="AI27" i="7"/>
  <c r="AI27" i="9" s="1"/>
  <c r="N19" i="11"/>
  <c r="T48" i="11"/>
  <c r="N9" i="11"/>
  <c r="Z29" i="23"/>
  <c r="Z81" i="23" s="1"/>
  <c r="Z19" i="23"/>
  <c r="Z71" i="23" s="1"/>
  <c r="J10" i="25"/>
  <c r="C10" i="25"/>
  <c r="C6" i="26"/>
  <c r="B8" i="25"/>
  <c r="X8" i="25" s="1"/>
  <c r="K10" i="26"/>
  <c r="M10" i="26" s="1"/>
  <c r="M8" i="26"/>
  <c r="R20" i="13"/>
  <c r="S20" i="13" s="1"/>
  <c r="R23" i="13"/>
  <c r="S23" i="13" s="1"/>
  <c r="R15" i="13"/>
  <c r="S15" i="13" s="1"/>
  <c r="R6" i="13"/>
  <c r="S6" i="13" s="1"/>
  <c r="R34" i="13"/>
  <c r="S34" i="13" s="1"/>
  <c r="R12" i="13"/>
  <c r="S12" i="13" s="1"/>
  <c r="R16" i="13"/>
  <c r="S16" i="13" s="1"/>
  <c r="R19" i="12"/>
  <c r="R13" i="13"/>
  <c r="S13" i="13" s="1"/>
  <c r="R5" i="13"/>
  <c r="R38" i="13"/>
  <c r="S38" i="13" s="1"/>
  <c r="R43" i="9"/>
  <c r="R51" i="9"/>
  <c r="R35" i="13"/>
  <c r="S35" i="13" s="1"/>
  <c r="R14" i="12"/>
  <c r="S14" i="12" s="1"/>
  <c r="R33" i="9"/>
  <c r="R38" i="9"/>
  <c r="Z18" i="23"/>
  <c r="Z70" i="23" s="1"/>
  <c r="Q14" i="24"/>
  <c r="Q57" i="24" s="1"/>
  <c r="R46" i="9"/>
  <c r="O11" i="25"/>
  <c r="R40" i="9"/>
  <c r="R41" i="9"/>
  <c r="R8" i="13"/>
  <c r="S8" i="13" s="1"/>
  <c r="Z20" i="23"/>
  <c r="Z72" i="23" s="1"/>
  <c r="AI51" i="9"/>
  <c r="F4" i="5"/>
  <c r="E4" i="5"/>
  <c r="R17" i="13"/>
  <c r="S17" i="13" s="1"/>
  <c r="R29" i="13"/>
  <c r="S29" i="13" s="1"/>
  <c r="R31" i="13"/>
  <c r="S31" i="13" s="1"/>
  <c r="Z8" i="23"/>
  <c r="Z60" i="23" s="1"/>
  <c r="P11" i="25" s="1"/>
  <c r="O9" i="25"/>
  <c r="R47" i="9"/>
  <c r="P7" i="25"/>
  <c r="E30" i="5"/>
  <c r="X6" i="25"/>
  <c r="N31" i="11"/>
  <c r="N5" i="11"/>
  <c r="N5" i="12" s="1"/>
  <c r="Z53" i="8"/>
  <c r="N24" i="11"/>
  <c r="N24" i="13" s="1"/>
  <c r="N32" i="11"/>
  <c r="N32" i="13" s="1"/>
  <c r="N40" i="11"/>
  <c r="AA53" i="9"/>
  <c r="N12" i="11"/>
  <c r="N25" i="11"/>
  <c r="N26" i="11"/>
  <c r="N27" i="11"/>
  <c r="N28" i="11"/>
  <c r="N20" i="11"/>
  <c r="N13" i="11"/>
  <c r="N22" i="11"/>
  <c r="N34" i="11"/>
  <c r="N11" i="11"/>
  <c r="N33" i="11"/>
  <c r="N33" i="13" s="1"/>
  <c r="N37" i="11"/>
  <c r="N41" i="11"/>
  <c r="N6" i="11"/>
  <c r="N17" i="11"/>
  <c r="N30" i="11"/>
  <c r="N42" i="11"/>
  <c r="N39" i="11"/>
  <c r="N38" i="11"/>
  <c r="N38" i="12" s="1"/>
  <c r="N8" i="11"/>
  <c r="N14" i="11"/>
  <c r="N14" i="13" s="1"/>
  <c r="N35" i="11"/>
  <c r="N23" i="11"/>
  <c r="N15" i="11"/>
  <c r="N10" i="11"/>
  <c r="N18" i="11"/>
  <c r="N29" i="11"/>
  <c r="N29" i="13" s="1"/>
  <c r="N36" i="11"/>
  <c r="N16" i="11"/>
  <c r="M37" i="9"/>
  <c r="X6" i="9"/>
  <c r="X16" i="9"/>
  <c r="AH38" i="9"/>
  <c r="U31" i="9"/>
  <c r="AD39" i="7"/>
  <c r="AC39" i="9"/>
  <c r="AD39" i="9" s="1"/>
  <c r="V51" i="7"/>
  <c r="V47" i="7"/>
  <c r="V43" i="7"/>
  <c r="V50" i="7"/>
  <c r="V46" i="7"/>
  <c r="V42" i="7"/>
  <c r="V44" i="7"/>
  <c r="V41" i="7"/>
  <c r="V37" i="7"/>
  <c r="V33" i="7"/>
  <c r="V29" i="7"/>
  <c r="V25" i="7"/>
  <c r="V21" i="7"/>
  <c r="V17" i="7"/>
  <c r="V5" i="7"/>
  <c r="V36" i="7"/>
  <c r="V32" i="7"/>
  <c r="V28" i="7"/>
  <c r="V24" i="7"/>
  <c r="V20" i="7"/>
  <c r="V16" i="7"/>
  <c r="V12" i="7"/>
  <c r="V40" i="7"/>
  <c r="V49" i="7"/>
  <c r="V39" i="7"/>
  <c r="V35" i="7"/>
  <c r="V31" i="7"/>
  <c r="V27" i="7"/>
  <c r="V23" i="7"/>
  <c r="V19" i="7"/>
  <c r="V15" i="7"/>
  <c r="V26" i="7"/>
  <c r="V14" i="7"/>
  <c r="V8" i="7"/>
  <c r="V38" i="7"/>
  <c r="V22" i="7"/>
  <c r="V34" i="7"/>
  <c r="V18" i="7"/>
  <c r="V11" i="7"/>
  <c r="V6" i="7"/>
  <c r="V48" i="7"/>
  <c r="V7" i="7"/>
  <c r="V13" i="7"/>
  <c r="V10" i="7"/>
  <c r="V9" i="7"/>
  <c r="V45" i="7"/>
  <c r="V30" i="7"/>
  <c r="U16" i="11"/>
  <c r="U11" i="11"/>
  <c r="U9" i="11"/>
  <c r="U7" i="11"/>
  <c r="U5" i="11"/>
  <c r="U10" i="11"/>
  <c r="U8" i="11"/>
  <c r="U6" i="11"/>
  <c r="U19" i="11"/>
  <c r="U39" i="11"/>
  <c r="U12" i="11"/>
  <c r="U29" i="11"/>
  <c r="U15" i="11"/>
  <c r="U42" i="11"/>
  <c r="U25" i="11"/>
  <c r="U22" i="11"/>
  <c r="U30" i="11"/>
  <c r="U40" i="11"/>
  <c r="U23" i="11"/>
  <c r="U38" i="11"/>
  <c r="U31" i="11"/>
  <c r="U32" i="11"/>
  <c r="U33" i="11"/>
  <c r="U18" i="11"/>
  <c r="U20" i="11"/>
  <c r="U26" i="11"/>
  <c r="U36" i="11"/>
  <c r="U17" i="11"/>
  <c r="U27" i="11"/>
  <c r="U21" i="11"/>
  <c r="U14" i="11"/>
  <c r="U24" i="11"/>
  <c r="U28" i="11"/>
  <c r="U37" i="11"/>
  <c r="U41" i="11"/>
  <c r="U13" i="11"/>
  <c r="U35" i="11"/>
  <c r="U34" i="11"/>
  <c r="R42" i="9"/>
  <c r="R53" i="7"/>
  <c r="R5" i="9"/>
  <c r="R28" i="9"/>
  <c r="R10" i="9"/>
  <c r="R36" i="9"/>
  <c r="R22" i="12"/>
  <c r="S22" i="11"/>
  <c r="R18" i="12"/>
  <c r="S18" i="11"/>
  <c r="S11" i="11"/>
  <c r="R11" i="12"/>
  <c r="S11" i="12" s="1"/>
  <c r="R34" i="12"/>
  <c r="S34" i="11"/>
  <c r="R41" i="12"/>
  <c r="S41" i="11"/>
  <c r="N14" i="12"/>
  <c r="AI43" i="9"/>
  <c r="AI23" i="9"/>
  <c r="AI6" i="9"/>
  <c r="AI7" i="9"/>
  <c r="M14" i="7"/>
  <c r="N39" i="12"/>
  <c r="N39" i="13"/>
  <c r="N8" i="12"/>
  <c r="N8" i="13"/>
  <c r="M49" i="7"/>
  <c r="P41" i="9"/>
  <c r="P39" i="9"/>
  <c r="P5" i="9"/>
  <c r="P53" i="7"/>
  <c r="P58" i="7" s="1"/>
  <c r="P41" i="8" s="1"/>
  <c r="P28" i="9"/>
  <c r="P22" i="9"/>
  <c r="M31" i="7"/>
  <c r="M42" i="7"/>
  <c r="M32" i="7"/>
  <c r="O43" i="9"/>
  <c r="O49" i="9"/>
  <c r="O44" i="9"/>
  <c r="O37" i="9"/>
  <c r="O6" i="9"/>
  <c r="L39" i="9"/>
  <c r="L38" i="9"/>
  <c r="L33" i="9"/>
  <c r="L36" i="9"/>
  <c r="L14" i="9"/>
  <c r="L27" i="9"/>
  <c r="Q49" i="9"/>
  <c r="Q46" i="9"/>
  <c r="Q45" i="9"/>
  <c r="Q51" i="9"/>
  <c r="Q9" i="9"/>
  <c r="Q22" i="9"/>
  <c r="X29" i="9"/>
  <c r="X48" i="9"/>
  <c r="X10" i="9"/>
  <c r="X11" i="9"/>
  <c r="X40" i="9"/>
  <c r="X41" i="9"/>
  <c r="M33" i="7"/>
  <c r="M35" i="7"/>
  <c r="AH21" i="9"/>
  <c r="AH48" i="9"/>
  <c r="AH50" i="9"/>
  <c r="AH18" i="9"/>
  <c r="AH8" i="9"/>
  <c r="M46" i="7"/>
  <c r="U15" i="9"/>
  <c r="U22" i="9"/>
  <c r="U8" i="9"/>
  <c r="U43" i="9"/>
  <c r="U37" i="9"/>
  <c r="U50" i="9"/>
  <c r="W33" i="9"/>
  <c r="W37" i="9"/>
  <c r="W22" i="9"/>
  <c r="W27" i="9"/>
  <c r="W16" i="9"/>
  <c r="W40" i="9"/>
  <c r="M26" i="7"/>
  <c r="M41" i="12"/>
  <c r="M41" i="24" s="1"/>
  <c r="M84" i="24" s="1"/>
  <c r="M41" i="13"/>
  <c r="M17" i="12"/>
  <c r="M17" i="24" s="1"/>
  <c r="M60" i="24" s="1"/>
  <c r="M17" i="13"/>
  <c r="M31" i="12"/>
  <c r="M31" i="13"/>
  <c r="M28" i="12"/>
  <c r="M28" i="13"/>
  <c r="M9" i="12"/>
  <c r="M9" i="24" s="1"/>
  <c r="M52" i="24" s="1"/>
  <c r="M9" i="13"/>
  <c r="AD49" i="7"/>
  <c r="AC49" i="9"/>
  <c r="AD49" i="9" s="1"/>
  <c r="AD40" i="7"/>
  <c r="AC40" i="9"/>
  <c r="AD40" i="9" s="1"/>
  <c r="AD22" i="7"/>
  <c r="AC22" i="9"/>
  <c r="AD22" i="9" s="1"/>
  <c r="AD23" i="7"/>
  <c r="AC23" i="9"/>
  <c r="AD23" i="9" s="1"/>
  <c r="AD8" i="7"/>
  <c r="AC8" i="9"/>
  <c r="AD8" i="9" s="1"/>
  <c r="AD13" i="7"/>
  <c r="AC13" i="9"/>
  <c r="AD13" i="9" s="1"/>
  <c r="R32" i="9"/>
  <c r="R37" i="9"/>
  <c r="N24" i="12"/>
  <c r="AI13" i="9"/>
  <c r="N36" i="12"/>
  <c r="N36" i="13"/>
  <c r="P32" i="9"/>
  <c r="O47" i="9"/>
  <c r="O18" i="9"/>
  <c r="L13" i="9"/>
  <c r="Q19" i="9"/>
  <c r="Q23" i="9"/>
  <c r="X19" i="9"/>
  <c r="AH32" i="9"/>
  <c r="U30" i="9"/>
  <c r="AD7" i="7"/>
  <c r="AC7" i="9"/>
  <c r="AD7" i="9" s="1"/>
  <c r="V54" i="8"/>
  <c r="V58" i="8" s="1"/>
  <c r="V54" i="9"/>
  <c r="V54" i="7"/>
  <c r="Z11" i="11"/>
  <c r="Z9" i="11"/>
  <c r="Z7" i="11"/>
  <c r="Z5" i="11"/>
  <c r="Z8" i="11"/>
  <c r="Z16" i="11"/>
  <c r="Z6" i="11"/>
  <c r="Z10" i="11"/>
  <c r="Z31" i="11"/>
  <c r="Z27" i="11"/>
  <c r="Z19" i="11"/>
  <c r="Z20" i="11"/>
  <c r="Z14" i="11"/>
  <c r="Z15" i="11"/>
  <c r="Z12" i="11"/>
  <c r="Z25" i="11"/>
  <c r="Z21" i="11"/>
  <c r="Z13" i="11"/>
  <c r="Z33" i="11"/>
  <c r="Z18" i="11"/>
  <c r="Z35" i="11"/>
  <c r="Z22" i="11"/>
  <c r="Z37" i="11"/>
  <c r="Z39" i="11"/>
  <c r="Z17" i="11"/>
  <c r="Z26" i="11"/>
  <c r="Z34" i="11"/>
  <c r="Z30" i="11"/>
  <c r="Z24" i="11"/>
  <c r="Z41" i="11"/>
  <c r="Z42" i="11"/>
  <c r="Z38" i="11"/>
  <c r="Z28" i="11"/>
  <c r="Z40" i="11"/>
  <c r="Z29" i="11"/>
  <c r="Z23" i="11"/>
  <c r="Z32" i="11"/>
  <c r="Z36" i="11"/>
  <c r="R8" i="9"/>
  <c r="R19" i="9"/>
  <c r="R9" i="9"/>
  <c r="R14" i="9"/>
  <c r="R44" i="9"/>
  <c r="R42" i="12"/>
  <c r="S42" i="11"/>
  <c r="S6" i="11"/>
  <c r="R6" i="12"/>
  <c r="R27" i="12"/>
  <c r="S27" i="11"/>
  <c r="R35" i="12"/>
  <c r="S35" i="11"/>
  <c r="N18" i="12"/>
  <c r="N18" i="13"/>
  <c r="AI47" i="9"/>
  <c r="AI24" i="9"/>
  <c r="AI30" i="9"/>
  <c r="AI25" i="9"/>
  <c r="AI11" i="9"/>
  <c r="N33" i="12"/>
  <c r="N23" i="12"/>
  <c r="N23" i="13"/>
  <c r="N15" i="12"/>
  <c r="N15" i="13"/>
  <c r="P51" i="9"/>
  <c r="P35" i="8"/>
  <c r="P35" i="9"/>
  <c r="P37" i="8"/>
  <c r="P37" i="9"/>
  <c r="P36" i="8"/>
  <c r="P36" i="23" s="1"/>
  <c r="P88" i="23" s="1"/>
  <c r="P36" i="9"/>
  <c r="P29" i="9"/>
  <c r="P26" i="9"/>
  <c r="Q11" i="9"/>
  <c r="M47" i="7"/>
  <c r="M11" i="7"/>
  <c r="O45" i="9"/>
  <c r="O24" i="9"/>
  <c r="O31" i="9"/>
  <c r="O12" i="9"/>
  <c r="O17" i="9"/>
  <c r="L31" i="9"/>
  <c r="L37" i="9"/>
  <c r="L40" i="9"/>
  <c r="L46" i="9"/>
  <c r="L22" i="9"/>
  <c r="L16" i="9"/>
  <c r="Q47" i="9"/>
  <c r="Q12" i="9"/>
  <c r="Q44" i="9"/>
  <c r="Q43" i="9"/>
  <c r="Q8" i="9"/>
  <c r="Q26" i="9"/>
  <c r="X5" i="9"/>
  <c r="X53" i="7"/>
  <c r="X58" i="7" s="1"/>
  <c r="X9" i="8" s="1"/>
  <c r="X21" i="9"/>
  <c r="X14" i="9"/>
  <c r="X15" i="9"/>
  <c r="X43" i="9"/>
  <c r="X45" i="9"/>
  <c r="AH27" i="9"/>
  <c r="AH51" i="9"/>
  <c r="AH49" i="9"/>
  <c r="AH45" i="9"/>
  <c r="AH11" i="9"/>
  <c r="AH15" i="9"/>
  <c r="M48" i="7"/>
  <c r="U18" i="9"/>
  <c r="U35" i="9"/>
  <c r="U12" i="9"/>
  <c r="U9" i="9"/>
  <c r="U44" i="9"/>
  <c r="M41" i="7"/>
  <c r="W17" i="9"/>
  <c r="W5" i="9"/>
  <c r="W53" i="7"/>
  <c r="W58" i="7" s="1"/>
  <c r="W5" i="8" s="1"/>
  <c r="V5" i="23" s="1"/>
  <c r="V57" i="23" s="1"/>
  <c r="W38" i="9"/>
  <c r="W31" i="9"/>
  <c r="W20" i="9"/>
  <c r="W44" i="9"/>
  <c r="M39" i="12"/>
  <c r="M39" i="24" s="1"/>
  <c r="M82" i="24" s="1"/>
  <c r="M39" i="13"/>
  <c r="M12" i="12"/>
  <c r="M12" i="13"/>
  <c r="M36" i="12"/>
  <c r="M36" i="13"/>
  <c r="M18" i="12"/>
  <c r="M18" i="13"/>
  <c r="M6" i="12"/>
  <c r="M6" i="24" s="1"/>
  <c r="M49" i="24" s="1"/>
  <c r="M6" i="13"/>
  <c r="AD30" i="7"/>
  <c r="AC30" i="9"/>
  <c r="AD30" i="9" s="1"/>
  <c r="AD43" i="7"/>
  <c r="AC43" i="9"/>
  <c r="AD43" i="9" s="1"/>
  <c r="AD38" i="7"/>
  <c r="AC38" i="9"/>
  <c r="AD38" i="9" s="1"/>
  <c r="AD6" i="7"/>
  <c r="AC6" i="9"/>
  <c r="AD15" i="7"/>
  <c r="AC15" i="9"/>
  <c r="AD15" i="9" s="1"/>
  <c r="AD17" i="7"/>
  <c r="AC17" i="9"/>
  <c r="AD17" i="9" s="1"/>
  <c r="R45" i="9"/>
  <c r="AI48" i="9"/>
  <c r="P49" i="8"/>
  <c r="P49" i="23" s="1"/>
  <c r="P101" i="23" s="1"/>
  <c r="P49" i="9"/>
  <c r="O35" i="9"/>
  <c r="L44" i="9"/>
  <c r="Q24" i="9"/>
  <c r="AD26" i="7"/>
  <c r="AC26" i="9"/>
  <c r="AD26" i="9" s="1"/>
  <c r="R16" i="9"/>
  <c r="R12" i="9"/>
  <c r="R17" i="9"/>
  <c r="R22" i="9"/>
  <c r="R30" i="9"/>
  <c r="R17" i="12"/>
  <c r="S17" i="12" s="1"/>
  <c r="S17" i="11"/>
  <c r="R29" i="12"/>
  <c r="S29" i="12" s="1"/>
  <c r="S29" i="11"/>
  <c r="R10" i="12"/>
  <c r="S10" i="11"/>
  <c r="AI49" i="9"/>
  <c r="R38" i="12"/>
  <c r="S38" i="11"/>
  <c r="N21" i="12"/>
  <c r="N21" i="24" s="1"/>
  <c r="N64" i="24" s="1"/>
  <c r="N21" i="13"/>
  <c r="AI39" i="9"/>
  <c r="AI40" i="9"/>
  <c r="AI21" i="9"/>
  <c r="AI26" i="9"/>
  <c r="AI19" i="9"/>
  <c r="N35" i="12"/>
  <c r="N35" i="13"/>
  <c r="M25" i="7"/>
  <c r="N31" i="12"/>
  <c r="N31" i="13"/>
  <c r="P47" i="8"/>
  <c r="P47" i="9"/>
  <c r="P46" i="8"/>
  <c r="P46" i="23" s="1"/>
  <c r="P98" i="23" s="1"/>
  <c r="P46" i="9"/>
  <c r="P30" i="8"/>
  <c r="P30" i="9"/>
  <c r="P12" i="8"/>
  <c r="P12" i="9"/>
  <c r="P16" i="8"/>
  <c r="P16" i="9"/>
  <c r="P11" i="8"/>
  <c r="P11" i="9"/>
  <c r="M28" i="7"/>
  <c r="O26" i="9"/>
  <c r="O50" i="9"/>
  <c r="O36" i="9"/>
  <c r="O22" i="9"/>
  <c r="O8" i="9"/>
  <c r="O11" i="9"/>
  <c r="L51" i="9"/>
  <c r="L35" i="9"/>
  <c r="L47" i="9"/>
  <c r="L11" i="9"/>
  <c r="L26" i="9"/>
  <c r="L28" i="9"/>
  <c r="Q30" i="9"/>
  <c r="Q32" i="9"/>
  <c r="Q18" i="9"/>
  <c r="Q6" i="9"/>
  <c r="Q28" i="9"/>
  <c r="Q27" i="9"/>
  <c r="X17" i="9"/>
  <c r="X51" i="9"/>
  <c r="X22" i="9"/>
  <c r="X23" i="9"/>
  <c r="X20" i="9"/>
  <c r="X42" i="9"/>
  <c r="AD29" i="7"/>
  <c r="AC29" i="9"/>
  <c r="AD29" i="9" s="1"/>
  <c r="AH39" i="9"/>
  <c r="AH43" i="9"/>
  <c r="AH30" i="9"/>
  <c r="AH29" i="9"/>
  <c r="AH9" i="9"/>
  <c r="AH12" i="9"/>
  <c r="U27" i="9"/>
  <c r="U34" i="9"/>
  <c r="U14" i="9"/>
  <c r="U20" i="9"/>
  <c r="U41" i="9"/>
  <c r="W42" i="9"/>
  <c r="W18" i="9"/>
  <c r="W7" i="9"/>
  <c r="W39" i="9"/>
  <c r="W28" i="9"/>
  <c r="W41" i="8"/>
  <c r="W41" i="9"/>
  <c r="M25" i="12"/>
  <c r="M25" i="13"/>
  <c r="M20" i="12"/>
  <c r="M20" i="13"/>
  <c r="M33" i="12"/>
  <c r="M33" i="24" s="1"/>
  <c r="M76" i="24" s="1"/>
  <c r="M33" i="13"/>
  <c r="M21" i="12"/>
  <c r="M21" i="13"/>
  <c r="M10" i="12"/>
  <c r="M10" i="13"/>
  <c r="AD27" i="7"/>
  <c r="AC27" i="9"/>
  <c r="AD27" i="9" s="1"/>
  <c r="AD37" i="7"/>
  <c r="AC37" i="9"/>
  <c r="AD37" i="9" s="1"/>
  <c r="AD36" i="7"/>
  <c r="AC36" i="9"/>
  <c r="AD36" i="9" s="1"/>
  <c r="AD50" i="7"/>
  <c r="AC50" i="9"/>
  <c r="AD50" i="9" s="1"/>
  <c r="AD11" i="7"/>
  <c r="AC11" i="9"/>
  <c r="AD11" i="9" s="1"/>
  <c r="AD18" i="7"/>
  <c r="AC18" i="9"/>
  <c r="AD18" i="9" s="1"/>
  <c r="R20" i="9"/>
  <c r="M13" i="7"/>
  <c r="S40" i="11"/>
  <c r="R40" i="12"/>
  <c r="AI5" i="9"/>
  <c r="N16" i="12"/>
  <c r="N16" i="13"/>
  <c r="P9" i="8"/>
  <c r="P9" i="23" s="1"/>
  <c r="P61" i="23" s="1"/>
  <c r="P9" i="9"/>
  <c r="L20" i="9"/>
  <c r="L45" i="13"/>
  <c r="L45" i="12"/>
  <c r="L49" i="12" s="1"/>
  <c r="L45" i="11"/>
  <c r="L49" i="11" s="1"/>
  <c r="L45" i="10"/>
  <c r="W6" i="9"/>
  <c r="W35" i="9"/>
  <c r="M15" i="12"/>
  <c r="M15" i="13"/>
  <c r="M8" i="12"/>
  <c r="M8" i="24" s="1"/>
  <c r="M51" i="24" s="1"/>
  <c r="M8" i="13"/>
  <c r="AD46" i="7"/>
  <c r="AC46" i="9"/>
  <c r="AD46" i="9" s="1"/>
  <c r="R22" i="13"/>
  <c r="S22" i="13" s="1"/>
  <c r="R41" i="13"/>
  <c r="S41" i="13" s="1"/>
  <c r="R27" i="13"/>
  <c r="S27" i="13" s="1"/>
  <c r="R31" i="9"/>
  <c r="R23" i="9"/>
  <c r="R21" i="9"/>
  <c r="R26" i="9"/>
  <c r="R35" i="9"/>
  <c r="R12" i="12"/>
  <c r="S12" i="12" s="1"/>
  <c r="S12" i="11"/>
  <c r="R36" i="12"/>
  <c r="S36" i="11"/>
  <c r="R16" i="12"/>
  <c r="S16" i="11"/>
  <c r="N13" i="12"/>
  <c r="N13" i="13"/>
  <c r="N22" i="12"/>
  <c r="N22" i="13"/>
  <c r="AI31" i="9"/>
  <c r="AI36" i="9"/>
  <c r="AI46" i="9"/>
  <c r="AI34" i="9"/>
  <c r="AI29" i="9"/>
  <c r="AI8" i="9"/>
  <c r="N29" i="12"/>
  <c r="N40" i="12"/>
  <c r="N40" i="13"/>
  <c r="N7" i="12"/>
  <c r="N7" i="13"/>
  <c r="M43" i="7"/>
  <c r="P31" i="8"/>
  <c r="P31" i="9"/>
  <c r="P45" i="8"/>
  <c r="P45" i="9"/>
  <c r="P42" i="8"/>
  <c r="P42" i="23" s="1"/>
  <c r="P94" i="23" s="1"/>
  <c r="P42" i="9"/>
  <c r="P21" i="8"/>
  <c r="P21" i="9"/>
  <c r="P6" i="8"/>
  <c r="P6" i="9"/>
  <c r="P15" i="8"/>
  <c r="P15" i="9"/>
  <c r="M50" i="7"/>
  <c r="R30" i="12"/>
  <c r="O38" i="9"/>
  <c r="O30" i="9"/>
  <c r="O48" i="9"/>
  <c r="O23" i="9"/>
  <c r="O25" i="9"/>
  <c r="O15" i="9"/>
  <c r="L41" i="9"/>
  <c r="L49" i="9"/>
  <c r="L17" i="9"/>
  <c r="L30" i="9"/>
  <c r="L9" i="9"/>
  <c r="L5" i="9"/>
  <c r="L53" i="7"/>
  <c r="L58" i="7" s="1"/>
  <c r="L39" i="8" s="1"/>
  <c r="L39" i="23" s="1"/>
  <c r="L91" i="23" s="1"/>
  <c r="Q34" i="9"/>
  <c r="Q33" i="9"/>
  <c r="Q38" i="9"/>
  <c r="Q13" i="9"/>
  <c r="Q15" i="9"/>
  <c r="M36" i="7"/>
  <c r="AD33" i="7"/>
  <c r="AC33" i="9"/>
  <c r="AD33" i="9" s="1"/>
  <c r="X33" i="9"/>
  <c r="X47" i="9"/>
  <c r="X26" i="9"/>
  <c r="X27" i="9"/>
  <c r="X24" i="9"/>
  <c r="X46" i="9"/>
  <c r="AH31" i="9"/>
  <c r="AH41" i="9"/>
  <c r="AH26" i="9"/>
  <c r="AH34" i="9"/>
  <c r="AH6" i="9"/>
  <c r="AH16" i="9"/>
  <c r="U48" i="9"/>
  <c r="U5" i="9"/>
  <c r="U53" i="7"/>
  <c r="U58" i="7" s="1"/>
  <c r="U9" i="8" s="1"/>
  <c r="U23" i="9"/>
  <c r="U24" i="9"/>
  <c r="U21" i="9"/>
  <c r="U45" i="9"/>
  <c r="W26" i="8"/>
  <c r="V26" i="23" s="1"/>
  <c r="V78" i="23" s="1"/>
  <c r="W26" i="9"/>
  <c r="W34" i="8"/>
  <c r="W34" i="9"/>
  <c r="W11" i="8"/>
  <c r="V11" i="23" s="1"/>
  <c r="V63" i="23" s="1"/>
  <c r="W11" i="9"/>
  <c r="W46" i="8"/>
  <c r="V46" i="23" s="1"/>
  <c r="V98" i="23" s="1"/>
  <c r="W46" i="9"/>
  <c r="W32" i="8"/>
  <c r="V32" i="23" s="1"/>
  <c r="V84" i="23" s="1"/>
  <c r="W32" i="9"/>
  <c r="W45" i="8"/>
  <c r="W45" i="9"/>
  <c r="M32" i="12"/>
  <c r="M32" i="24" s="1"/>
  <c r="M75" i="24" s="1"/>
  <c r="M32" i="13"/>
  <c r="M38" i="12"/>
  <c r="M38" i="24" s="1"/>
  <c r="M81" i="24" s="1"/>
  <c r="M38" i="13"/>
  <c r="M27" i="12"/>
  <c r="M27" i="24" s="1"/>
  <c r="M70" i="24" s="1"/>
  <c r="M27" i="13"/>
  <c r="M19" i="12"/>
  <c r="M19" i="13"/>
  <c r="M16" i="12"/>
  <c r="M16" i="24" s="1"/>
  <c r="M59" i="24" s="1"/>
  <c r="M16" i="13"/>
  <c r="AD31" i="7"/>
  <c r="AC31" i="9"/>
  <c r="AD31" i="9" s="1"/>
  <c r="AD35" i="7"/>
  <c r="AC35" i="9"/>
  <c r="AD35" i="9" s="1"/>
  <c r="AD32" i="7"/>
  <c r="AC32" i="9"/>
  <c r="AD32" i="9" s="1"/>
  <c r="AD10" i="7"/>
  <c r="AC10" i="9"/>
  <c r="AD10" i="9" s="1"/>
  <c r="AD19" i="7"/>
  <c r="AC19" i="9"/>
  <c r="AD19" i="9" s="1"/>
  <c r="M45" i="7"/>
  <c r="V10" i="11"/>
  <c r="V8" i="11"/>
  <c r="V6" i="11"/>
  <c r="V7" i="11"/>
  <c r="V11" i="11"/>
  <c r="V5" i="11"/>
  <c r="V16" i="11"/>
  <c r="V23" i="11"/>
  <c r="V13" i="11"/>
  <c r="V9" i="11"/>
  <c r="V22" i="11"/>
  <c r="V30" i="11"/>
  <c r="V31" i="11"/>
  <c r="V41" i="11"/>
  <c r="V36" i="11"/>
  <c r="V27" i="11"/>
  <c r="V12" i="11"/>
  <c r="V40" i="11"/>
  <c r="V18" i="11"/>
  <c r="V35" i="11"/>
  <c r="V29" i="11"/>
  <c r="V32" i="11"/>
  <c r="V38" i="11"/>
  <c r="V25" i="11"/>
  <c r="V26" i="11"/>
  <c r="V33" i="11"/>
  <c r="V34" i="11"/>
  <c r="V42" i="11"/>
  <c r="V20" i="11"/>
  <c r="V19" i="11"/>
  <c r="V37" i="11"/>
  <c r="V14" i="11"/>
  <c r="V15" i="11"/>
  <c r="V28" i="11"/>
  <c r="V21" i="11"/>
  <c r="V39" i="11"/>
  <c r="V24" i="11"/>
  <c r="V17" i="11"/>
  <c r="R18" i="9"/>
  <c r="AI44" i="9"/>
  <c r="P43" i="8"/>
  <c r="P43" i="9"/>
  <c r="P7" i="8"/>
  <c r="P7" i="23" s="1"/>
  <c r="P59" i="23" s="1"/>
  <c r="P7" i="9"/>
  <c r="M17" i="7"/>
  <c r="O46" i="9"/>
  <c r="O21" i="9"/>
  <c r="L50" i="9"/>
  <c r="Q50" i="9"/>
  <c r="Q35" i="9"/>
  <c r="X37" i="9"/>
  <c r="X49" i="9"/>
  <c r="AH37" i="9"/>
  <c r="U16" i="9"/>
  <c r="M13" i="12"/>
  <c r="M13" i="24" s="1"/>
  <c r="M56" i="24" s="1"/>
  <c r="M13" i="13"/>
  <c r="O11" i="11"/>
  <c r="O9" i="11"/>
  <c r="O7" i="11"/>
  <c r="O5" i="11"/>
  <c r="O16" i="11"/>
  <c r="O6" i="11"/>
  <c r="O10" i="11"/>
  <c r="O8" i="11"/>
  <c r="O30" i="11"/>
  <c r="O23" i="11"/>
  <c r="O31" i="11"/>
  <c r="O32" i="11"/>
  <c r="O35" i="11"/>
  <c r="O28" i="11"/>
  <c r="O21" i="11"/>
  <c r="O18" i="11"/>
  <c r="O39" i="11"/>
  <c r="O40" i="11"/>
  <c r="O36" i="11"/>
  <c r="O29" i="11"/>
  <c r="O13" i="11"/>
  <c r="O26" i="11"/>
  <c r="O14" i="11"/>
  <c r="O27" i="11"/>
  <c r="O42" i="11"/>
  <c r="O12" i="11"/>
  <c r="O24" i="11"/>
  <c r="O25" i="11"/>
  <c r="O33" i="11"/>
  <c r="O22" i="11"/>
  <c r="O37" i="11"/>
  <c r="O41" i="11"/>
  <c r="O19" i="11"/>
  <c r="O20" i="11"/>
  <c r="O38" i="11"/>
  <c r="O17" i="11"/>
  <c r="O15" i="11"/>
  <c r="O34" i="11"/>
  <c r="R10" i="13"/>
  <c r="S10" i="13" s="1"/>
  <c r="R11" i="9"/>
  <c r="R24" i="9"/>
  <c r="R25" i="9"/>
  <c r="S46" i="13"/>
  <c r="S46" i="12"/>
  <c r="S46" i="11"/>
  <c r="S46" i="10"/>
  <c r="R13" i="12"/>
  <c r="S13" i="11"/>
  <c r="R5" i="12"/>
  <c r="Q5" i="24" s="1"/>
  <c r="Q48" i="24" s="1"/>
  <c r="S5" i="11"/>
  <c r="R44" i="11"/>
  <c r="R21" i="12"/>
  <c r="S21" i="12" s="1"/>
  <c r="S21" i="11"/>
  <c r="R20" i="12"/>
  <c r="S20" i="11"/>
  <c r="R28" i="12"/>
  <c r="S28" i="11"/>
  <c r="AI41" i="9"/>
  <c r="AI28" i="9"/>
  <c r="AI18" i="9"/>
  <c r="AI9" i="9"/>
  <c r="AI12" i="9"/>
  <c r="N19" i="12"/>
  <c r="N19" i="13"/>
  <c r="N9" i="12"/>
  <c r="N9" i="13"/>
  <c r="M7" i="7"/>
  <c r="P44" i="8"/>
  <c r="P44" i="9"/>
  <c r="P38" i="8"/>
  <c r="P38" i="23" s="1"/>
  <c r="P90" i="23" s="1"/>
  <c r="P38" i="9"/>
  <c r="P33" i="8"/>
  <c r="P33" i="23" s="1"/>
  <c r="P85" i="23" s="1"/>
  <c r="P33" i="9"/>
  <c r="P8" i="8"/>
  <c r="P8" i="23" s="1"/>
  <c r="P60" i="23" s="1"/>
  <c r="P8" i="9"/>
  <c r="P10" i="8"/>
  <c r="P10" i="9"/>
  <c r="P19" i="8"/>
  <c r="P19" i="23" s="1"/>
  <c r="P71" i="23" s="1"/>
  <c r="P19" i="9"/>
  <c r="M12" i="7"/>
  <c r="M22" i="7"/>
  <c r="O33" i="9"/>
  <c r="O42" i="9"/>
  <c r="O39" i="9"/>
  <c r="O9" i="9"/>
  <c r="O14" i="9"/>
  <c r="O19" i="9"/>
  <c r="L19" i="9"/>
  <c r="L7" i="9"/>
  <c r="L32" i="9"/>
  <c r="L45" i="9"/>
  <c r="L10" i="9"/>
  <c r="L21" i="9"/>
  <c r="Q25" i="9"/>
  <c r="Q31" i="9"/>
  <c r="Q37" i="9"/>
  <c r="Q5" i="9"/>
  <c r="Q53" i="7"/>
  <c r="Q58" i="7" s="1"/>
  <c r="Q21" i="9"/>
  <c r="M29" i="7"/>
  <c r="X7" i="9"/>
  <c r="X12" i="9"/>
  <c r="X30" i="8"/>
  <c r="W30" i="23" s="1"/>
  <c r="W82" i="23" s="1"/>
  <c r="X30" i="9"/>
  <c r="X31" i="9"/>
  <c r="X28" i="9"/>
  <c r="X50" i="8"/>
  <c r="X50" i="9"/>
  <c r="AH24" i="9"/>
  <c r="AH46" i="9"/>
  <c r="AH23" i="9"/>
  <c r="AH42" i="9"/>
  <c r="AH5" i="9"/>
  <c r="AH53" i="7"/>
  <c r="AH58" i="7" s="1"/>
  <c r="AH48" i="8" s="1"/>
  <c r="AD48" i="23" s="1"/>
  <c r="AD100" i="23" s="1"/>
  <c r="AH20" i="9"/>
  <c r="U7" i="9"/>
  <c r="U51" i="9"/>
  <c r="U26" i="9"/>
  <c r="U28" i="9"/>
  <c r="U25" i="9"/>
  <c r="U49" i="9"/>
  <c r="W13" i="8"/>
  <c r="W13" i="9"/>
  <c r="W25" i="8"/>
  <c r="W25" i="9"/>
  <c r="W15" i="8"/>
  <c r="W15" i="9"/>
  <c r="W43" i="8"/>
  <c r="W43" i="9"/>
  <c r="W36" i="8"/>
  <c r="W36" i="9"/>
  <c r="W49" i="8"/>
  <c r="W49" i="9"/>
  <c r="M14" i="12"/>
  <c r="M14" i="13"/>
  <c r="M30" i="12"/>
  <c r="M30" i="13"/>
  <c r="M23" i="12"/>
  <c r="M23" i="24" s="1"/>
  <c r="M66" i="24" s="1"/>
  <c r="M23" i="13"/>
  <c r="M11" i="12"/>
  <c r="M11" i="13"/>
  <c r="M39" i="7"/>
  <c r="AD42" i="7"/>
  <c r="AC42" i="9"/>
  <c r="AD42" i="9" s="1"/>
  <c r="AD47" i="7"/>
  <c r="AC47" i="9"/>
  <c r="AD47" i="9" s="1"/>
  <c r="AD28" i="7"/>
  <c r="AC28" i="9"/>
  <c r="AD28" i="9" s="1"/>
  <c r="AD12" i="7"/>
  <c r="AC12" i="9"/>
  <c r="AD12" i="9" s="1"/>
  <c r="AD16" i="7"/>
  <c r="AC16" i="9"/>
  <c r="AD16" i="9" s="1"/>
  <c r="M16" i="7"/>
  <c r="M15" i="7"/>
  <c r="M6" i="7"/>
  <c r="M5" i="7"/>
  <c r="M10" i="7"/>
  <c r="M9" i="7"/>
  <c r="N56" i="6"/>
  <c r="P10" i="11"/>
  <c r="P8" i="11"/>
  <c r="P6" i="11"/>
  <c r="P16" i="11"/>
  <c r="P7" i="11"/>
  <c r="P11" i="11"/>
  <c r="P5" i="11"/>
  <c r="P9" i="11"/>
  <c r="P21" i="11"/>
  <c r="P20" i="11"/>
  <c r="P42" i="11"/>
  <c r="P27" i="11"/>
  <c r="P39" i="11"/>
  <c r="P32" i="11"/>
  <c r="P37" i="11"/>
  <c r="P33" i="11"/>
  <c r="P29" i="11"/>
  <c r="P13" i="11"/>
  <c r="P41" i="11"/>
  <c r="P36" i="11"/>
  <c r="P26" i="11"/>
  <c r="P35" i="11"/>
  <c r="P12" i="11"/>
  <c r="P22" i="11"/>
  <c r="P23" i="11"/>
  <c r="P24" i="11"/>
  <c r="P17" i="11"/>
  <c r="P34" i="11"/>
  <c r="P30" i="11"/>
  <c r="P31" i="11"/>
  <c r="P40" i="11"/>
  <c r="P25" i="11"/>
  <c r="P38" i="11"/>
  <c r="P15" i="11"/>
  <c r="P28" i="11"/>
  <c r="P18" i="11"/>
  <c r="P19" i="11"/>
  <c r="P14" i="11"/>
  <c r="R15" i="9"/>
  <c r="R27" i="9"/>
  <c r="R29" i="9"/>
  <c r="M38" i="7"/>
  <c r="R23" i="12"/>
  <c r="S23" i="11"/>
  <c r="R15" i="12"/>
  <c r="S15" i="11"/>
  <c r="R7" i="12"/>
  <c r="S7" i="11"/>
  <c r="R31" i="12"/>
  <c r="S31" i="12" s="1"/>
  <c r="S31" i="11"/>
  <c r="R39" i="12"/>
  <c r="S39" i="11"/>
  <c r="N17" i="12"/>
  <c r="N17" i="13"/>
  <c r="AI42" i="9"/>
  <c r="AI32" i="9"/>
  <c r="AI10" i="9"/>
  <c r="AI14" i="9"/>
  <c r="AI16" i="9"/>
  <c r="R26" i="12"/>
  <c r="S26" i="11"/>
  <c r="N11" i="12"/>
  <c r="N11" i="13"/>
  <c r="M18" i="7"/>
  <c r="P50" i="8"/>
  <c r="P50" i="23" s="1"/>
  <c r="P102" i="23" s="1"/>
  <c r="P50" i="9"/>
  <c r="P34" i="8"/>
  <c r="P34" i="23" s="1"/>
  <c r="P86" i="23" s="1"/>
  <c r="P34" i="9"/>
  <c r="P20" i="8"/>
  <c r="P20" i="23" s="1"/>
  <c r="P72" i="23" s="1"/>
  <c r="P20" i="9"/>
  <c r="P24" i="8"/>
  <c r="P24" i="9"/>
  <c r="P14" i="8"/>
  <c r="P14" i="23" s="1"/>
  <c r="P66" i="23" s="1"/>
  <c r="P14" i="9"/>
  <c r="P23" i="8"/>
  <c r="P23" i="9"/>
  <c r="Q17" i="9"/>
  <c r="AA53" i="8"/>
  <c r="M21" i="7"/>
  <c r="M51" i="7"/>
  <c r="O28" i="9"/>
  <c r="O27" i="9"/>
  <c r="O29" i="9"/>
  <c r="O10" i="9"/>
  <c r="O13" i="9"/>
  <c r="O16" i="9"/>
  <c r="L48" i="9"/>
  <c r="L25" i="9"/>
  <c r="L42" i="9"/>
  <c r="L8" i="9"/>
  <c r="L15" i="9"/>
  <c r="L29" i="9"/>
  <c r="Q41" i="9"/>
  <c r="Q7" i="9"/>
  <c r="Q16" i="9"/>
  <c r="Q29" i="9"/>
  <c r="M27" i="7"/>
  <c r="X13" i="9"/>
  <c r="X25" i="9"/>
  <c r="X34" i="9"/>
  <c r="X35" i="9"/>
  <c r="X32" i="9"/>
  <c r="M40" i="7"/>
  <c r="AH36" i="9"/>
  <c r="AH35" i="9"/>
  <c r="AH44" i="9"/>
  <c r="AH13" i="8"/>
  <c r="AD13" i="23" s="1"/>
  <c r="AD65" i="23" s="1"/>
  <c r="AH13" i="9"/>
  <c r="AH10" i="9"/>
  <c r="AH17" i="9"/>
  <c r="U6" i="9"/>
  <c r="U10" i="9"/>
  <c r="U39" i="9"/>
  <c r="U32" i="9"/>
  <c r="U29" i="9"/>
  <c r="U42" i="9"/>
  <c r="W30" i="8"/>
  <c r="V30" i="23" s="1"/>
  <c r="V82" i="23" s="1"/>
  <c r="W30" i="9"/>
  <c r="W9" i="8"/>
  <c r="W9" i="9"/>
  <c r="W19" i="8"/>
  <c r="W19" i="9"/>
  <c r="W8" i="8"/>
  <c r="W8" i="9"/>
  <c r="W50" i="8"/>
  <c r="W50" i="9"/>
  <c r="W51" i="8"/>
  <c r="W51" i="9"/>
  <c r="M37" i="12"/>
  <c r="M37" i="13"/>
  <c r="M35" i="12"/>
  <c r="M35" i="13"/>
  <c r="M40" i="12"/>
  <c r="M40" i="13"/>
  <c r="M5" i="12"/>
  <c r="M5" i="24" s="1"/>
  <c r="M48" i="24" s="1"/>
  <c r="M5" i="13"/>
  <c r="M44" i="11"/>
  <c r="M34" i="7"/>
  <c r="AD34" i="7"/>
  <c r="AC34" i="9"/>
  <c r="AD34" i="9" s="1"/>
  <c r="AD44" i="7"/>
  <c r="AC44" i="9"/>
  <c r="AD44" i="9" s="1"/>
  <c r="AD48" i="7"/>
  <c r="AC48" i="9"/>
  <c r="AD48" i="9" s="1"/>
  <c r="AD9" i="7"/>
  <c r="AC9" i="9"/>
  <c r="AD9" i="9" s="1"/>
  <c r="AD20" i="7"/>
  <c r="AC20" i="9"/>
  <c r="AD20" i="9" s="1"/>
  <c r="Y60" i="6"/>
  <c r="Y54" i="9"/>
  <c r="Y54" i="8"/>
  <c r="Y58" i="8" s="1"/>
  <c r="Y54" i="7"/>
  <c r="R13" i="9"/>
  <c r="R34" i="9"/>
  <c r="R8" i="12"/>
  <c r="S8" i="11"/>
  <c r="R32" i="12"/>
  <c r="S32" i="11"/>
  <c r="AI15" i="9"/>
  <c r="P13" i="8"/>
  <c r="P13" i="9"/>
  <c r="M20" i="7"/>
  <c r="O40" i="9"/>
  <c r="L18" i="9"/>
  <c r="L24" i="9"/>
  <c r="Q48" i="9"/>
  <c r="X18" i="9"/>
  <c r="AH47" i="9"/>
  <c r="AH7" i="9"/>
  <c r="AH19" i="9"/>
  <c r="U38" i="9"/>
  <c r="U13" i="9"/>
  <c r="U47" i="9"/>
  <c r="W14" i="8"/>
  <c r="W14" i="9"/>
  <c r="W29" i="8"/>
  <c r="V29" i="23" s="1"/>
  <c r="V81" i="23" s="1"/>
  <c r="W29" i="9"/>
  <c r="W24" i="8"/>
  <c r="W24" i="9"/>
  <c r="W48" i="8"/>
  <c r="W48" i="9"/>
  <c r="M42" i="12"/>
  <c r="M42" i="13"/>
  <c r="M26" i="12"/>
  <c r="M26" i="24" s="1"/>
  <c r="M69" i="24" s="1"/>
  <c r="M26" i="13"/>
  <c r="AD24" i="7"/>
  <c r="AC24" i="9"/>
  <c r="AD24" i="9" s="1"/>
  <c r="AD25" i="7"/>
  <c r="AC25" i="9"/>
  <c r="AD25" i="9" s="1"/>
  <c r="D35" i="5"/>
  <c r="T16" i="11"/>
  <c r="T10" i="11"/>
  <c r="T8" i="11"/>
  <c r="T6" i="11"/>
  <c r="T7" i="11"/>
  <c r="T11" i="11"/>
  <c r="T5" i="11"/>
  <c r="T9" i="11"/>
  <c r="T25" i="11"/>
  <c r="T24" i="11"/>
  <c r="T23" i="11"/>
  <c r="T41" i="11"/>
  <c r="T21" i="11"/>
  <c r="T19" i="11"/>
  <c r="T13" i="11"/>
  <c r="T18" i="11"/>
  <c r="T35" i="11"/>
  <c r="T20" i="11"/>
  <c r="T27" i="11"/>
  <c r="T31" i="11"/>
  <c r="T34" i="11"/>
  <c r="T14" i="11"/>
  <c r="T15" i="11"/>
  <c r="T39" i="11"/>
  <c r="T33" i="11"/>
  <c r="T28" i="11"/>
  <c r="T32" i="11"/>
  <c r="T22" i="11"/>
  <c r="T36" i="11"/>
  <c r="T12" i="11"/>
  <c r="T38" i="11"/>
  <c r="T17" i="11"/>
  <c r="T42" i="11"/>
  <c r="T37" i="11"/>
  <c r="T40" i="11"/>
  <c r="T30" i="11"/>
  <c r="T29" i="11"/>
  <c r="T26" i="11"/>
  <c r="R32" i="13"/>
  <c r="S32" i="13" s="1"/>
  <c r="R40" i="13"/>
  <c r="S40" i="13" s="1"/>
  <c r="R49" i="9"/>
  <c r="R7" i="9"/>
  <c r="R6" i="9"/>
  <c r="R48" i="9"/>
  <c r="R37" i="12"/>
  <c r="S37" i="11"/>
  <c r="R25" i="12"/>
  <c r="S25" i="11"/>
  <c r="R9" i="12"/>
  <c r="S9" i="12" s="1"/>
  <c r="S9" i="11"/>
  <c r="R33" i="12"/>
  <c r="S33" i="11"/>
  <c r="R24" i="12"/>
  <c r="S24" i="11"/>
  <c r="N30" i="12"/>
  <c r="N30" i="13"/>
  <c r="AI50" i="9"/>
  <c r="AI33" i="9"/>
  <c r="AI38" i="9"/>
  <c r="AI37" i="9"/>
  <c r="AI17" i="9"/>
  <c r="AI20" i="9"/>
  <c r="N37" i="12"/>
  <c r="N37" i="13"/>
  <c r="N41" i="12"/>
  <c r="N41" i="13"/>
  <c r="N6" i="12"/>
  <c r="N6" i="13"/>
  <c r="M30" i="7"/>
  <c r="P48" i="8"/>
  <c r="P48" i="9"/>
  <c r="P40" i="8"/>
  <c r="P40" i="9"/>
  <c r="P17" i="8"/>
  <c r="P17" i="9"/>
  <c r="P25" i="8"/>
  <c r="P25" i="23" s="1"/>
  <c r="P77" i="23" s="1"/>
  <c r="P25" i="9"/>
  <c r="P18" i="8"/>
  <c r="P18" i="9"/>
  <c r="P27" i="8"/>
  <c r="P27" i="9"/>
  <c r="M44" i="7"/>
  <c r="M23" i="7"/>
  <c r="AD21" i="7"/>
  <c r="AC21" i="9"/>
  <c r="AD21" i="9" s="1"/>
  <c r="O51" i="9"/>
  <c r="O34" i="9"/>
  <c r="O32" i="9"/>
  <c r="O7" i="9"/>
  <c r="O5" i="9"/>
  <c r="O53" i="7"/>
  <c r="O58" i="7" s="1"/>
  <c r="O41" i="8" s="1"/>
  <c r="O41" i="23" s="1"/>
  <c r="O93" i="23" s="1"/>
  <c r="O20" i="9"/>
  <c r="L43" i="9"/>
  <c r="L34" i="9"/>
  <c r="L12" i="9"/>
  <c r="L6" i="9"/>
  <c r="L23" i="9"/>
  <c r="Q42" i="9"/>
  <c r="Q39" i="9"/>
  <c r="Q36" i="9"/>
  <c r="Q40" i="9"/>
  <c r="Q10" i="9"/>
  <c r="Q14" i="9"/>
  <c r="S53" i="7"/>
  <c r="X8" i="9"/>
  <c r="X44" i="8"/>
  <c r="X44" i="9"/>
  <c r="X9" i="9"/>
  <c r="X38" i="8"/>
  <c r="X38" i="9"/>
  <c r="X39" i="9"/>
  <c r="X36" i="8"/>
  <c r="X36" i="9"/>
  <c r="M24" i="7"/>
  <c r="AH28" i="8"/>
  <c r="AD28" i="23" s="1"/>
  <c r="AD80" i="23" s="1"/>
  <c r="AH28" i="9"/>
  <c r="AH33" i="8"/>
  <c r="AD33" i="23" s="1"/>
  <c r="AD85" i="23" s="1"/>
  <c r="AH33" i="9"/>
  <c r="AH22" i="9"/>
  <c r="AH40" i="9"/>
  <c r="AH14" i="8"/>
  <c r="AD14" i="23" s="1"/>
  <c r="AD66" i="23" s="1"/>
  <c r="AH14" i="9"/>
  <c r="AH25" i="8"/>
  <c r="AD25" i="23" s="1"/>
  <c r="AD77" i="23" s="1"/>
  <c r="AH25" i="9"/>
  <c r="U11" i="9"/>
  <c r="U19" i="9"/>
  <c r="U40" i="8"/>
  <c r="T40" i="23" s="1"/>
  <c r="T92" i="23" s="1"/>
  <c r="U40" i="9"/>
  <c r="U36" i="9"/>
  <c r="U33" i="9"/>
  <c r="U46" i="9"/>
  <c r="S47" i="10"/>
  <c r="S47" i="12"/>
  <c r="S47" i="13"/>
  <c r="S47" i="11"/>
  <c r="W21" i="8"/>
  <c r="W21" i="9"/>
  <c r="W10" i="8"/>
  <c r="V10" i="23" s="1"/>
  <c r="V62" i="23" s="1"/>
  <c r="W10" i="9"/>
  <c r="W23" i="8"/>
  <c r="V23" i="23" s="1"/>
  <c r="V75" i="23" s="1"/>
  <c r="W23" i="9"/>
  <c r="W12" i="8"/>
  <c r="V12" i="23" s="1"/>
  <c r="V64" i="23" s="1"/>
  <c r="W12" i="9"/>
  <c r="W47" i="8"/>
  <c r="W47" i="9"/>
  <c r="M19" i="7"/>
  <c r="M22" i="12"/>
  <c r="M22" i="13"/>
  <c r="M34" i="12"/>
  <c r="M34" i="13"/>
  <c r="M24" i="12"/>
  <c r="M24" i="13"/>
  <c r="M29" i="12"/>
  <c r="M29" i="13"/>
  <c r="M7" i="12"/>
  <c r="M7" i="13"/>
  <c r="M8" i="7"/>
  <c r="AD45" i="7"/>
  <c r="AC45" i="9"/>
  <c r="AD45" i="9" s="1"/>
  <c r="AD41" i="7"/>
  <c r="AC41" i="9"/>
  <c r="AD41" i="9" s="1"/>
  <c r="AD51" i="7"/>
  <c r="AC51" i="9"/>
  <c r="AD51" i="9" s="1"/>
  <c r="AD14" i="7"/>
  <c r="AC14" i="9"/>
  <c r="AD14" i="9" s="1"/>
  <c r="AD5" i="7"/>
  <c r="AC53" i="7"/>
  <c r="AC58" i="7" s="1"/>
  <c r="S5" i="13"/>
  <c r="D10" i="5"/>
  <c r="T56" i="6" s="1"/>
  <c r="X10" i="25" l="1"/>
  <c r="M42" i="24"/>
  <c r="M85" i="24" s="1"/>
  <c r="AH19" i="8"/>
  <c r="U42" i="8"/>
  <c r="U10" i="8"/>
  <c r="AH44" i="8"/>
  <c r="U25" i="8"/>
  <c r="T25" i="23" s="1"/>
  <c r="T77" i="23" s="1"/>
  <c r="U7" i="8"/>
  <c r="P10" i="23"/>
  <c r="P62" i="23" s="1"/>
  <c r="P44" i="23"/>
  <c r="P96" i="23" s="1"/>
  <c r="P43" i="23"/>
  <c r="P95" i="23" s="1"/>
  <c r="M19" i="24"/>
  <c r="M62" i="24" s="1"/>
  <c r="V45" i="23"/>
  <c r="V97" i="23" s="1"/>
  <c r="V34" i="23"/>
  <c r="V86" i="23" s="1"/>
  <c r="P6" i="23"/>
  <c r="P58" i="23" s="1"/>
  <c r="P31" i="23"/>
  <c r="P83" i="23" s="1"/>
  <c r="M10" i="24"/>
  <c r="M53" i="24" s="1"/>
  <c r="M25" i="24"/>
  <c r="M68" i="24" s="1"/>
  <c r="P30" i="23"/>
  <c r="P82" i="23" s="1"/>
  <c r="P35" i="23"/>
  <c r="P87" i="23" s="1"/>
  <c r="M31" i="24"/>
  <c r="M74" i="24" s="1"/>
  <c r="U46" i="8"/>
  <c r="T46" i="23" s="1"/>
  <c r="T98" i="23" s="1"/>
  <c r="U19" i="8"/>
  <c r="T19" i="23" s="1"/>
  <c r="T71" i="23" s="1"/>
  <c r="AH40" i="8"/>
  <c r="AD40" i="23" s="1"/>
  <c r="AD92" i="23" s="1"/>
  <c r="W50" i="23"/>
  <c r="W102" i="23" s="1"/>
  <c r="W35" i="8"/>
  <c r="W18" i="8"/>
  <c r="P26" i="8"/>
  <c r="U47" i="8"/>
  <c r="U6" i="8"/>
  <c r="W20" i="8"/>
  <c r="V20" i="23" s="1"/>
  <c r="V72" i="23" s="1"/>
  <c r="W9" i="23"/>
  <c r="W61" i="23" s="1"/>
  <c r="U29" i="8"/>
  <c r="T29" i="23" s="1"/>
  <c r="T81" i="23" s="1"/>
  <c r="U28" i="8"/>
  <c r="V47" i="23"/>
  <c r="V99" i="23" s="1"/>
  <c r="V21" i="23"/>
  <c r="V73" i="23" s="1"/>
  <c r="U33" i="8"/>
  <c r="T33" i="23" s="1"/>
  <c r="T85" i="23" s="1"/>
  <c r="U11" i="8"/>
  <c r="T11" i="23" s="1"/>
  <c r="T63" i="23" s="1"/>
  <c r="AH22" i="8"/>
  <c r="AD22" i="23" s="1"/>
  <c r="AD74" i="23" s="1"/>
  <c r="W6" i="8"/>
  <c r="U13" i="8"/>
  <c r="T13" i="23" s="1"/>
  <c r="T65" i="23" s="1"/>
  <c r="U32" i="8"/>
  <c r="U26" i="8"/>
  <c r="T26" i="23" s="1"/>
  <c r="T78" i="23" s="1"/>
  <c r="W28" i="8"/>
  <c r="V28" i="23" s="1"/>
  <c r="V80" i="23" s="1"/>
  <c r="U36" i="8"/>
  <c r="T36" i="23" s="1"/>
  <c r="T88" i="23" s="1"/>
  <c r="N5" i="13"/>
  <c r="N38" i="13"/>
  <c r="N38" i="24" s="1"/>
  <c r="N81" i="24" s="1"/>
  <c r="U38" i="8"/>
  <c r="T38" i="23" s="1"/>
  <c r="T90" i="23" s="1"/>
  <c r="U39" i="8"/>
  <c r="T39" i="23" s="1"/>
  <c r="T91" i="23" s="1"/>
  <c r="U49" i="8"/>
  <c r="U51" i="8"/>
  <c r="AI53" i="7"/>
  <c r="AI58" i="7" s="1"/>
  <c r="M20" i="24"/>
  <c r="M63" i="24" s="1"/>
  <c r="W39" i="8"/>
  <c r="V39" i="23" s="1"/>
  <c r="V91" i="23" s="1"/>
  <c r="P37" i="23"/>
  <c r="P89" i="23" s="1"/>
  <c r="Q45" i="8"/>
  <c r="Q45" i="23" s="1"/>
  <c r="Q97" i="23" s="1"/>
  <c r="Q21" i="8"/>
  <c r="Q21" i="23" s="1"/>
  <c r="Q73" i="23" s="1"/>
  <c r="Q42" i="8"/>
  <c r="Q42" i="23" s="1"/>
  <c r="Q94" i="23" s="1"/>
  <c r="Q10" i="8"/>
  <c r="Q10" i="23" s="1"/>
  <c r="Q62" i="23" s="1"/>
  <c r="Q7" i="8"/>
  <c r="Q7" i="23" s="1"/>
  <c r="Q59" i="23" s="1"/>
  <c r="Q48" i="8"/>
  <c r="Q48" i="23" s="1"/>
  <c r="Q100" i="23" s="1"/>
  <c r="Q20" i="8"/>
  <c r="Q20" i="23" s="1"/>
  <c r="Q72" i="23" s="1"/>
  <c r="Q29" i="8"/>
  <c r="Q29" i="23" s="1"/>
  <c r="Q81" i="23" s="1"/>
  <c r="Q40" i="8"/>
  <c r="Q40" i="23" s="1"/>
  <c r="Q92" i="23" s="1"/>
  <c r="M24" i="24"/>
  <c r="M67" i="24" s="1"/>
  <c r="X39" i="8"/>
  <c r="W39" i="23" s="1"/>
  <c r="W91" i="23" s="1"/>
  <c r="X8" i="8"/>
  <c r="W8" i="23" s="1"/>
  <c r="W60" i="23" s="1"/>
  <c r="X35" i="8"/>
  <c r="W35" i="23" s="1"/>
  <c r="W87" i="23" s="1"/>
  <c r="Q39" i="8"/>
  <c r="Q39" i="23" s="1"/>
  <c r="Q91" i="23" s="1"/>
  <c r="M34" i="24"/>
  <c r="M77" i="24" s="1"/>
  <c r="W38" i="23"/>
  <c r="W90" i="23" s="1"/>
  <c r="T42" i="23"/>
  <c r="T94" i="23" s="1"/>
  <c r="X34" i="8"/>
  <c r="W34" i="23" s="1"/>
  <c r="W86" i="23" s="1"/>
  <c r="S37" i="12"/>
  <c r="Q37" i="24"/>
  <c r="Q80" i="24" s="1"/>
  <c r="Q14" i="8"/>
  <c r="Q14" i="23" s="1"/>
  <c r="Q66" i="23" s="1"/>
  <c r="X12" i="8"/>
  <c r="W12" i="23" s="1"/>
  <c r="W64" i="23" s="1"/>
  <c r="AC50" i="8"/>
  <c r="AC27" i="8"/>
  <c r="S25" i="12"/>
  <c r="Q25" i="24"/>
  <c r="Q68" i="24" s="1"/>
  <c r="AC51" i="8"/>
  <c r="M7" i="24"/>
  <c r="M50" i="24" s="1"/>
  <c r="M22" i="24"/>
  <c r="M65" i="24" s="1"/>
  <c r="M37" i="24"/>
  <c r="M80" i="24" s="1"/>
  <c r="M14" i="24"/>
  <c r="M57" i="24" s="1"/>
  <c r="T9" i="23"/>
  <c r="T61" i="23" s="1"/>
  <c r="S40" i="12"/>
  <c r="Q40" i="24"/>
  <c r="Q83" i="24" s="1"/>
  <c r="M29" i="24"/>
  <c r="M72" i="24" s="1"/>
  <c r="W36" i="23"/>
  <c r="W88" i="23" s="1"/>
  <c r="W44" i="23"/>
  <c r="W96" i="23" s="1"/>
  <c r="P18" i="23"/>
  <c r="P70" i="23" s="1"/>
  <c r="P48" i="23"/>
  <c r="P100" i="23" s="1"/>
  <c r="V24" i="23"/>
  <c r="V76" i="23" s="1"/>
  <c r="C9" i="26"/>
  <c r="C15" i="26" s="1"/>
  <c r="C11" i="26"/>
  <c r="V49" i="23"/>
  <c r="V101" i="23" s="1"/>
  <c r="S24" i="12"/>
  <c r="Q24" i="24"/>
  <c r="Q67" i="24" s="1"/>
  <c r="Q36" i="8"/>
  <c r="Q36" i="23" s="1"/>
  <c r="Q88" i="23" s="1"/>
  <c r="S13" i="12"/>
  <c r="Q13" i="24"/>
  <c r="Q56" i="24" s="1"/>
  <c r="X29" i="8"/>
  <c r="W29" i="23" s="1"/>
  <c r="W81" i="23" s="1"/>
  <c r="X26" i="8"/>
  <c r="W26" i="23" s="1"/>
  <c r="W78" i="23" s="1"/>
  <c r="X37" i="8"/>
  <c r="W37" i="23" s="1"/>
  <c r="W89" i="23" s="1"/>
  <c r="X31" i="8"/>
  <c r="W31" i="23" s="1"/>
  <c r="W83" i="23" s="1"/>
  <c r="X13" i="8"/>
  <c r="W13" i="23" s="1"/>
  <c r="W65" i="23" s="1"/>
  <c r="X32" i="8"/>
  <c r="W32" i="23" s="1"/>
  <c r="W84" i="23" s="1"/>
  <c r="X20" i="8"/>
  <c r="W20" i="23" s="1"/>
  <c r="W72" i="23" s="1"/>
  <c r="X27" i="8"/>
  <c r="W27" i="23" s="1"/>
  <c r="W79" i="23" s="1"/>
  <c r="X49" i="8"/>
  <c r="W49" i="23" s="1"/>
  <c r="W101" i="23" s="1"/>
  <c r="X7" i="8"/>
  <c r="W7" i="23" s="1"/>
  <c r="W59" i="23" s="1"/>
  <c r="X28" i="8"/>
  <c r="W28" i="23" s="1"/>
  <c r="W80" i="23" s="1"/>
  <c r="X25" i="8"/>
  <c r="W25" i="23" s="1"/>
  <c r="W77" i="23" s="1"/>
  <c r="X42" i="8"/>
  <c r="W42" i="23" s="1"/>
  <c r="W94" i="23" s="1"/>
  <c r="X33" i="8"/>
  <c r="W33" i="23" s="1"/>
  <c r="W85" i="23" s="1"/>
  <c r="X24" i="8"/>
  <c r="W24" i="23" s="1"/>
  <c r="W76" i="23" s="1"/>
  <c r="X18" i="8"/>
  <c r="W18" i="23" s="1"/>
  <c r="W70" i="23" s="1"/>
  <c r="X17" i="8"/>
  <c r="W17" i="23" s="1"/>
  <c r="W69" i="23" s="1"/>
  <c r="X47" i="8"/>
  <c r="W47" i="23" s="1"/>
  <c r="W99" i="23" s="1"/>
  <c r="X46" i="8"/>
  <c r="W46" i="23" s="1"/>
  <c r="W98" i="23" s="1"/>
  <c r="S27" i="12"/>
  <c r="Q27" i="24"/>
  <c r="Q70" i="24" s="1"/>
  <c r="S41" i="12"/>
  <c r="Q41" i="24"/>
  <c r="Q84" i="24" s="1"/>
  <c r="S22" i="12"/>
  <c r="Q22" i="24"/>
  <c r="Q65" i="24" s="1"/>
  <c r="N10" i="12"/>
  <c r="N42" i="12"/>
  <c r="N34" i="12"/>
  <c r="P40" i="23"/>
  <c r="P92" i="23" s="1"/>
  <c r="V48" i="23"/>
  <c r="V100" i="23" s="1"/>
  <c r="T47" i="23"/>
  <c r="T99" i="23" s="1"/>
  <c r="S8" i="12"/>
  <c r="Q8" i="24"/>
  <c r="Q51" i="24" s="1"/>
  <c r="M35" i="24"/>
  <c r="M78" i="24" s="1"/>
  <c r="V8" i="23"/>
  <c r="V60" i="23" s="1"/>
  <c r="T10" i="23"/>
  <c r="T62" i="23" s="1"/>
  <c r="AD44" i="23"/>
  <c r="AD96" i="23" s="1"/>
  <c r="S7" i="12"/>
  <c r="Q7" i="24"/>
  <c r="Q50" i="24" s="1"/>
  <c r="V15" i="23"/>
  <c r="V67" i="23" s="1"/>
  <c r="T7" i="23"/>
  <c r="T59" i="23" s="1"/>
  <c r="N9" i="24"/>
  <c r="N52" i="24" s="1"/>
  <c r="S20" i="12"/>
  <c r="Q20" i="24"/>
  <c r="Q63" i="24" s="1"/>
  <c r="S30" i="12"/>
  <c r="Q30" i="24"/>
  <c r="Q73" i="24" s="1"/>
  <c r="N7" i="24"/>
  <c r="N50" i="24" s="1"/>
  <c r="V35" i="23"/>
  <c r="V87" i="23" s="1"/>
  <c r="P16" i="23"/>
  <c r="P68" i="23" s="1"/>
  <c r="P47" i="23"/>
  <c r="P99" i="23" s="1"/>
  <c r="M36" i="24"/>
  <c r="M79" i="24" s="1"/>
  <c r="S6" i="12"/>
  <c r="Q6" i="24"/>
  <c r="Q49" i="24" s="1"/>
  <c r="G11" i="26" s="1"/>
  <c r="N15" i="24"/>
  <c r="N58" i="24" s="1"/>
  <c r="N30" i="24"/>
  <c r="N73" i="24" s="1"/>
  <c r="N22" i="24"/>
  <c r="N65" i="24" s="1"/>
  <c r="Q17" i="24"/>
  <c r="Q60" i="24" s="1"/>
  <c r="Q9" i="24"/>
  <c r="Q52" i="24" s="1"/>
  <c r="N44" i="11"/>
  <c r="S38" i="12"/>
  <c r="Q38" i="24"/>
  <c r="Q81" i="24" s="1"/>
  <c r="S34" i="12"/>
  <c r="Q34" i="24"/>
  <c r="Q77" i="24" s="1"/>
  <c r="Q21" i="24"/>
  <c r="Q64" i="24" s="1"/>
  <c r="P13" i="23"/>
  <c r="P65" i="23" s="1"/>
  <c r="V19" i="23"/>
  <c r="V71" i="23" s="1"/>
  <c r="T6" i="23"/>
  <c r="T58" i="23" s="1"/>
  <c r="S15" i="12"/>
  <c r="Q15" i="24"/>
  <c r="Q58" i="24" s="1"/>
  <c r="M11" i="24"/>
  <c r="M54" i="24" s="1"/>
  <c r="V25" i="23"/>
  <c r="V77" i="23" s="1"/>
  <c r="T28" i="23"/>
  <c r="T80" i="23" s="1"/>
  <c r="N19" i="24"/>
  <c r="N62" i="24" s="1"/>
  <c r="V6" i="23"/>
  <c r="V58" i="23" s="1"/>
  <c r="V18" i="23"/>
  <c r="V70" i="23" s="1"/>
  <c r="P12" i="23"/>
  <c r="P64" i="23" s="1"/>
  <c r="M12" i="24"/>
  <c r="M55" i="24" s="1"/>
  <c r="N35" i="24"/>
  <c r="N78" i="24" s="1"/>
  <c r="N6" i="24"/>
  <c r="N49" i="24" s="1"/>
  <c r="N32" i="12"/>
  <c r="N32" i="24" s="1"/>
  <c r="N75" i="24" s="1"/>
  <c r="Q11" i="24"/>
  <c r="Q54" i="24" s="1"/>
  <c r="Q12" i="24"/>
  <c r="Q55" i="24" s="1"/>
  <c r="S33" i="12"/>
  <c r="Q33" i="24"/>
  <c r="Q76" i="24" s="1"/>
  <c r="P15" i="23"/>
  <c r="P67" i="23" s="1"/>
  <c r="P45" i="23"/>
  <c r="P97" i="23" s="1"/>
  <c r="AI46" i="8"/>
  <c r="AE46" i="23" s="1"/>
  <c r="AE98" i="23" s="1"/>
  <c r="M21" i="24"/>
  <c r="M64" i="24" s="1"/>
  <c r="V41" i="23"/>
  <c r="V93" i="23" s="1"/>
  <c r="S42" i="12"/>
  <c r="Q42" i="24"/>
  <c r="Q85" i="24" s="1"/>
  <c r="M28" i="24"/>
  <c r="M71" i="24" s="1"/>
  <c r="P28" i="8"/>
  <c r="N16" i="24"/>
  <c r="N59" i="24" s="1"/>
  <c r="N14" i="24"/>
  <c r="N57" i="24" s="1"/>
  <c r="N41" i="24"/>
  <c r="N84" i="24" s="1"/>
  <c r="N24" i="24"/>
  <c r="N67" i="24" s="1"/>
  <c r="V51" i="23"/>
  <c r="V103" i="23" s="1"/>
  <c r="V9" i="23"/>
  <c r="V61" i="23" s="1"/>
  <c r="T32" i="23"/>
  <c r="T84" i="23" s="1"/>
  <c r="S39" i="12"/>
  <c r="Q39" i="24"/>
  <c r="Q82" i="24" s="1"/>
  <c r="S23" i="12"/>
  <c r="Q23" i="24"/>
  <c r="Q66" i="24" s="1"/>
  <c r="V36" i="23"/>
  <c r="V88" i="23" s="1"/>
  <c r="V13" i="23"/>
  <c r="V65" i="23" s="1"/>
  <c r="S16" i="12"/>
  <c r="Q16" i="24"/>
  <c r="Q59" i="24" s="1"/>
  <c r="S10" i="12"/>
  <c r="Q10" i="24"/>
  <c r="Q53" i="24" s="1"/>
  <c r="P41" i="23"/>
  <c r="P93" i="23" s="1"/>
  <c r="N36" i="24"/>
  <c r="N79" i="24" s="1"/>
  <c r="N8" i="24"/>
  <c r="N51" i="24" s="1"/>
  <c r="N37" i="24"/>
  <c r="N80" i="24" s="1"/>
  <c r="Q31" i="24"/>
  <c r="Q74" i="24" s="1"/>
  <c r="G9" i="26"/>
  <c r="G15" i="26" s="1"/>
  <c r="S35" i="12"/>
  <c r="Q35" i="24"/>
  <c r="Q78" i="24" s="1"/>
  <c r="S18" i="12"/>
  <c r="Q18" i="24"/>
  <c r="Q61" i="24" s="1"/>
  <c r="N29" i="24"/>
  <c r="N72" i="24" s="1"/>
  <c r="N33" i="24"/>
  <c r="N76" i="24" s="1"/>
  <c r="N5" i="24"/>
  <c r="N48" i="24" s="1"/>
  <c r="P17" i="23"/>
  <c r="P69" i="23" s="1"/>
  <c r="V14" i="23"/>
  <c r="V66" i="23" s="1"/>
  <c r="AD19" i="23"/>
  <c r="AD71" i="23" s="1"/>
  <c r="S32" i="12"/>
  <c r="Q32" i="24"/>
  <c r="Q75" i="24" s="1"/>
  <c r="G7" i="26" s="1"/>
  <c r="G13" i="26" s="1"/>
  <c r="M40" i="24"/>
  <c r="M83" i="24" s="1"/>
  <c r="V50" i="23"/>
  <c r="V102" i="23" s="1"/>
  <c r="S26" i="12"/>
  <c r="Q26" i="24"/>
  <c r="Q69" i="24" s="1"/>
  <c r="M30" i="24"/>
  <c r="M73" i="24" s="1"/>
  <c r="V43" i="23"/>
  <c r="V95" i="23" s="1"/>
  <c r="T49" i="23"/>
  <c r="T101" i="23" s="1"/>
  <c r="T51" i="23"/>
  <c r="T103" i="23" s="1"/>
  <c r="S28" i="12"/>
  <c r="Q28" i="24"/>
  <c r="Q71" i="24" s="1"/>
  <c r="AI31" i="8"/>
  <c r="AE31" i="23" s="1"/>
  <c r="AE83" i="23" s="1"/>
  <c r="S36" i="12"/>
  <c r="Q36" i="24"/>
  <c r="Q79" i="24" s="1"/>
  <c r="M15" i="24"/>
  <c r="M58" i="24" s="1"/>
  <c r="AI5" i="8"/>
  <c r="AE5" i="23" s="1"/>
  <c r="AE57" i="23" s="1"/>
  <c r="P11" i="23"/>
  <c r="P63" i="23" s="1"/>
  <c r="M18" i="24"/>
  <c r="M61" i="24" s="1"/>
  <c r="Q29" i="24"/>
  <c r="Q72" i="24" s="1"/>
  <c r="N23" i="24"/>
  <c r="N66" i="24" s="1"/>
  <c r="N17" i="24"/>
  <c r="N60" i="24" s="1"/>
  <c r="N13" i="24"/>
  <c r="N56" i="24" s="1"/>
  <c r="N40" i="24"/>
  <c r="N83" i="24" s="1"/>
  <c r="P9" i="25"/>
  <c r="P15" i="25" s="1"/>
  <c r="N18" i="24"/>
  <c r="N61" i="24" s="1"/>
  <c r="N39" i="24"/>
  <c r="N82" i="24" s="1"/>
  <c r="N11" i="24"/>
  <c r="N54" i="24" s="1"/>
  <c r="N31" i="24"/>
  <c r="N74" i="24" s="1"/>
  <c r="S19" i="12"/>
  <c r="Q19" i="24"/>
  <c r="Q62" i="24" s="1"/>
  <c r="O15" i="25"/>
  <c r="P13" i="25"/>
  <c r="O13" i="25"/>
  <c r="O14" i="25"/>
  <c r="L12" i="8"/>
  <c r="L12" i="23" s="1"/>
  <c r="L64" i="23" s="1"/>
  <c r="L8" i="8"/>
  <c r="L8" i="23" s="1"/>
  <c r="L60" i="23" s="1"/>
  <c r="L21" i="8"/>
  <c r="L21" i="23" s="1"/>
  <c r="L73" i="23" s="1"/>
  <c r="L7" i="8"/>
  <c r="L7" i="23" s="1"/>
  <c r="L59" i="23" s="1"/>
  <c r="AC8" i="8"/>
  <c r="U8" i="8"/>
  <c r="T8" i="23" s="1"/>
  <c r="T60" i="23" s="1"/>
  <c r="AI43" i="8"/>
  <c r="AE43" i="23" s="1"/>
  <c r="AE95" i="23" s="1"/>
  <c r="L5" i="8"/>
  <c r="L5" i="23" s="1"/>
  <c r="L57" i="23" s="1"/>
  <c r="AH30" i="8"/>
  <c r="AD30" i="23" s="1"/>
  <c r="AD82" i="23" s="1"/>
  <c r="AI26" i="8"/>
  <c r="AE26" i="23" s="1"/>
  <c r="AE78" i="23" s="1"/>
  <c r="AH45" i="8"/>
  <c r="AD45" i="23" s="1"/>
  <c r="AD97" i="23" s="1"/>
  <c r="W22" i="8"/>
  <c r="V22" i="23" s="1"/>
  <c r="V74" i="23" s="1"/>
  <c r="AC39" i="8"/>
  <c r="AC5" i="8"/>
  <c r="AA5" i="23" s="1"/>
  <c r="AA57" i="23" s="1"/>
  <c r="AC41" i="8"/>
  <c r="L34" i="8"/>
  <c r="L34" i="23" s="1"/>
  <c r="L86" i="23" s="1"/>
  <c r="Q41" i="8"/>
  <c r="Q41" i="23" s="1"/>
  <c r="Q93" i="23" s="1"/>
  <c r="L42" i="8"/>
  <c r="L42" i="23" s="1"/>
  <c r="L94" i="23" s="1"/>
  <c r="Q17" i="8"/>
  <c r="Q17" i="23" s="1"/>
  <c r="Q69" i="23" s="1"/>
  <c r="N34" i="13"/>
  <c r="N34" i="24" s="1"/>
  <c r="N77" i="24" s="1"/>
  <c r="Q5" i="8"/>
  <c r="Q5" i="23" s="1"/>
  <c r="Q57" i="23" s="1"/>
  <c r="L10" i="8"/>
  <c r="L10" i="23" s="1"/>
  <c r="L62" i="23" s="1"/>
  <c r="L19" i="8"/>
  <c r="L19" i="23" s="1"/>
  <c r="L71" i="23" s="1"/>
  <c r="L50" i="8"/>
  <c r="L50" i="23" s="1"/>
  <c r="L102" i="23" s="1"/>
  <c r="N42" i="13"/>
  <c r="N42" i="24" s="1"/>
  <c r="N85" i="24" s="1"/>
  <c r="W7" i="8"/>
  <c r="V7" i="23" s="1"/>
  <c r="V59" i="23" s="1"/>
  <c r="L9" i="25" s="1"/>
  <c r="O35" i="8"/>
  <c r="O35" i="23" s="1"/>
  <c r="O87" i="23" s="1"/>
  <c r="AI47" i="8"/>
  <c r="AE47" i="23" s="1"/>
  <c r="AE99" i="23" s="1"/>
  <c r="N20" i="12"/>
  <c r="N20" i="24" s="1"/>
  <c r="N63" i="24" s="1"/>
  <c r="N20" i="13"/>
  <c r="AH7" i="8"/>
  <c r="AD7" i="23" s="1"/>
  <c r="AD59" i="23" s="1"/>
  <c r="L24" i="8"/>
  <c r="L24" i="23" s="1"/>
  <c r="L76" i="23" s="1"/>
  <c r="AH17" i="8"/>
  <c r="AD17" i="23" s="1"/>
  <c r="AD69" i="23" s="1"/>
  <c r="AH35" i="8"/>
  <c r="AD35" i="23" s="1"/>
  <c r="AD87" i="23" s="1"/>
  <c r="O29" i="8"/>
  <c r="O29" i="23" s="1"/>
  <c r="O81" i="23" s="1"/>
  <c r="O23" i="8"/>
  <c r="O23" i="23" s="1"/>
  <c r="O75" i="23" s="1"/>
  <c r="X21" i="8"/>
  <c r="W21" i="23" s="1"/>
  <c r="W73" i="23" s="1"/>
  <c r="N28" i="12"/>
  <c r="N28" i="13"/>
  <c r="N12" i="12"/>
  <c r="N12" i="13"/>
  <c r="L43" i="8"/>
  <c r="L43" i="23" s="1"/>
  <c r="L95" i="23" s="1"/>
  <c r="AC24" i="8"/>
  <c r="L29" i="8"/>
  <c r="L29" i="23" s="1"/>
  <c r="L81" i="23" s="1"/>
  <c r="L25" i="8"/>
  <c r="L25" i="23" s="1"/>
  <c r="L77" i="23" s="1"/>
  <c r="AH42" i="8"/>
  <c r="AD42" i="23" s="1"/>
  <c r="AD94" i="23" s="1"/>
  <c r="Q37" i="8"/>
  <c r="Q37" i="23" s="1"/>
  <c r="Q89" i="23" s="1"/>
  <c r="L45" i="8"/>
  <c r="L45" i="23" s="1"/>
  <c r="L97" i="23" s="1"/>
  <c r="U27" i="8"/>
  <c r="T27" i="23" s="1"/>
  <c r="T79" i="23" s="1"/>
  <c r="AC6" i="8"/>
  <c r="N10" i="13"/>
  <c r="N10" i="24" s="1"/>
  <c r="N53" i="24" s="1"/>
  <c r="N27" i="13"/>
  <c r="N27" i="12"/>
  <c r="N27" i="24" s="1"/>
  <c r="N70" i="24" s="1"/>
  <c r="AC14" i="8"/>
  <c r="L23" i="8"/>
  <c r="L23" i="23" s="1"/>
  <c r="L75" i="23" s="1"/>
  <c r="AC45" i="8"/>
  <c r="AH47" i="8"/>
  <c r="AD47" i="23" s="1"/>
  <c r="AD99" i="23" s="1"/>
  <c r="L18" i="8"/>
  <c r="L18" i="23" s="1"/>
  <c r="L70" i="23" s="1"/>
  <c r="AH10" i="8"/>
  <c r="AD10" i="23" s="1"/>
  <c r="AD62" i="23" s="1"/>
  <c r="AH36" i="8"/>
  <c r="AD36" i="23" s="1"/>
  <c r="AD88" i="23" s="1"/>
  <c r="Q16" i="8"/>
  <c r="Q16" i="23" s="1"/>
  <c r="Q68" i="23" s="1"/>
  <c r="AI8" i="8"/>
  <c r="AE8" i="23" s="1"/>
  <c r="AE60" i="23" s="1"/>
  <c r="AI36" i="8"/>
  <c r="AE36" i="23" s="1"/>
  <c r="AE88" i="23" s="1"/>
  <c r="X51" i="8"/>
  <c r="W51" i="23" s="1"/>
  <c r="W103" i="23" s="1"/>
  <c r="AI11" i="8"/>
  <c r="AE11" i="23" s="1"/>
  <c r="AE63" i="23" s="1"/>
  <c r="N26" i="13"/>
  <c r="N26" i="12"/>
  <c r="N26" i="24" s="1"/>
  <c r="N69" i="24" s="1"/>
  <c r="R44" i="13"/>
  <c r="L6" i="8"/>
  <c r="L6" i="23" s="1"/>
  <c r="L58" i="23" s="1"/>
  <c r="O20" i="8"/>
  <c r="O20" i="23" s="1"/>
  <c r="O72" i="23" s="1"/>
  <c r="L15" i="8"/>
  <c r="L15" i="23" s="1"/>
  <c r="L67" i="23" s="1"/>
  <c r="L48" i="8"/>
  <c r="L48" i="23" s="1"/>
  <c r="L100" i="23" s="1"/>
  <c r="AH23" i="8"/>
  <c r="AD23" i="23" s="1"/>
  <c r="AD75" i="23" s="1"/>
  <c r="L32" i="8"/>
  <c r="L32" i="23" s="1"/>
  <c r="L84" i="23" s="1"/>
  <c r="L49" i="8"/>
  <c r="L49" i="23" s="1"/>
  <c r="L101" i="23" s="1"/>
  <c r="W42" i="8"/>
  <c r="V42" i="23" s="1"/>
  <c r="V94" i="23" s="1"/>
  <c r="W17" i="8"/>
  <c r="V17" i="23" s="1"/>
  <c r="V69" i="23" s="1"/>
  <c r="X45" i="8"/>
  <c r="W45" i="23" s="1"/>
  <c r="W97" i="23" s="1"/>
  <c r="X16" i="8"/>
  <c r="W16" i="23" s="1"/>
  <c r="W68" i="23" s="1"/>
  <c r="N25" i="12"/>
  <c r="N25" i="13"/>
  <c r="P11" i="12"/>
  <c r="P11" i="13"/>
  <c r="O14" i="12"/>
  <c r="O14" i="13"/>
  <c r="V37" i="12"/>
  <c r="T37" i="24" s="1"/>
  <c r="T80" i="24" s="1"/>
  <c r="V37" i="13"/>
  <c r="AA24" i="11"/>
  <c r="Z24" i="12"/>
  <c r="AA24" i="12" s="1"/>
  <c r="Z24" i="13"/>
  <c r="AA24" i="13" s="1"/>
  <c r="M49" i="9"/>
  <c r="U18" i="12"/>
  <c r="U18" i="13"/>
  <c r="U22" i="12"/>
  <c r="S22" i="24" s="1"/>
  <c r="S65" i="24" s="1"/>
  <c r="U22" i="13"/>
  <c r="V30" i="9"/>
  <c r="V15" i="9"/>
  <c r="T32" i="12"/>
  <c r="R32" i="24" s="1"/>
  <c r="R75" i="24" s="1"/>
  <c r="W32" i="11"/>
  <c r="T32" i="13"/>
  <c r="W23" i="11"/>
  <c r="T23" i="12"/>
  <c r="R23" i="24" s="1"/>
  <c r="R66" i="24" s="1"/>
  <c r="T23" i="13"/>
  <c r="W8" i="11"/>
  <c r="T8" i="12"/>
  <c r="T8" i="13"/>
  <c r="AC9" i="8"/>
  <c r="P19" i="12"/>
  <c r="P19" i="13"/>
  <c r="P30" i="12"/>
  <c r="P30" i="24" s="1"/>
  <c r="P73" i="24" s="1"/>
  <c r="P30" i="13"/>
  <c r="P26" i="12"/>
  <c r="P26" i="13"/>
  <c r="P39" i="12"/>
  <c r="P39" i="13"/>
  <c r="P7" i="12"/>
  <c r="P7" i="13"/>
  <c r="M53" i="7"/>
  <c r="M58" i="7" s="1"/>
  <c r="M37" i="8" s="1"/>
  <c r="M37" i="23" s="1"/>
  <c r="M89" i="23" s="1"/>
  <c r="M5" i="9"/>
  <c r="AC12" i="8"/>
  <c r="O9" i="8"/>
  <c r="O9" i="23" s="1"/>
  <c r="O61" i="23" s="1"/>
  <c r="M12" i="9"/>
  <c r="O34" i="12"/>
  <c r="O34" i="24" s="1"/>
  <c r="O77" i="24" s="1"/>
  <c r="O34" i="13"/>
  <c r="O22" i="12"/>
  <c r="O22" i="24" s="1"/>
  <c r="O65" i="24" s="1"/>
  <c r="O22" i="13"/>
  <c r="O26" i="12"/>
  <c r="O26" i="13"/>
  <c r="O28" i="12"/>
  <c r="O28" i="13"/>
  <c r="O6" i="12"/>
  <c r="O6" i="24" s="1"/>
  <c r="O49" i="24" s="1"/>
  <c r="O6" i="13"/>
  <c r="O21" i="8"/>
  <c r="O21" i="23" s="1"/>
  <c r="O73" i="23" s="1"/>
  <c r="V17" i="12"/>
  <c r="T17" i="24" s="1"/>
  <c r="T60" i="24" s="1"/>
  <c r="V17" i="13"/>
  <c r="V19" i="12"/>
  <c r="V19" i="13"/>
  <c r="V32" i="12"/>
  <c r="V32" i="13"/>
  <c r="V41" i="12"/>
  <c r="V41" i="13"/>
  <c r="V5" i="12"/>
  <c r="T5" i="24" s="1"/>
  <c r="T48" i="24" s="1"/>
  <c r="V44" i="11"/>
  <c r="V5" i="13"/>
  <c r="AC19" i="8"/>
  <c r="AH16" i="8"/>
  <c r="AD16" i="23" s="1"/>
  <c r="AD68" i="23" s="1"/>
  <c r="AH41" i="8"/>
  <c r="AD41" i="23" s="1"/>
  <c r="AD93" i="23" s="1"/>
  <c r="AC33" i="8"/>
  <c r="Q38" i="8"/>
  <c r="Q38" i="23" s="1"/>
  <c r="Q90" i="23" s="1"/>
  <c r="L20" i="8"/>
  <c r="L20" i="23" s="1"/>
  <c r="L72" i="23" s="1"/>
  <c r="AC18" i="8"/>
  <c r="U41" i="8"/>
  <c r="T41" i="23" s="1"/>
  <c r="T93" i="23" s="1"/>
  <c r="Q6" i="8"/>
  <c r="Q6" i="23" s="1"/>
  <c r="Q58" i="23" s="1"/>
  <c r="L28" i="8"/>
  <c r="L28" i="23" s="1"/>
  <c r="L80" i="23" s="1"/>
  <c r="L35" i="8"/>
  <c r="L35" i="23" s="1"/>
  <c r="L87" i="23" s="1"/>
  <c r="O22" i="8"/>
  <c r="O22" i="23" s="1"/>
  <c r="O74" i="23" s="1"/>
  <c r="M28" i="9"/>
  <c r="AC26" i="8"/>
  <c r="AC30" i="8"/>
  <c r="U18" i="8"/>
  <c r="T18" i="23" s="1"/>
  <c r="T70" i="23" s="1"/>
  <c r="Q43" i="8"/>
  <c r="Q43" i="23" s="1"/>
  <c r="Q95" i="23" s="1"/>
  <c r="L16" i="8"/>
  <c r="L16" i="23" s="1"/>
  <c r="L68" i="23" s="1"/>
  <c r="L37" i="8"/>
  <c r="L37" i="23" s="1"/>
  <c r="L89" i="23" s="1"/>
  <c r="O31" i="8"/>
  <c r="O31" i="23" s="1"/>
  <c r="O83" i="23" s="1"/>
  <c r="AA23" i="11"/>
  <c r="Z23" i="12"/>
  <c r="AA23" i="12" s="1"/>
  <c r="Z23" i="13"/>
  <c r="AA23" i="13" s="1"/>
  <c r="AA30" i="11"/>
  <c r="Z30" i="12"/>
  <c r="AA30" i="12" s="1"/>
  <c r="Z30" i="13"/>
  <c r="AA30" i="13" s="1"/>
  <c r="AA18" i="11"/>
  <c r="Z18" i="12"/>
  <c r="AA18" i="12" s="1"/>
  <c r="Z18" i="13"/>
  <c r="AA18" i="13" s="1"/>
  <c r="AA20" i="11"/>
  <c r="Z20" i="12"/>
  <c r="AA20" i="12" s="1"/>
  <c r="Z20" i="13"/>
  <c r="AA20" i="13" s="1"/>
  <c r="AA5" i="11"/>
  <c r="Z5" i="12"/>
  <c r="V5" i="24" s="1"/>
  <c r="V48" i="24" s="1"/>
  <c r="Z44" i="11"/>
  <c r="Z5" i="13"/>
  <c r="AC7" i="8"/>
  <c r="X19" i="8"/>
  <c r="W19" i="23" s="1"/>
  <c r="W71" i="23" s="1"/>
  <c r="O18" i="8"/>
  <c r="O18" i="23" s="1"/>
  <c r="O70" i="23" s="1"/>
  <c r="AI13" i="8"/>
  <c r="AE13" i="23" s="1"/>
  <c r="AE65" i="23" s="1"/>
  <c r="AC40" i="8"/>
  <c r="AH8" i="8"/>
  <c r="AD8" i="23" s="1"/>
  <c r="AD60" i="23" s="1"/>
  <c r="AH21" i="8"/>
  <c r="AD21" i="23" s="1"/>
  <c r="AD73" i="23" s="1"/>
  <c r="X11" i="8"/>
  <c r="W11" i="23" s="1"/>
  <c r="W63" i="23" s="1"/>
  <c r="Q22" i="8"/>
  <c r="Q22" i="23" s="1"/>
  <c r="Q74" i="23" s="1"/>
  <c r="Q46" i="8"/>
  <c r="Q46" i="23" s="1"/>
  <c r="Q98" i="23" s="1"/>
  <c r="L36" i="8"/>
  <c r="L36" i="23" s="1"/>
  <c r="L88" i="23" s="1"/>
  <c r="O6" i="8"/>
  <c r="O6" i="23" s="1"/>
  <c r="O58" i="23" s="1"/>
  <c r="O43" i="8"/>
  <c r="O43" i="23" s="1"/>
  <c r="O95" i="23" s="1"/>
  <c r="AI7" i="8"/>
  <c r="AE7" i="23" s="1"/>
  <c r="AE59" i="23" s="1"/>
  <c r="R53" i="9"/>
  <c r="U14" i="12"/>
  <c r="U14" i="13"/>
  <c r="W33" i="11"/>
  <c r="U33" i="12"/>
  <c r="S33" i="24" s="1"/>
  <c r="S76" i="24" s="1"/>
  <c r="U33" i="13"/>
  <c r="U25" i="12"/>
  <c r="U25" i="13"/>
  <c r="U8" i="12"/>
  <c r="S8" i="24" s="1"/>
  <c r="S51" i="24" s="1"/>
  <c r="U8" i="13"/>
  <c r="V45" i="9"/>
  <c r="V18" i="9"/>
  <c r="V19" i="9"/>
  <c r="V12" i="9"/>
  <c r="V17" i="9"/>
  <c r="V42" i="9"/>
  <c r="T31" i="12"/>
  <c r="W31" i="11"/>
  <c r="T31" i="13"/>
  <c r="P31" i="12"/>
  <c r="P31" i="24" s="1"/>
  <c r="P74" i="24" s="1"/>
  <c r="P31" i="13"/>
  <c r="O21" i="12"/>
  <c r="O21" i="13"/>
  <c r="V38" i="12"/>
  <c r="V38" i="13"/>
  <c r="M50" i="9"/>
  <c r="AA8" i="11"/>
  <c r="Z8" i="12"/>
  <c r="AA8" i="12" s="1"/>
  <c r="Z8" i="13"/>
  <c r="AA8" i="13" s="1"/>
  <c r="V5" i="9"/>
  <c r="V53" i="7"/>
  <c r="V58" i="7" s="1"/>
  <c r="V19" i="8" s="1"/>
  <c r="U19" i="23" s="1"/>
  <c r="U71" i="23" s="1"/>
  <c r="O34" i="8"/>
  <c r="O34" i="23" s="1"/>
  <c r="O86" i="23" s="1"/>
  <c r="T40" i="12"/>
  <c r="W40" i="11"/>
  <c r="T40" i="13"/>
  <c r="T27" i="12"/>
  <c r="R27" i="24" s="1"/>
  <c r="R70" i="24" s="1"/>
  <c r="W27" i="11"/>
  <c r="T27" i="13"/>
  <c r="N56" i="9"/>
  <c r="N56" i="8"/>
  <c r="N56" i="7"/>
  <c r="O53" i="9"/>
  <c r="T37" i="12"/>
  <c r="R37" i="24" s="1"/>
  <c r="R80" i="24" s="1"/>
  <c r="W37" i="11"/>
  <c r="T37" i="13"/>
  <c r="T28" i="12"/>
  <c r="W28" i="11"/>
  <c r="T28" i="13"/>
  <c r="W20" i="11"/>
  <c r="T20" i="12"/>
  <c r="T20" i="13"/>
  <c r="W24" i="11"/>
  <c r="T24" i="12"/>
  <c r="R24" i="24" s="1"/>
  <c r="R67" i="24" s="1"/>
  <c r="T24" i="13"/>
  <c r="W10" i="11"/>
  <c r="T10" i="12"/>
  <c r="T10" i="13"/>
  <c r="AC34" i="8"/>
  <c r="O16" i="8"/>
  <c r="O16" i="23" s="1"/>
  <c r="O68" i="23" s="1"/>
  <c r="O27" i="8"/>
  <c r="O27" i="23" s="1"/>
  <c r="O79" i="23" s="1"/>
  <c r="P18" i="12"/>
  <c r="P18" i="24" s="1"/>
  <c r="P61" i="24" s="1"/>
  <c r="P18" i="13"/>
  <c r="P34" i="12"/>
  <c r="P34" i="13"/>
  <c r="P36" i="12"/>
  <c r="P36" i="24" s="1"/>
  <c r="P79" i="24" s="1"/>
  <c r="P36" i="13"/>
  <c r="P27" i="12"/>
  <c r="P27" i="24" s="1"/>
  <c r="P70" i="24" s="1"/>
  <c r="P27" i="13"/>
  <c r="P16" i="12"/>
  <c r="P16" i="24" s="1"/>
  <c r="P59" i="24" s="1"/>
  <c r="P16" i="13"/>
  <c r="M6" i="8"/>
  <c r="M6" i="9"/>
  <c r="AC42" i="8"/>
  <c r="O15" i="12"/>
  <c r="O15" i="13"/>
  <c r="O33" i="12"/>
  <c r="O33" i="24" s="1"/>
  <c r="O76" i="24" s="1"/>
  <c r="O33" i="13"/>
  <c r="O13" i="12"/>
  <c r="O13" i="13"/>
  <c r="O35" i="12"/>
  <c r="O35" i="13"/>
  <c r="O16" i="12"/>
  <c r="O16" i="13"/>
  <c r="V24" i="12"/>
  <c r="T24" i="24" s="1"/>
  <c r="T67" i="24" s="1"/>
  <c r="V24" i="13"/>
  <c r="V20" i="12"/>
  <c r="V20" i="13"/>
  <c r="V29" i="12"/>
  <c r="V29" i="13"/>
  <c r="V31" i="12"/>
  <c r="V31" i="13"/>
  <c r="V11" i="12"/>
  <c r="T11" i="24" s="1"/>
  <c r="T54" i="24" s="1"/>
  <c r="V11" i="13"/>
  <c r="AC35" i="8"/>
  <c r="U21" i="8"/>
  <c r="T21" i="23" s="1"/>
  <c r="T73" i="23" s="1"/>
  <c r="U53" i="9"/>
  <c r="L9" i="8"/>
  <c r="L9" i="23" s="1"/>
  <c r="L61" i="23" s="1"/>
  <c r="L41" i="8"/>
  <c r="L41" i="23" s="1"/>
  <c r="L93" i="23" s="1"/>
  <c r="O48" i="8"/>
  <c r="O48" i="23" s="1"/>
  <c r="O100" i="23" s="1"/>
  <c r="AC46" i="8"/>
  <c r="AC36" i="8"/>
  <c r="U14" i="8"/>
  <c r="T14" i="23" s="1"/>
  <c r="T66" i="23" s="1"/>
  <c r="AH12" i="8"/>
  <c r="AD12" i="23" s="1"/>
  <c r="AD64" i="23" s="1"/>
  <c r="AH43" i="8"/>
  <c r="AD43" i="23" s="1"/>
  <c r="AD95" i="23" s="1"/>
  <c r="AC17" i="8"/>
  <c r="W31" i="8"/>
  <c r="V31" i="23" s="1"/>
  <c r="V83" i="23" s="1"/>
  <c r="M41" i="8"/>
  <c r="M41" i="23" s="1"/>
  <c r="M93" i="23" s="1"/>
  <c r="M41" i="9"/>
  <c r="M48" i="9"/>
  <c r="AH49" i="8"/>
  <c r="AD49" i="23" s="1"/>
  <c r="AD101" i="23" s="1"/>
  <c r="X43" i="8"/>
  <c r="W43" i="23" s="1"/>
  <c r="W95" i="23" s="1"/>
  <c r="Q11" i="8"/>
  <c r="Q11" i="23" s="1"/>
  <c r="Q63" i="23" s="1"/>
  <c r="AI25" i="8"/>
  <c r="AE25" i="23" s="1"/>
  <c r="AE77" i="23" s="1"/>
  <c r="AA29" i="11"/>
  <c r="Z29" i="12"/>
  <c r="AA29" i="12" s="1"/>
  <c r="Z29" i="13"/>
  <c r="AA29" i="13" s="1"/>
  <c r="AA34" i="11"/>
  <c r="Z34" i="12"/>
  <c r="AA34" i="12" s="1"/>
  <c r="Z34" i="13"/>
  <c r="AA34" i="13" s="1"/>
  <c r="AA33" i="11"/>
  <c r="Z33" i="12"/>
  <c r="AA33" i="12" s="1"/>
  <c r="Z33" i="13"/>
  <c r="AA33" i="13" s="1"/>
  <c r="AA19" i="11"/>
  <c r="Z19" i="12"/>
  <c r="AA19" i="12" s="1"/>
  <c r="Z19" i="13"/>
  <c r="AA19" i="13" s="1"/>
  <c r="AA7" i="11"/>
  <c r="Z7" i="12"/>
  <c r="AA7" i="12" s="1"/>
  <c r="Z7" i="13"/>
  <c r="AA7" i="13" s="1"/>
  <c r="W40" i="8"/>
  <c r="V40" i="23" s="1"/>
  <c r="V92" i="23" s="1"/>
  <c r="W37" i="8"/>
  <c r="V37" i="23" s="1"/>
  <c r="V89" i="23" s="1"/>
  <c r="U37" i="8"/>
  <c r="T37" i="23" s="1"/>
  <c r="T89" i="23" s="1"/>
  <c r="U22" i="8"/>
  <c r="T22" i="23" s="1"/>
  <c r="T74" i="23" s="1"/>
  <c r="M35" i="9"/>
  <c r="M32" i="8"/>
  <c r="M32" i="9"/>
  <c r="P53" i="9"/>
  <c r="R58" i="7"/>
  <c r="S58" i="7"/>
  <c r="U34" i="12"/>
  <c r="S34" i="24" s="1"/>
  <c r="S77" i="24" s="1"/>
  <c r="U34" i="13"/>
  <c r="U21" i="12"/>
  <c r="U21" i="13"/>
  <c r="U32" i="12"/>
  <c r="U32" i="13"/>
  <c r="U42" i="12"/>
  <c r="U42" i="13"/>
  <c r="U10" i="12"/>
  <c r="S10" i="24" s="1"/>
  <c r="S53" i="24" s="1"/>
  <c r="U10" i="13"/>
  <c r="V9" i="9"/>
  <c r="V34" i="9"/>
  <c r="V23" i="9"/>
  <c r="V16" i="9"/>
  <c r="V21" i="9"/>
  <c r="V46" i="9"/>
  <c r="X6" i="8"/>
  <c r="W6" i="23" s="1"/>
  <c r="W58" i="23" s="1"/>
  <c r="AA32" i="11"/>
  <c r="Z32" i="12"/>
  <c r="AA32" i="12" s="1"/>
  <c r="Z32" i="13"/>
  <c r="AA32" i="13" s="1"/>
  <c r="V11" i="9"/>
  <c r="S44" i="13"/>
  <c r="M8" i="8"/>
  <c r="M8" i="9"/>
  <c r="M24" i="8"/>
  <c r="M24" i="23" s="1"/>
  <c r="M76" i="23" s="1"/>
  <c r="M24" i="9"/>
  <c r="O5" i="8"/>
  <c r="O5" i="23" s="1"/>
  <c r="O57" i="23" s="1"/>
  <c r="O51" i="8"/>
  <c r="O51" i="23" s="1"/>
  <c r="O103" i="23" s="1"/>
  <c r="W42" i="11"/>
  <c r="T42" i="12"/>
  <c r="R42" i="24" s="1"/>
  <c r="R85" i="24" s="1"/>
  <c r="T42" i="13"/>
  <c r="T33" i="12"/>
  <c r="R33" i="24" s="1"/>
  <c r="R76" i="24" s="1"/>
  <c r="T33" i="13"/>
  <c r="T35" i="12"/>
  <c r="W35" i="11"/>
  <c r="T35" i="13"/>
  <c r="W25" i="11"/>
  <c r="T25" i="12"/>
  <c r="R25" i="24" s="1"/>
  <c r="R68" i="24" s="1"/>
  <c r="T25" i="13"/>
  <c r="W16" i="11"/>
  <c r="T16" i="12"/>
  <c r="R16" i="24" s="1"/>
  <c r="R59" i="24" s="1"/>
  <c r="T16" i="13"/>
  <c r="M27" i="8"/>
  <c r="M27" i="9"/>
  <c r="M38" i="8"/>
  <c r="M38" i="9"/>
  <c r="P28" i="12"/>
  <c r="P28" i="13"/>
  <c r="P17" i="12"/>
  <c r="P17" i="24" s="1"/>
  <c r="P60" i="24" s="1"/>
  <c r="P17" i="13"/>
  <c r="P41" i="12"/>
  <c r="P41" i="13"/>
  <c r="P42" i="12"/>
  <c r="P42" i="13"/>
  <c r="P6" i="12"/>
  <c r="P6" i="13"/>
  <c r="M15" i="8"/>
  <c r="M15" i="23" s="1"/>
  <c r="M67" i="23" s="1"/>
  <c r="M15" i="9"/>
  <c r="O39" i="8"/>
  <c r="O39" i="23" s="1"/>
  <c r="O91" i="23" s="1"/>
  <c r="O17" i="12"/>
  <c r="O17" i="13"/>
  <c r="O25" i="12"/>
  <c r="O25" i="24" s="1"/>
  <c r="O68" i="24" s="1"/>
  <c r="O25" i="13"/>
  <c r="O29" i="12"/>
  <c r="O29" i="24" s="1"/>
  <c r="O72" i="24" s="1"/>
  <c r="O29" i="13"/>
  <c r="O32" i="12"/>
  <c r="O32" i="13"/>
  <c r="O5" i="12"/>
  <c r="O44" i="11"/>
  <c r="O5" i="13"/>
  <c r="U16" i="8"/>
  <c r="T16" i="23" s="1"/>
  <c r="T68" i="23" s="1"/>
  <c r="Q35" i="8"/>
  <c r="Q35" i="23" s="1"/>
  <c r="Q87" i="23" s="1"/>
  <c r="O46" i="8"/>
  <c r="O46" i="23" s="1"/>
  <c r="O98" i="23" s="1"/>
  <c r="V39" i="12"/>
  <c r="V39" i="13"/>
  <c r="V42" i="12"/>
  <c r="V42" i="13"/>
  <c r="V35" i="12"/>
  <c r="T35" i="24" s="1"/>
  <c r="T78" i="24" s="1"/>
  <c r="V35" i="13"/>
  <c r="V30" i="12"/>
  <c r="T30" i="24" s="1"/>
  <c r="T73" i="24" s="1"/>
  <c r="V30" i="13"/>
  <c r="V7" i="12"/>
  <c r="V7" i="13"/>
  <c r="AH6" i="8"/>
  <c r="AD6" i="23" s="1"/>
  <c r="AD58" i="23" s="1"/>
  <c r="AH31" i="8"/>
  <c r="AD31" i="23" s="1"/>
  <c r="AD83" i="23" s="1"/>
  <c r="M36" i="8"/>
  <c r="M36" i="23" s="1"/>
  <c r="M88" i="23" s="1"/>
  <c r="M36" i="9"/>
  <c r="Q33" i="8"/>
  <c r="Q33" i="23" s="1"/>
  <c r="Q85" i="23" s="1"/>
  <c r="M13" i="8"/>
  <c r="M13" i="23" s="1"/>
  <c r="M65" i="23" s="1"/>
  <c r="M13" i="9"/>
  <c r="Q18" i="8"/>
  <c r="Q18" i="23" s="1"/>
  <c r="Q70" i="23" s="1"/>
  <c r="L26" i="8"/>
  <c r="L26" i="23" s="1"/>
  <c r="L78" i="23" s="1"/>
  <c r="L51" i="8"/>
  <c r="L51" i="23" s="1"/>
  <c r="L103" i="23" s="1"/>
  <c r="O36" i="8"/>
  <c r="O36" i="23" s="1"/>
  <c r="O88" i="23" s="1"/>
  <c r="M25" i="8"/>
  <c r="M25" i="9"/>
  <c r="AI21" i="8"/>
  <c r="AE21" i="23" s="1"/>
  <c r="AE73" i="23" s="1"/>
  <c r="AC38" i="8"/>
  <c r="U12" i="8"/>
  <c r="T12" i="23" s="1"/>
  <c r="T64" i="23" s="1"/>
  <c r="X53" i="9"/>
  <c r="X5" i="8"/>
  <c r="W5" i="23" s="1"/>
  <c r="W57" i="23" s="1"/>
  <c r="Q44" i="8"/>
  <c r="Q44" i="23" s="1"/>
  <c r="Q96" i="23" s="1"/>
  <c r="L22" i="8"/>
  <c r="L22" i="23" s="1"/>
  <c r="L74" i="23" s="1"/>
  <c r="L31" i="8"/>
  <c r="L31" i="23" s="1"/>
  <c r="L83" i="23" s="1"/>
  <c r="O24" i="8"/>
  <c r="O24" i="23" s="1"/>
  <c r="O76" i="23" s="1"/>
  <c r="AA40" i="11"/>
  <c r="Z40" i="12"/>
  <c r="AA40" i="12" s="1"/>
  <c r="Z40" i="13"/>
  <c r="AA40" i="13" s="1"/>
  <c r="AA26" i="11"/>
  <c r="Z26" i="12"/>
  <c r="AA26" i="12" s="1"/>
  <c r="Z26" i="13"/>
  <c r="AA26" i="13" s="1"/>
  <c r="AA13" i="11"/>
  <c r="Z13" i="12"/>
  <c r="AA13" i="12" s="1"/>
  <c r="Z13" i="13"/>
  <c r="AA13" i="13" s="1"/>
  <c r="AA27" i="11"/>
  <c r="Z27" i="12"/>
  <c r="AA27" i="12" s="1"/>
  <c r="Z27" i="13"/>
  <c r="AA27" i="13" s="1"/>
  <c r="AA9" i="11"/>
  <c r="Z9" i="12"/>
  <c r="AA9" i="12" s="1"/>
  <c r="Z9" i="13"/>
  <c r="AA9" i="13" s="1"/>
  <c r="Q23" i="8"/>
  <c r="Q23" i="23" s="1"/>
  <c r="Q75" i="23" s="1"/>
  <c r="O47" i="8"/>
  <c r="O47" i="23" s="1"/>
  <c r="O99" i="23" s="1"/>
  <c r="AC23" i="8"/>
  <c r="AH18" i="8"/>
  <c r="AD18" i="23" s="1"/>
  <c r="AD70" i="23" s="1"/>
  <c r="M33" i="8"/>
  <c r="M33" i="9"/>
  <c r="X10" i="8"/>
  <c r="W10" i="23" s="1"/>
  <c r="W62" i="23" s="1"/>
  <c r="Q9" i="8"/>
  <c r="Q9" i="23" s="1"/>
  <c r="Q61" i="23" s="1"/>
  <c r="Q49" i="8"/>
  <c r="Q49" i="23" s="1"/>
  <c r="Q101" i="23" s="1"/>
  <c r="L33" i="8"/>
  <c r="L33" i="23" s="1"/>
  <c r="L85" i="23" s="1"/>
  <c r="O37" i="8"/>
  <c r="O37" i="23" s="1"/>
  <c r="O89" i="23" s="1"/>
  <c r="M42" i="8"/>
  <c r="M42" i="9"/>
  <c r="P5" i="8"/>
  <c r="P5" i="23" s="1"/>
  <c r="P57" i="23" s="1"/>
  <c r="AI6" i="8"/>
  <c r="AE6" i="23" s="1"/>
  <c r="AE58" i="23" s="1"/>
  <c r="U35" i="12"/>
  <c r="S35" i="24" s="1"/>
  <c r="S78" i="24" s="1"/>
  <c r="U35" i="13"/>
  <c r="U27" i="12"/>
  <c r="S27" i="24" s="1"/>
  <c r="S70" i="24" s="1"/>
  <c r="U27" i="13"/>
  <c r="U31" i="12"/>
  <c r="U31" i="13"/>
  <c r="U15" i="12"/>
  <c r="S15" i="24" s="1"/>
  <c r="S58" i="24" s="1"/>
  <c r="U15" i="13"/>
  <c r="U5" i="12"/>
  <c r="S5" i="24" s="1"/>
  <c r="S48" i="24" s="1"/>
  <c r="U44" i="11"/>
  <c r="U5" i="13"/>
  <c r="V10" i="8"/>
  <c r="V10" i="9"/>
  <c r="V22" i="9"/>
  <c r="V27" i="8"/>
  <c r="U27" i="23" s="1"/>
  <c r="U79" i="23" s="1"/>
  <c r="V27" i="9"/>
  <c r="V20" i="8"/>
  <c r="U20" i="23" s="1"/>
  <c r="U72" i="23" s="1"/>
  <c r="V20" i="9"/>
  <c r="V25" i="8"/>
  <c r="U25" i="23" s="1"/>
  <c r="U77" i="23" s="1"/>
  <c r="V25" i="9"/>
  <c r="V50" i="9"/>
  <c r="T30" i="12"/>
  <c r="R30" i="24" s="1"/>
  <c r="R73" i="24" s="1"/>
  <c r="W30" i="11"/>
  <c r="T30" i="13"/>
  <c r="P32" i="12"/>
  <c r="P32" i="24" s="1"/>
  <c r="P75" i="24" s="1"/>
  <c r="P32" i="13"/>
  <c r="U24" i="12"/>
  <c r="S24" i="24" s="1"/>
  <c r="S67" i="24" s="1"/>
  <c r="U24" i="13"/>
  <c r="U6" i="12"/>
  <c r="U6" i="13"/>
  <c r="N55" i="9"/>
  <c r="N55" i="8"/>
  <c r="N55" i="7"/>
  <c r="W17" i="11"/>
  <c r="T17" i="12"/>
  <c r="R17" i="24" s="1"/>
  <c r="R60" i="24" s="1"/>
  <c r="T17" i="13"/>
  <c r="T39" i="12"/>
  <c r="W39" i="11"/>
  <c r="T39" i="13"/>
  <c r="W18" i="11"/>
  <c r="T18" i="12"/>
  <c r="T18" i="13"/>
  <c r="W9" i="11"/>
  <c r="T9" i="12"/>
  <c r="T9" i="13"/>
  <c r="D46" i="5"/>
  <c r="Q45" i="13"/>
  <c r="Q45" i="11"/>
  <c r="Q45" i="10"/>
  <c r="Q45" i="12"/>
  <c r="Y19" i="7"/>
  <c r="Y15" i="7"/>
  <c r="Y11" i="7"/>
  <c r="Y7" i="7"/>
  <c r="Y18" i="7"/>
  <c r="Y14" i="7"/>
  <c r="Y10" i="7"/>
  <c r="Y6" i="7"/>
  <c r="Y25" i="7"/>
  <c r="Y12" i="7"/>
  <c r="Y5" i="7"/>
  <c r="Y20" i="7"/>
  <c r="Y13" i="7"/>
  <c r="Y17" i="7"/>
  <c r="Y16" i="7"/>
  <c r="Y28" i="7"/>
  <c r="Y29" i="7"/>
  <c r="Y8" i="7"/>
  <c r="Y9" i="7"/>
  <c r="Y45" i="7"/>
  <c r="Y30" i="7"/>
  <c r="Y24" i="7"/>
  <c r="Y34" i="7"/>
  <c r="Y42" i="7"/>
  <c r="Y33" i="7"/>
  <c r="Y36" i="7"/>
  <c r="Y41" i="7"/>
  <c r="Y43" i="7"/>
  <c r="Y23" i="7"/>
  <c r="Y49" i="7"/>
  <c r="Y26" i="7"/>
  <c r="Y37" i="7"/>
  <c r="Y51" i="7"/>
  <c r="Y38" i="7"/>
  <c r="Y31" i="7"/>
  <c r="Y32" i="7"/>
  <c r="Y39" i="7"/>
  <c r="Y22" i="7"/>
  <c r="Y27" i="7"/>
  <c r="Y47" i="7"/>
  <c r="Y50" i="7"/>
  <c r="Y35" i="7"/>
  <c r="Y44" i="7"/>
  <c r="Y40" i="7"/>
  <c r="Y46" i="7"/>
  <c r="Y48" i="7"/>
  <c r="Y21" i="7"/>
  <c r="AC48" i="8"/>
  <c r="M34" i="8"/>
  <c r="M34" i="23" s="1"/>
  <c r="M86" i="23" s="1"/>
  <c r="M34" i="9"/>
  <c r="O13" i="8"/>
  <c r="O13" i="23" s="1"/>
  <c r="O65" i="23" s="1"/>
  <c r="O28" i="8"/>
  <c r="O28" i="23" s="1"/>
  <c r="O80" i="23" s="1"/>
  <c r="P15" i="12"/>
  <c r="P15" i="24" s="1"/>
  <c r="P58" i="24" s="1"/>
  <c r="P15" i="13"/>
  <c r="P24" i="12"/>
  <c r="P24" i="24" s="1"/>
  <c r="P67" i="24" s="1"/>
  <c r="P24" i="13"/>
  <c r="P13" i="12"/>
  <c r="P13" i="24" s="1"/>
  <c r="P56" i="24" s="1"/>
  <c r="P13" i="13"/>
  <c r="P20" i="12"/>
  <c r="P20" i="13"/>
  <c r="P8" i="12"/>
  <c r="P8" i="24" s="1"/>
  <c r="P51" i="24" s="1"/>
  <c r="P8" i="13"/>
  <c r="M16" i="8"/>
  <c r="M16" i="23" s="1"/>
  <c r="M68" i="23" s="1"/>
  <c r="M16" i="9"/>
  <c r="AC28" i="8"/>
  <c r="M39" i="8"/>
  <c r="M39" i="9"/>
  <c r="AH20" i="8"/>
  <c r="AD20" i="23" s="1"/>
  <c r="AD72" i="23" s="1"/>
  <c r="M29" i="8"/>
  <c r="M29" i="23" s="1"/>
  <c r="M81" i="23" s="1"/>
  <c r="M29" i="9"/>
  <c r="S44" i="11"/>
  <c r="O38" i="12"/>
  <c r="O38" i="24" s="1"/>
  <c r="O81" i="24" s="1"/>
  <c r="O38" i="13"/>
  <c r="O24" i="12"/>
  <c r="O24" i="13"/>
  <c r="O36" i="12"/>
  <c r="O36" i="13"/>
  <c r="O31" i="12"/>
  <c r="O31" i="13"/>
  <c r="O7" i="12"/>
  <c r="O7" i="24" s="1"/>
  <c r="O50" i="24" s="1"/>
  <c r="O7" i="13"/>
  <c r="M17" i="8"/>
  <c r="M17" i="9"/>
  <c r="V21" i="12"/>
  <c r="V21" i="13"/>
  <c r="V34" i="12"/>
  <c r="V34" i="13"/>
  <c r="V18" i="12"/>
  <c r="T18" i="24" s="1"/>
  <c r="T61" i="24" s="1"/>
  <c r="V18" i="13"/>
  <c r="V22" i="12"/>
  <c r="V22" i="13"/>
  <c r="V6" i="12"/>
  <c r="V6" i="13"/>
  <c r="AC10" i="8"/>
  <c r="U5" i="8"/>
  <c r="T5" i="23" s="1"/>
  <c r="T57" i="23" s="1"/>
  <c r="L30" i="8"/>
  <c r="L30" i="23" s="1"/>
  <c r="L82" i="23" s="1"/>
  <c r="O15" i="8"/>
  <c r="O15" i="23" s="1"/>
  <c r="O67" i="23" s="1"/>
  <c r="O30" i="8"/>
  <c r="O30" i="23" s="1"/>
  <c r="O82" i="23" s="1"/>
  <c r="L48" i="10"/>
  <c r="L48" i="12" s="1"/>
  <c r="AC11" i="8"/>
  <c r="U17" i="8"/>
  <c r="T17" i="23" s="1"/>
  <c r="T69" i="23" s="1"/>
  <c r="U34" i="8"/>
  <c r="T34" i="23" s="1"/>
  <c r="T86" i="23" s="1"/>
  <c r="AH9" i="8"/>
  <c r="AD9" i="23" s="1"/>
  <c r="AD61" i="23" s="1"/>
  <c r="AH39" i="8"/>
  <c r="AD39" i="23" s="1"/>
  <c r="AD91" i="23" s="1"/>
  <c r="Q24" i="8"/>
  <c r="Q24" i="23" s="1"/>
  <c r="Q76" i="23" s="1"/>
  <c r="AI48" i="8"/>
  <c r="AE48" i="23" s="1"/>
  <c r="AE100" i="23" s="1"/>
  <c r="W38" i="8"/>
  <c r="V38" i="23" s="1"/>
  <c r="V90" i="23" s="1"/>
  <c r="U44" i="8"/>
  <c r="T44" i="23" s="1"/>
  <c r="T96" i="23" s="1"/>
  <c r="AH15" i="8"/>
  <c r="AD15" i="23" s="1"/>
  <c r="AD67" i="23" s="1"/>
  <c r="AH51" i="8"/>
  <c r="AD51" i="23" s="1"/>
  <c r="AD103" i="23" s="1"/>
  <c r="X15" i="8"/>
  <c r="W15" i="23" s="1"/>
  <c r="W67" i="23" s="1"/>
  <c r="AI30" i="8"/>
  <c r="AE30" i="23" s="1"/>
  <c r="AE82" i="23" s="1"/>
  <c r="AA28" i="11"/>
  <c r="Z28" i="12"/>
  <c r="AA28" i="12" s="1"/>
  <c r="Z28" i="13"/>
  <c r="AA28" i="13" s="1"/>
  <c r="AA17" i="11"/>
  <c r="Z17" i="12"/>
  <c r="AA17" i="12" s="1"/>
  <c r="Z17" i="13"/>
  <c r="AA17" i="13" s="1"/>
  <c r="AA21" i="11"/>
  <c r="Z21" i="12"/>
  <c r="AA21" i="12" s="1"/>
  <c r="Z21" i="13"/>
  <c r="AA21" i="13" s="1"/>
  <c r="AA31" i="11"/>
  <c r="Z31" i="12"/>
  <c r="AA31" i="12" s="1"/>
  <c r="Z31" i="13"/>
  <c r="AA31" i="13" s="1"/>
  <c r="AA11" i="11"/>
  <c r="Z11" i="12"/>
  <c r="AA11" i="12" s="1"/>
  <c r="Z11" i="13"/>
  <c r="AA11" i="13" s="1"/>
  <c r="U30" i="8"/>
  <c r="T30" i="23" s="1"/>
  <c r="T82" i="23" s="1"/>
  <c r="AC49" i="8"/>
  <c r="W16" i="8"/>
  <c r="V16" i="23" s="1"/>
  <c r="V68" i="23" s="1"/>
  <c r="W33" i="8"/>
  <c r="V33" i="23" s="1"/>
  <c r="V85" i="23" s="1"/>
  <c r="M31" i="8"/>
  <c r="M31" i="9"/>
  <c r="U13" i="12"/>
  <c r="U13" i="13"/>
  <c r="U17" i="12"/>
  <c r="W17" i="12" s="1"/>
  <c r="U17" i="13"/>
  <c r="U38" i="12"/>
  <c r="U38" i="13"/>
  <c r="U29" i="12"/>
  <c r="U29" i="13"/>
  <c r="U7" i="12"/>
  <c r="U7" i="13"/>
  <c r="V13" i="8"/>
  <c r="U13" i="23" s="1"/>
  <c r="U65" i="23" s="1"/>
  <c r="V13" i="9"/>
  <c r="V38" i="8"/>
  <c r="V38" i="9"/>
  <c r="V31" i="8"/>
  <c r="V31" i="9"/>
  <c r="V24" i="8"/>
  <c r="V24" i="9"/>
  <c r="V29" i="8"/>
  <c r="U29" i="23" s="1"/>
  <c r="U81" i="23" s="1"/>
  <c r="V29" i="9"/>
  <c r="V43" i="8"/>
  <c r="V43" i="9"/>
  <c r="U31" i="8"/>
  <c r="T31" i="23" s="1"/>
  <c r="T83" i="23" s="1"/>
  <c r="T54" i="9"/>
  <c r="T54" i="8"/>
  <c r="T54" i="7"/>
  <c r="T41" i="12"/>
  <c r="R41" i="24" s="1"/>
  <c r="R84" i="24" s="1"/>
  <c r="W41" i="11"/>
  <c r="T41" i="13"/>
  <c r="M20" i="8"/>
  <c r="M20" i="9"/>
  <c r="M40" i="8"/>
  <c r="M40" i="23" s="1"/>
  <c r="M92" i="23" s="1"/>
  <c r="M40" i="9"/>
  <c r="P14" i="12"/>
  <c r="P14" i="13"/>
  <c r="M10" i="8"/>
  <c r="M10" i="23" s="1"/>
  <c r="M62" i="23" s="1"/>
  <c r="M10" i="9"/>
  <c r="O37" i="12"/>
  <c r="O37" i="13"/>
  <c r="V36" i="12"/>
  <c r="T36" i="24" s="1"/>
  <c r="T79" i="24" s="1"/>
  <c r="V36" i="13"/>
  <c r="AA35" i="11"/>
  <c r="Z35" i="12"/>
  <c r="AA35" i="12" s="1"/>
  <c r="Z35" i="13"/>
  <c r="AA35" i="13" s="1"/>
  <c r="M26" i="8"/>
  <c r="M26" i="9"/>
  <c r="AD53" i="7"/>
  <c r="O7" i="8"/>
  <c r="O7" i="23" s="1"/>
  <c r="O59" i="23" s="1"/>
  <c r="AC21" i="8"/>
  <c r="M30" i="8"/>
  <c r="M30" i="9"/>
  <c r="W38" i="11"/>
  <c r="T38" i="12"/>
  <c r="W38" i="12" s="1"/>
  <c r="T38" i="13"/>
  <c r="W15" i="11"/>
  <c r="T15" i="12"/>
  <c r="R15" i="24" s="1"/>
  <c r="R58" i="24" s="1"/>
  <c r="T15" i="13"/>
  <c r="W13" i="11"/>
  <c r="T13" i="12"/>
  <c r="R13" i="24" s="1"/>
  <c r="R56" i="24" s="1"/>
  <c r="T13" i="13"/>
  <c r="W5" i="11"/>
  <c r="T5" i="12"/>
  <c r="T5" i="13"/>
  <c r="T44" i="11"/>
  <c r="M51" i="8"/>
  <c r="M51" i="9"/>
  <c r="P38" i="12"/>
  <c r="P38" i="24" s="1"/>
  <c r="P81" i="24" s="1"/>
  <c r="P38" i="13"/>
  <c r="P23" i="12"/>
  <c r="P23" i="13"/>
  <c r="P29" i="12"/>
  <c r="P29" i="13"/>
  <c r="P21" i="12"/>
  <c r="P21" i="13"/>
  <c r="P10" i="12"/>
  <c r="P10" i="24" s="1"/>
  <c r="P53" i="24" s="1"/>
  <c r="P10" i="13"/>
  <c r="AH46" i="8"/>
  <c r="AD46" i="23" s="1"/>
  <c r="AD98" i="23" s="1"/>
  <c r="Q31" i="8"/>
  <c r="Q31" i="23" s="1"/>
  <c r="Q83" i="23" s="1"/>
  <c r="O19" i="8"/>
  <c r="O19" i="23" s="1"/>
  <c r="O71" i="23" s="1"/>
  <c r="O42" i="8"/>
  <c r="O42" i="23" s="1"/>
  <c r="O94" i="23" s="1"/>
  <c r="S5" i="12"/>
  <c r="R44" i="12"/>
  <c r="O20" i="12"/>
  <c r="O20" i="24" s="1"/>
  <c r="O63" i="24" s="1"/>
  <c r="O20" i="13"/>
  <c r="O12" i="12"/>
  <c r="O12" i="13"/>
  <c r="O40" i="12"/>
  <c r="O40" i="13"/>
  <c r="O23" i="12"/>
  <c r="O23" i="13"/>
  <c r="O9" i="12"/>
  <c r="O9" i="24" s="1"/>
  <c r="O52" i="24" s="1"/>
  <c r="O9" i="13"/>
  <c r="AH37" i="8"/>
  <c r="AD37" i="23" s="1"/>
  <c r="AD89" i="23" s="1"/>
  <c r="Q50" i="8"/>
  <c r="Q50" i="23" s="1"/>
  <c r="Q102" i="23" s="1"/>
  <c r="V28" i="12"/>
  <c r="V28" i="13"/>
  <c r="V33" i="12"/>
  <c r="V33" i="13"/>
  <c r="V40" i="12"/>
  <c r="T40" i="24" s="1"/>
  <c r="T83" i="24" s="1"/>
  <c r="V40" i="13"/>
  <c r="V9" i="12"/>
  <c r="V9" i="13"/>
  <c r="V8" i="12"/>
  <c r="V8" i="13"/>
  <c r="AC31" i="8"/>
  <c r="U24" i="8"/>
  <c r="T24" i="23" s="1"/>
  <c r="T76" i="23" s="1"/>
  <c r="AH34" i="8"/>
  <c r="AD34" i="23" s="1"/>
  <c r="AD86" i="23" s="1"/>
  <c r="Q15" i="8"/>
  <c r="Q15" i="23" s="1"/>
  <c r="Q67" i="23" s="1"/>
  <c r="Q34" i="8"/>
  <c r="Q34" i="23" s="1"/>
  <c r="Q86" i="23" s="1"/>
  <c r="M43" i="8"/>
  <c r="M43" i="9"/>
  <c r="AC37" i="8"/>
  <c r="X23" i="8"/>
  <c r="W23" i="23" s="1"/>
  <c r="W75" i="23" s="1"/>
  <c r="Q27" i="8"/>
  <c r="Q27" i="23" s="1"/>
  <c r="Q79" i="23" s="1"/>
  <c r="Q32" i="8"/>
  <c r="Q32" i="23" s="1"/>
  <c r="Q84" i="23" s="1"/>
  <c r="L11" i="8"/>
  <c r="L11" i="23" s="1"/>
  <c r="L63" i="23" s="1"/>
  <c r="O11" i="8"/>
  <c r="O11" i="23" s="1"/>
  <c r="O63" i="23" s="1"/>
  <c r="O50" i="8"/>
  <c r="O50" i="23" s="1"/>
  <c r="O102" i="23" s="1"/>
  <c r="AI40" i="8"/>
  <c r="AE40" i="23" s="1"/>
  <c r="AE92" i="23" s="1"/>
  <c r="AI49" i="8"/>
  <c r="AE49" i="23" s="1"/>
  <c r="AE101" i="23" s="1"/>
  <c r="AC15" i="8"/>
  <c r="U35" i="8"/>
  <c r="T35" i="23" s="1"/>
  <c r="T87" i="23" s="1"/>
  <c r="Q26" i="8"/>
  <c r="Q26" i="23" s="1"/>
  <c r="Q78" i="23" s="1"/>
  <c r="Q12" i="8"/>
  <c r="Q12" i="23" s="1"/>
  <c r="Q64" i="23" s="1"/>
  <c r="L46" i="8"/>
  <c r="L46" i="23" s="1"/>
  <c r="L98" i="23" s="1"/>
  <c r="O17" i="8"/>
  <c r="O17" i="23" s="1"/>
  <c r="O69" i="23" s="1"/>
  <c r="O45" i="8"/>
  <c r="O45" i="23" s="1"/>
  <c r="O97" i="23" s="1"/>
  <c r="AA38" i="11"/>
  <c r="Z38" i="12"/>
  <c r="AA38" i="12" s="1"/>
  <c r="Z38" i="13"/>
  <c r="AA38" i="13" s="1"/>
  <c r="AA39" i="11"/>
  <c r="Z39" i="12"/>
  <c r="AA39" i="12" s="1"/>
  <c r="Z39" i="13"/>
  <c r="AA39" i="13" s="1"/>
  <c r="AA25" i="11"/>
  <c r="Z25" i="12"/>
  <c r="AA25" i="12" s="1"/>
  <c r="Z25" i="13"/>
  <c r="AA25" i="13" s="1"/>
  <c r="AA10" i="11"/>
  <c r="Z10" i="12"/>
  <c r="AA10" i="12" s="1"/>
  <c r="Z10" i="13"/>
  <c r="AA10" i="13" s="1"/>
  <c r="Q19" i="8"/>
  <c r="Q19" i="23" s="1"/>
  <c r="Q71" i="23" s="1"/>
  <c r="P32" i="8"/>
  <c r="P32" i="23" s="1"/>
  <c r="P84" i="23" s="1"/>
  <c r="AC13" i="8"/>
  <c r="U43" i="8"/>
  <c r="T43" i="23" s="1"/>
  <c r="T95" i="23" s="1"/>
  <c r="AH50" i="8"/>
  <c r="AD50" i="23" s="1"/>
  <c r="AD102" i="23" s="1"/>
  <c r="X41" i="8"/>
  <c r="W41" i="23" s="1"/>
  <c r="W93" i="23" s="1"/>
  <c r="X48" i="8"/>
  <c r="W48" i="23" s="1"/>
  <c r="W100" i="23" s="1"/>
  <c r="Q51" i="8"/>
  <c r="Q51" i="23" s="1"/>
  <c r="Q103" i="23" s="1"/>
  <c r="L27" i="8"/>
  <c r="L27" i="23" s="1"/>
  <c r="L79" i="23" s="1"/>
  <c r="L38" i="8"/>
  <c r="L38" i="23" s="1"/>
  <c r="L90" i="23" s="1"/>
  <c r="O44" i="8"/>
  <c r="O44" i="23" s="1"/>
  <c r="O96" i="23" s="1"/>
  <c r="P39" i="8"/>
  <c r="P39" i="23" s="1"/>
  <c r="P91" i="23" s="1"/>
  <c r="AI23" i="8"/>
  <c r="AE23" i="23" s="1"/>
  <c r="AE75" i="23" s="1"/>
  <c r="U41" i="12"/>
  <c r="U41" i="13"/>
  <c r="U36" i="12"/>
  <c r="S36" i="24" s="1"/>
  <c r="S79" i="24" s="1"/>
  <c r="U36" i="13"/>
  <c r="U23" i="12"/>
  <c r="U23" i="13"/>
  <c r="U12" i="12"/>
  <c r="U12" i="13"/>
  <c r="U9" i="12"/>
  <c r="W9" i="12" s="1"/>
  <c r="U9" i="13"/>
  <c r="V7" i="8"/>
  <c r="U7" i="23" s="1"/>
  <c r="U59" i="23" s="1"/>
  <c r="V7" i="9"/>
  <c r="V8" i="8"/>
  <c r="V8" i="9"/>
  <c r="V35" i="8"/>
  <c r="V35" i="9"/>
  <c r="V28" i="8"/>
  <c r="V28" i="9"/>
  <c r="V33" i="8"/>
  <c r="U33" i="23" s="1"/>
  <c r="U85" i="23" s="1"/>
  <c r="V33" i="9"/>
  <c r="V47" i="8"/>
  <c r="V47" i="9"/>
  <c r="M44" i="8"/>
  <c r="M44" i="9"/>
  <c r="W6" i="11"/>
  <c r="T6" i="12"/>
  <c r="T6" i="13"/>
  <c r="P35" i="12"/>
  <c r="P35" i="13"/>
  <c r="AH53" i="9"/>
  <c r="V44" i="8"/>
  <c r="V44" i="9"/>
  <c r="E35" i="5"/>
  <c r="L46" i="13"/>
  <c r="L46" i="11"/>
  <c r="L46" i="10"/>
  <c r="L46" i="12"/>
  <c r="AD5" i="8"/>
  <c r="M19" i="8"/>
  <c r="M19" i="9"/>
  <c r="T26" i="12"/>
  <c r="R26" i="24" s="1"/>
  <c r="R69" i="24" s="1"/>
  <c r="W26" i="11"/>
  <c r="T26" i="13"/>
  <c r="W12" i="11"/>
  <c r="T12" i="12"/>
  <c r="T12" i="13"/>
  <c r="W14" i="11"/>
  <c r="T14" i="12"/>
  <c r="T14" i="13"/>
  <c r="W19" i="11"/>
  <c r="T19" i="12"/>
  <c r="R19" i="24" s="1"/>
  <c r="R62" i="24" s="1"/>
  <c r="T19" i="13"/>
  <c r="W11" i="11"/>
  <c r="T11" i="12"/>
  <c r="T11" i="13"/>
  <c r="AC25" i="8"/>
  <c r="AC20" i="8"/>
  <c r="M44" i="13"/>
  <c r="O10" i="8"/>
  <c r="O10" i="23" s="1"/>
  <c r="O62" i="23" s="1"/>
  <c r="M21" i="8"/>
  <c r="M21" i="9"/>
  <c r="M18" i="8"/>
  <c r="M18" i="9"/>
  <c r="P25" i="12"/>
  <c r="P25" i="13"/>
  <c r="P22" i="12"/>
  <c r="P22" i="24" s="1"/>
  <c r="P65" i="24" s="1"/>
  <c r="P22" i="13"/>
  <c r="P33" i="12"/>
  <c r="P33" i="13"/>
  <c r="P9" i="12"/>
  <c r="P9" i="13"/>
  <c r="N54" i="8"/>
  <c r="N58" i="8" s="1"/>
  <c r="N54" i="9"/>
  <c r="N54" i="7"/>
  <c r="AC16" i="8"/>
  <c r="M7" i="8"/>
  <c r="M7" i="9"/>
  <c r="O19" i="12"/>
  <c r="O19" i="13"/>
  <c r="O42" i="12"/>
  <c r="O42" i="13"/>
  <c r="O39" i="12"/>
  <c r="O39" i="24" s="1"/>
  <c r="O82" i="24" s="1"/>
  <c r="O39" i="13"/>
  <c r="O30" i="12"/>
  <c r="O30" i="13"/>
  <c r="O11" i="12"/>
  <c r="O11" i="13"/>
  <c r="V15" i="12"/>
  <c r="V15" i="13"/>
  <c r="V26" i="12"/>
  <c r="T26" i="24" s="1"/>
  <c r="T69" i="24" s="1"/>
  <c r="V26" i="13"/>
  <c r="V12" i="12"/>
  <c r="V12" i="13"/>
  <c r="V13" i="12"/>
  <c r="V13" i="13"/>
  <c r="V10" i="12"/>
  <c r="V10" i="13"/>
  <c r="U45" i="8"/>
  <c r="T45" i="23" s="1"/>
  <c r="T97" i="23" s="1"/>
  <c r="U48" i="8"/>
  <c r="T48" i="23" s="1"/>
  <c r="T100" i="23" s="1"/>
  <c r="L17" i="8"/>
  <c r="L17" i="23" s="1"/>
  <c r="L69" i="23" s="1"/>
  <c r="O25" i="8"/>
  <c r="O25" i="23" s="1"/>
  <c r="O77" i="23" s="1"/>
  <c r="O38" i="8"/>
  <c r="O38" i="23" s="1"/>
  <c r="O90" i="23" s="1"/>
  <c r="AI53" i="9"/>
  <c r="AH29" i="8"/>
  <c r="AD29" i="23" s="1"/>
  <c r="AD81" i="23" s="1"/>
  <c r="AC29" i="8"/>
  <c r="L44" i="8"/>
  <c r="L44" i="23" s="1"/>
  <c r="L96" i="23" s="1"/>
  <c r="AC43" i="8"/>
  <c r="W44" i="8"/>
  <c r="V44" i="23" s="1"/>
  <c r="V96" i="23" s="1"/>
  <c r="W53" i="9"/>
  <c r="AH11" i="8"/>
  <c r="AD11" i="23" s="1"/>
  <c r="AD63" i="23" s="1"/>
  <c r="AH27" i="8"/>
  <c r="AD27" i="23" s="1"/>
  <c r="AD79" i="23" s="1"/>
  <c r="X14" i="8"/>
  <c r="W14" i="23" s="1"/>
  <c r="W66" i="23" s="1"/>
  <c r="M11" i="8"/>
  <c r="M11" i="9"/>
  <c r="P29" i="8"/>
  <c r="P51" i="8"/>
  <c r="P51" i="23" s="1"/>
  <c r="P103" i="23" s="1"/>
  <c r="AI24" i="8"/>
  <c r="AE24" i="23" s="1"/>
  <c r="AE76" i="23" s="1"/>
  <c r="AA42" i="11"/>
  <c r="Z42" i="12"/>
  <c r="AA42" i="12" s="1"/>
  <c r="Z42" i="13"/>
  <c r="AA42" i="13" s="1"/>
  <c r="AA37" i="11"/>
  <c r="Z37" i="12"/>
  <c r="AA37" i="12" s="1"/>
  <c r="Z37" i="13"/>
  <c r="AA37" i="13" s="1"/>
  <c r="AA12" i="11"/>
  <c r="Z12" i="12"/>
  <c r="AA12" i="12" s="1"/>
  <c r="Z12" i="13"/>
  <c r="AA12" i="13" s="1"/>
  <c r="AA6" i="11"/>
  <c r="Z6" i="12"/>
  <c r="AA6" i="12" s="1"/>
  <c r="Z6" i="13"/>
  <c r="AA6" i="13" s="1"/>
  <c r="AC22" i="8"/>
  <c r="W27" i="8"/>
  <c r="V27" i="23" s="1"/>
  <c r="V79" i="23" s="1"/>
  <c r="U50" i="8"/>
  <c r="T50" i="23" s="1"/>
  <c r="T102" i="23" s="1"/>
  <c r="U15" i="8"/>
  <c r="T15" i="23" s="1"/>
  <c r="T67" i="23" s="1"/>
  <c r="P22" i="8"/>
  <c r="U37" i="12"/>
  <c r="S37" i="24" s="1"/>
  <c r="S80" i="24" s="1"/>
  <c r="U37" i="13"/>
  <c r="U26" i="12"/>
  <c r="U26" i="13"/>
  <c r="U40" i="12"/>
  <c r="U40" i="13"/>
  <c r="U39" i="12"/>
  <c r="U39" i="13"/>
  <c r="U11" i="12"/>
  <c r="S11" i="24" s="1"/>
  <c r="S54" i="24" s="1"/>
  <c r="U11" i="13"/>
  <c r="V48" i="8"/>
  <c r="V48" i="9"/>
  <c r="V14" i="8"/>
  <c r="V14" i="9"/>
  <c r="V39" i="8"/>
  <c r="V39" i="9"/>
  <c r="V32" i="8"/>
  <c r="U32" i="23" s="1"/>
  <c r="U84" i="23" s="1"/>
  <c r="V32" i="9"/>
  <c r="V37" i="8"/>
  <c r="V37" i="9"/>
  <c r="V51" i="8"/>
  <c r="V51" i="9"/>
  <c r="AH38" i="8"/>
  <c r="AD38" i="23" s="1"/>
  <c r="AD90" i="23" s="1"/>
  <c r="W22" i="11"/>
  <c r="T22" i="12"/>
  <c r="W22" i="12" s="1"/>
  <c r="T22" i="13"/>
  <c r="W22" i="13" s="1"/>
  <c r="Q53" i="9"/>
  <c r="M22" i="8"/>
  <c r="M22" i="23" s="1"/>
  <c r="M74" i="23" s="1"/>
  <c r="M22" i="9"/>
  <c r="O10" i="12"/>
  <c r="O10" i="13"/>
  <c r="V16" i="12"/>
  <c r="V16" i="13"/>
  <c r="M47" i="8"/>
  <c r="M47" i="9"/>
  <c r="AA14" i="11"/>
  <c r="Z14" i="12"/>
  <c r="AA14" i="12" s="1"/>
  <c r="Z14" i="13"/>
  <c r="AA14" i="13" s="1"/>
  <c r="V40" i="8"/>
  <c r="V40" i="9"/>
  <c r="F35" i="5"/>
  <c r="L47" i="12"/>
  <c r="L47" i="13"/>
  <c r="L47" i="11"/>
  <c r="L47" i="10"/>
  <c r="L53" i="9"/>
  <c r="O32" i="8"/>
  <c r="O32" i="23" s="1"/>
  <c r="O84" i="23" s="1"/>
  <c r="M23" i="8"/>
  <c r="M23" i="9"/>
  <c r="W29" i="11"/>
  <c r="T29" i="12"/>
  <c r="W29" i="12" s="1"/>
  <c r="T29" i="13"/>
  <c r="T36" i="12"/>
  <c r="W36" i="11"/>
  <c r="T36" i="13"/>
  <c r="T34" i="12"/>
  <c r="W34" i="12" s="1"/>
  <c r="W34" i="11"/>
  <c r="T34" i="13"/>
  <c r="W21" i="11"/>
  <c r="T21" i="12"/>
  <c r="W21" i="12" s="1"/>
  <c r="T21" i="13"/>
  <c r="W7" i="11"/>
  <c r="T7" i="12"/>
  <c r="T7" i="13"/>
  <c r="O40" i="8"/>
  <c r="O40" i="23" s="1"/>
  <c r="O92" i="23" s="1"/>
  <c r="AC44" i="8"/>
  <c r="M44" i="12"/>
  <c r="P40" i="12"/>
  <c r="P40" i="24" s="1"/>
  <c r="P83" i="24" s="1"/>
  <c r="P40" i="13"/>
  <c r="P12" i="12"/>
  <c r="P12" i="13"/>
  <c r="P37" i="12"/>
  <c r="P37" i="13"/>
  <c r="P5" i="12"/>
  <c r="P44" i="11"/>
  <c r="P5" i="13"/>
  <c r="M9" i="8"/>
  <c r="M9" i="9"/>
  <c r="AC47" i="8"/>
  <c r="AH5" i="8"/>
  <c r="AD5" i="23" s="1"/>
  <c r="AD57" i="23" s="1"/>
  <c r="AH24" i="8"/>
  <c r="AD24" i="23" s="1"/>
  <c r="AD76" i="23" s="1"/>
  <c r="Q25" i="8"/>
  <c r="Q25" i="23" s="1"/>
  <c r="Q77" i="23" s="1"/>
  <c r="O14" i="8"/>
  <c r="O14" i="23" s="1"/>
  <c r="O66" i="23" s="1"/>
  <c r="O33" i="8"/>
  <c r="O33" i="23" s="1"/>
  <c r="O85" i="23" s="1"/>
  <c r="O41" i="12"/>
  <c r="O41" i="13"/>
  <c r="O27" i="12"/>
  <c r="O27" i="13"/>
  <c r="O18" i="12"/>
  <c r="O18" i="24" s="1"/>
  <c r="O61" i="24" s="1"/>
  <c r="O18" i="13"/>
  <c r="O8" i="12"/>
  <c r="O8" i="13"/>
  <c r="V14" i="12"/>
  <c r="V14" i="13"/>
  <c r="V25" i="12"/>
  <c r="V25" i="13"/>
  <c r="V27" i="12"/>
  <c r="T27" i="24" s="1"/>
  <c r="T70" i="24" s="1"/>
  <c r="V27" i="13"/>
  <c r="V23" i="12"/>
  <c r="V23" i="13"/>
  <c r="M45" i="8"/>
  <c r="M45" i="9"/>
  <c r="AC32" i="8"/>
  <c r="U23" i="8"/>
  <c r="T23" i="23" s="1"/>
  <c r="T75" i="23" s="1"/>
  <c r="AH26" i="8"/>
  <c r="AD26" i="23" s="1"/>
  <c r="AD78" i="23" s="1"/>
  <c r="Q13" i="8"/>
  <c r="Q13" i="23" s="1"/>
  <c r="Q65" i="23" s="1"/>
  <c r="AI35" i="8"/>
  <c r="AE35" i="23" s="1"/>
  <c r="AE87" i="23" s="1"/>
  <c r="AI27" i="8"/>
  <c r="AE27" i="23" s="1"/>
  <c r="AE79" i="23" s="1"/>
  <c r="AI45" i="8"/>
  <c r="AE45" i="23" s="1"/>
  <c r="AE97" i="23" s="1"/>
  <c r="AI51" i="8"/>
  <c r="AE51" i="23" s="1"/>
  <c r="AE103" i="23" s="1"/>
  <c r="U20" i="8"/>
  <c r="T20" i="23" s="1"/>
  <c r="T72" i="23" s="1"/>
  <c r="X22" i="8"/>
  <c r="W22" i="23" s="1"/>
  <c r="W74" i="23" s="1"/>
  <c r="Q28" i="8"/>
  <c r="Q28" i="23" s="1"/>
  <c r="Q80" i="23" s="1"/>
  <c r="Q30" i="8"/>
  <c r="Q30" i="23" s="1"/>
  <c r="Q82" i="23" s="1"/>
  <c r="L47" i="8"/>
  <c r="L47" i="23" s="1"/>
  <c r="L99" i="23" s="1"/>
  <c r="O8" i="8"/>
  <c r="O8" i="23" s="1"/>
  <c r="O60" i="23" s="1"/>
  <c r="O26" i="8"/>
  <c r="O26" i="23" s="1"/>
  <c r="O78" i="23" s="1"/>
  <c r="AI19" i="8"/>
  <c r="AE19" i="23" s="1"/>
  <c r="AE71" i="23" s="1"/>
  <c r="AI39" i="8"/>
  <c r="AE39" i="23" s="1"/>
  <c r="AE91" i="23" s="1"/>
  <c r="AD6" i="9"/>
  <c r="AD53" i="9" s="1"/>
  <c r="AC53" i="9"/>
  <c r="Q8" i="8"/>
  <c r="Q8" i="23" s="1"/>
  <c r="Q60" i="23" s="1"/>
  <c r="Q47" i="8"/>
  <c r="Q47" i="23" s="1"/>
  <c r="Q99" i="23" s="1"/>
  <c r="L40" i="8"/>
  <c r="L40" i="23" s="1"/>
  <c r="L92" i="23" s="1"/>
  <c r="O12" i="8"/>
  <c r="O12" i="23" s="1"/>
  <c r="O64" i="23" s="1"/>
  <c r="AA36" i="11"/>
  <c r="Z36" i="12"/>
  <c r="AA36" i="12" s="1"/>
  <c r="Z36" i="13"/>
  <c r="AA36" i="13" s="1"/>
  <c r="AA41" i="11"/>
  <c r="Z41" i="12"/>
  <c r="AA41" i="12" s="1"/>
  <c r="Z41" i="13"/>
  <c r="AA41" i="13" s="1"/>
  <c r="AA22" i="11"/>
  <c r="Z22" i="12"/>
  <c r="AA22" i="12" s="1"/>
  <c r="Z22" i="13"/>
  <c r="AA22" i="13" s="1"/>
  <c r="AA15" i="11"/>
  <c r="Z15" i="12"/>
  <c r="AA15" i="12" s="1"/>
  <c r="Z15" i="13"/>
  <c r="AA15" i="13" s="1"/>
  <c r="AA16" i="11"/>
  <c r="Z16" i="12"/>
  <c r="AA16" i="12" s="1"/>
  <c r="Z16" i="13"/>
  <c r="AA16" i="13" s="1"/>
  <c r="AH32" i="8"/>
  <c r="AD32" i="23" s="1"/>
  <c r="AD84" i="23" s="1"/>
  <c r="L13" i="8"/>
  <c r="L13" i="23" s="1"/>
  <c r="L65" i="23" s="1"/>
  <c r="M46" i="8"/>
  <c r="M46" i="9"/>
  <c r="X40" i="8"/>
  <c r="W40" i="23" s="1"/>
  <c r="W92" i="23" s="1"/>
  <c r="L14" i="8"/>
  <c r="L14" i="23" s="1"/>
  <c r="L66" i="23" s="1"/>
  <c r="O49" i="8"/>
  <c r="O49" i="23" s="1"/>
  <c r="O101" i="23" s="1"/>
  <c r="M14" i="8"/>
  <c r="M14" i="23" s="1"/>
  <c r="M66" i="23" s="1"/>
  <c r="M14" i="9"/>
  <c r="U28" i="12"/>
  <c r="U28" i="13"/>
  <c r="U20" i="12"/>
  <c r="U20" i="13"/>
  <c r="U30" i="12"/>
  <c r="U30" i="13"/>
  <c r="U19" i="12"/>
  <c r="S19" i="24" s="1"/>
  <c r="S62" i="24" s="1"/>
  <c r="U19" i="13"/>
  <c r="U16" i="12"/>
  <c r="U16" i="13"/>
  <c r="V6" i="8"/>
  <c r="V6" i="9"/>
  <c r="V26" i="8"/>
  <c r="V26" i="9"/>
  <c r="V49" i="8"/>
  <c r="U49" i="23" s="1"/>
  <c r="U101" i="23" s="1"/>
  <c r="V49" i="9"/>
  <c r="V36" i="8"/>
  <c r="V36" i="9"/>
  <c r="V41" i="8"/>
  <c r="V41" i="9"/>
  <c r="E10" i="5"/>
  <c r="N57" i="6"/>
  <c r="F10" i="5"/>
  <c r="F47" i="5" s="1"/>
  <c r="N58" i="6"/>
  <c r="D47" i="5"/>
  <c r="D29" i="5"/>
  <c r="M11" i="23" l="1"/>
  <c r="M63" i="23" s="1"/>
  <c r="S26" i="24"/>
  <c r="S69" i="24" s="1"/>
  <c r="R6" i="24"/>
  <c r="R49" i="24" s="1"/>
  <c r="U26" i="23"/>
  <c r="U78" i="23" s="1"/>
  <c r="S30" i="24"/>
  <c r="S73" i="24" s="1"/>
  <c r="G9" i="25"/>
  <c r="G15" i="25" s="1"/>
  <c r="P5" i="24"/>
  <c r="P48" i="24" s="1"/>
  <c r="M47" i="23"/>
  <c r="M99" i="23" s="1"/>
  <c r="T10" i="24"/>
  <c r="T53" i="24" s="1"/>
  <c r="T15" i="24"/>
  <c r="T58" i="24" s="1"/>
  <c r="O42" i="24"/>
  <c r="O85" i="24" s="1"/>
  <c r="P25" i="24"/>
  <c r="P68" i="24" s="1"/>
  <c r="R14" i="24"/>
  <c r="R57" i="24" s="1"/>
  <c r="N44" i="13"/>
  <c r="U28" i="23"/>
  <c r="U80" i="23" s="1"/>
  <c r="W41" i="12"/>
  <c r="T33" i="24"/>
  <c r="T76" i="24" s="1"/>
  <c r="O23" i="24"/>
  <c r="O66" i="24" s="1"/>
  <c r="S44" i="12"/>
  <c r="P21" i="24"/>
  <c r="P64" i="24" s="1"/>
  <c r="M51" i="23"/>
  <c r="M103" i="23" s="1"/>
  <c r="U24" i="23"/>
  <c r="U76" i="23" s="1"/>
  <c r="S7" i="24"/>
  <c r="S50" i="24" s="1"/>
  <c r="S13" i="24"/>
  <c r="S56" i="24" s="1"/>
  <c r="T34" i="24"/>
  <c r="T77" i="24" s="1"/>
  <c r="O31" i="24"/>
  <c r="O74" i="24" s="1"/>
  <c r="M25" i="23"/>
  <c r="M77" i="23" s="1"/>
  <c r="P6" i="24"/>
  <c r="P49" i="24" s="1"/>
  <c r="P28" i="24"/>
  <c r="P71" i="24" s="1"/>
  <c r="M8" i="23"/>
  <c r="M60" i="23" s="1"/>
  <c r="S42" i="24"/>
  <c r="S85" i="24" s="1"/>
  <c r="T31" i="24"/>
  <c r="T74" i="24" s="1"/>
  <c r="O16" i="24"/>
  <c r="O59" i="24" s="1"/>
  <c r="O15" i="24"/>
  <c r="O58" i="24" s="1"/>
  <c r="R20" i="24"/>
  <c r="R63" i="24" s="1"/>
  <c r="S14" i="24"/>
  <c r="S57" i="24" s="1"/>
  <c r="T41" i="24"/>
  <c r="T84" i="24" s="1"/>
  <c r="P7" i="24"/>
  <c r="P50" i="24" s="1"/>
  <c r="F9" i="26" s="1"/>
  <c r="P19" i="24"/>
  <c r="P62" i="24" s="1"/>
  <c r="S18" i="24"/>
  <c r="S61" i="24" s="1"/>
  <c r="O14" i="24"/>
  <c r="O57" i="24" s="1"/>
  <c r="W18" i="12"/>
  <c r="T13" i="24"/>
  <c r="T56" i="24" s="1"/>
  <c r="O11" i="24"/>
  <c r="O54" i="24" s="1"/>
  <c r="O19" i="24"/>
  <c r="O62" i="24" s="1"/>
  <c r="P9" i="24"/>
  <c r="P52" i="24" s="1"/>
  <c r="M18" i="23"/>
  <c r="M70" i="23" s="1"/>
  <c r="R11" i="24"/>
  <c r="R54" i="24" s="1"/>
  <c r="M19" i="23"/>
  <c r="M71" i="23" s="1"/>
  <c r="U44" i="23"/>
  <c r="U96" i="23" s="1"/>
  <c r="M44" i="23"/>
  <c r="M96" i="23" s="1"/>
  <c r="U35" i="23"/>
  <c r="U87" i="23" s="1"/>
  <c r="S12" i="24"/>
  <c r="S55" i="24" s="1"/>
  <c r="W8" i="12"/>
  <c r="T28" i="24"/>
  <c r="T71" i="24" s="1"/>
  <c r="O40" i="24"/>
  <c r="O83" i="24" s="1"/>
  <c r="P29" i="24"/>
  <c r="P72" i="24" s="1"/>
  <c r="U31" i="23"/>
  <c r="U83" i="23" s="1"/>
  <c r="S29" i="24"/>
  <c r="S72" i="24" s="1"/>
  <c r="M31" i="23"/>
  <c r="M83" i="23" s="1"/>
  <c r="T6" i="24"/>
  <c r="T49" i="24" s="1"/>
  <c r="T21" i="24"/>
  <c r="T64" i="24" s="1"/>
  <c r="O36" i="24"/>
  <c r="O79" i="24" s="1"/>
  <c r="M33" i="23"/>
  <c r="M85" i="23" s="1"/>
  <c r="P42" i="24"/>
  <c r="P85" i="24" s="1"/>
  <c r="M38" i="23"/>
  <c r="M90" i="23" s="1"/>
  <c r="S32" i="24"/>
  <c r="S75" i="24" s="1"/>
  <c r="T29" i="24"/>
  <c r="T72" i="24" s="1"/>
  <c r="O35" i="24"/>
  <c r="O78" i="24" s="1"/>
  <c r="R10" i="24"/>
  <c r="R53" i="24" s="1"/>
  <c r="T38" i="24"/>
  <c r="T81" i="24" s="1"/>
  <c r="T32" i="24"/>
  <c r="T75" i="24" s="1"/>
  <c r="P39" i="24"/>
  <c r="P82" i="24" s="1"/>
  <c r="P11" i="24"/>
  <c r="P54" i="24" s="1"/>
  <c r="P14" i="24"/>
  <c r="P57" i="24" s="1"/>
  <c r="F29" i="5"/>
  <c r="S20" i="24"/>
  <c r="S63" i="24" s="1"/>
  <c r="T16" i="24"/>
  <c r="T59" i="24" s="1"/>
  <c r="O27" i="24"/>
  <c r="O70" i="24" s="1"/>
  <c r="U39" i="23"/>
  <c r="U91" i="23" s="1"/>
  <c r="R12" i="24"/>
  <c r="R55" i="24" s="1"/>
  <c r="M43" i="23"/>
  <c r="M95" i="23" s="1"/>
  <c r="R5" i="24"/>
  <c r="R48" i="24" s="1"/>
  <c r="W38" i="13"/>
  <c r="O37" i="24"/>
  <c r="O80" i="24" s="1"/>
  <c r="M20" i="23"/>
  <c r="M72" i="23" s="1"/>
  <c r="P20" i="24"/>
  <c r="P63" i="24" s="1"/>
  <c r="R39" i="24"/>
  <c r="R82" i="24" s="1"/>
  <c r="S6" i="24"/>
  <c r="S49" i="24" s="1"/>
  <c r="S31" i="24"/>
  <c r="S74" i="24" s="1"/>
  <c r="M42" i="23"/>
  <c r="M94" i="23" s="1"/>
  <c r="T42" i="24"/>
  <c r="T85" i="24" s="1"/>
  <c r="O5" i="24"/>
  <c r="O48" i="24" s="1"/>
  <c r="O17" i="24"/>
  <c r="O60" i="24" s="1"/>
  <c r="M32" i="23"/>
  <c r="M84" i="23" s="1"/>
  <c r="M6" i="23"/>
  <c r="M58" i="23" s="1"/>
  <c r="P34" i="24"/>
  <c r="P77" i="24" s="1"/>
  <c r="S25" i="24"/>
  <c r="S68" i="24" s="1"/>
  <c r="O28" i="24"/>
  <c r="O71" i="24" s="1"/>
  <c r="R8" i="24"/>
  <c r="R51" i="24" s="1"/>
  <c r="C7" i="26"/>
  <c r="C13" i="26" s="1"/>
  <c r="O8" i="24"/>
  <c r="O51" i="24" s="1"/>
  <c r="U48" i="23"/>
  <c r="U100" i="23" s="1"/>
  <c r="M30" i="23"/>
  <c r="M82" i="23" s="1"/>
  <c r="R40" i="24"/>
  <c r="R83" i="24" s="1"/>
  <c r="R31" i="24"/>
  <c r="R74" i="24" s="1"/>
  <c r="U6" i="23"/>
  <c r="U58" i="23" s="1"/>
  <c r="P37" i="24"/>
  <c r="P80" i="24" s="1"/>
  <c r="M23" i="23"/>
  <c r="M75" i="23" s="1"/>
  <c r="M46" i="23"/>
  <c r="M98" i="23" s="1"/>
  <c r="U36" i="23"/>
  <c r="U88" i="23" s="1"/>
  <c r="S28" i="24"/>
  <c r="S71" i="24" s="1"/>
  <c r="P12" i="24"/>
  <c r="P55" i="24" s="1"/>
  <c r="O10" i="24"/>
  <c r="O53" i="24" s="1"/>
  <c r="T12" i="24"/>
  <c r="T55" i="24" s="1"/>
  <c r="O30" i="24"/>
  <c r="O73" i="24" s="1"/>
  <c r="M7" i="23"/>
  <c r="M59" i="23" s="1"/>
  <c r="P33" i="24"/>
  <c r="P76" i="24" s="1"/>
  <c r="M21" i="23"/>
  <c r="M73" i="23" s="1"/>
  <c r="U47" i="23"/>
  <c r="U99" i="23" s="1"/>
  <c r="U8" i="23"/>
  <c r="U60" i="23" s="1"/>
  <c r="S23" i="24"/>
  <c r="S66" i="24" s="1"/>
  <c r="T9" i="24"/>
  <c r="T52" i="24" s="1"/>
  <c r="O12" i="24"/>
  <c r="O55" i="24" s="1"/>
  <c r="P23" i="24"/>
  <c r="P66" i="24" s="1"/>
  <c r="M26" i="23"/>
  <c r="M78" i="23" s="1"/>
  <c r="U43" i="23"/>
  <c r="U95" i="23" s="1"/>
  <c r="U38" i="23"/>
  <c r="U90" i="23" s="1"/>
  <c r="S38" i="24"/>
  <c r="S81" i="24" s="1"/>
  <c r="T22" i="24"/>
  <c r="T65" i="24" s="1"/>
  <c r="M17" i="23"/>
  <c r="M69" i="23" s="1"/>
  <c r="O24" i="24"/>
  <c r="O67" i="24" s="1"/>
  <c r="M39" i="23"/>
  <c r="M91" i="23" s="1"/>
  <c r="R9" i="24"/>
  <c r="R52" i="24" s="1"/>
  <c r="U10" i="23"/>
  <c r="U62" i="23" s="1"/>
  <c r="P41" i="24"/>
  <c r="P84" i="24" s="1"/>
  <c r="M27" i="23"/>
  <c r="M79" i="23" s="1"/>
  <c r="S21" i="24"/>
  <c r="S64" i="24" s="1"/>
  <c r="T20" i="24"/>
  <c r="T63" i="24" s="1"/>
  <c r="O13" i="24"/>
  <c r="O56" i="24" s="1"/>
  <c r="R28" i="24"/>
  <c r="R71" i="24" s="1"/>
  <c r="O21" i="24"/>
  <c r="O64" i="24" s="1"/>
  <c r="T19" i="24"/>
  <c r="T62" i="24" s="1"/>
  <c r="P26" i="24"/>
  <c r="P69" i="24" s="1"/>
  <c r="F7" i="26" s="1"/>
  <c r="F13" i="26" s="1"/>
  <c r="N25" i="24"/>
  <c r="N68" i="24" s="1"/>
  <c r="N12" i="24"/>
  <c r="N55" i="24" s="1"/>
  <c r="AI22" i="8"/>
  <c r="AE22" i="23" s="1"/>
  <c r="AE74" i="23" s="1"/>
  <c r="AI32" i="8"/>
  <c r="AE32" i="23" s="1"/>
  <c r="AE84" i="23" s="1"/>
  <c r="AI17" i="8"/>
  <c r="AE17" i="23" s="1"/>
  <c r="AE69" i="23" s="1"/>
  <c r="AI28" i="8"/>
  <c r="AE28" i="23" s="1"/>
  <c r="AE80" i="23" s="1"/>
  <c r="AI33" i="8"/>
  <c r="AE33" i="23" s="1"/>
  <c r="AE85" i="23" s="1"/>
  <c r="AI20" i="8"/>
  <c r="AE20" i="23" s="1"/>
  <c r="AE72" i="23" s="1"/>
  <c r="U7" i="25" s="1"/>
  <c r="U13" i="25" s="1"/>
  <c r="AI34" i="8"/>
  <c r="AE34" i="23" s="1"/>
  <c r="AE86" i="23" s="1"/>
  <c r="AI10" i="8"/>
  <c r="AE10" i="23" s="1"/>
  <c r="AE62" i="23" s="1"/>
  <c r="AI15" i="8"/>
  <c r="AE15" i="23" s="1"/>
  <c r="AE67" i="23" s="1"/>
  <c r="AI50" i="8"/>
  <c r="AE50" i="23" s="1"/>
  <c r="AE102" i="23" s="1"/>
  <c r="AI18" i="8"/>
  <c r="AE18" i="23" s="1"/>
  <c r="AE70" i="23" s="1"/>
  <c r="AI38" i="8"/>
  <c r="AE38" i="23" s="1"/>
  <c r="AE90" i="23" s="1"/>
  <c r="AI14" i="8"/>
  <c r="AE14" i="23" s="1"/>
  <c r="AE66" i="23" s="1"/>
  <c r="AI41" i="8"/>
  <c r="AE41" i="23" s="1"/>
  <c r="AE93" i="23" s="1"/>
  <c r="AI29" i="8"/>
  <c r="AE29" i="23" s="1"/>
  <c r="AE81" i="23" s="1"/>
  <c r="AI44" i="8"/>
  <c r="AE44" i="23" s="1"/>
  <c r="AE96" i="23" s="1"/>
  <c r="AI9" i="8"/>
  <c r="AE9" i="23" s="1"/>
  <c r="AE61" i="23" s="1"/>
  <c r="AI37" i="8"/>
  <c r="AE37" i="23" s="1"/>
  <c r="AE89" i="23" s="1"/>
  <c r="AI12" i="8"/>
  <c r="AE12" i="23" s="1"/>
  <c r="AE64" i="23" s="1"/>
  <c r="AI42" i="8"/>
  <c r="AE42" i="23" s="1"/>
  <c r="AE94" i="23" s="1"/>
  <c r="AI16" i="8"/>
  <c r="AE16" i="23" s="1"/>
  <c r="AE68" i="23" s="1"/>
  <c r="T23" i="24"/>
  <c r="T66" i="24" s="1"/>
  <c r="U37" i="23"/>
  <c r="U89" i="23" s="1"/>
  <c r="U41" i="23"/>
  <c r="U93" i="23" s="1"/>
  <c r="T25" i="24"/>
  <c r="T68" i="24" s="1"/>
  <c r="R7" i="24"/>
  <c r="R50" i="24" s="1"/>
  <c r="H9" i="26" s="1"/>
  <c r="H14" i="26" s="1"/>
  <c r="U40" i="23"/>
  <c r="U92" i="23" s="1"/>
  <c r="S39" i="24"/>
  <c r="S82" i="24" s="1"/>
  <c r="S16" i="24"/>
  <c r="S59" i="24" s="1"/>
  <c r="M45" i="23"/>
  <c r="M97" i="23" s="1"/>
  <c r="T14" i="24"/>
  <c r="T57" i="24" s="1"/>
  <c r="O41" i="24"/>
  <c r="O84" i="24" s="1"/>
  <c r="M9" i="23"/>
  <c r="M61" i="23" s="1"/>
  <c r="R36" i="24"/>
  <c r="R79" i="24" s="1"/>
  <c r="U51" i="23"/>
  <c r="U103" i="23" s="1"/>
  <c r="U14" i="23"/>
  <c r="U66" i="23" s="1"/>
  <c r="S40" i="24"/>
  <c r="S83" i="24" s="1"/>
  <c r="P35" i="24"/>
  <c r="P78" i="24" s="1"/>
  <c r="T7" i="24"/>
  <c r="T50" i="24" s="1"/>
  <c r="T39" i="24"/>
  <c r="T82" i="24" s="1"/>
  <c r="O32" i="24"/>
  <c r="O75" i="24" s="1"/>
  <c r="R35" i="24"/>
  <c r="R78" i="24" s="1"/>
  <c r="M35" i="8"/>
  <c r="M35" i="23" s="1"/>
  <c r="M87" i="23" s="1"/>
  <c r="O26" i="24"/>
  <c r="O69" i="24" s="1"/>
  <c r="N28" i="24"/>
  <c r="N71" i="24" s="1"/>
  <c r="L7" i="25"/>
  <c r="L13" i="25" s="1"/>
  <c r="E9" i="26"/>
  <c r="L15" i="25"/>
  <c r="L14" i="25"/>
  <c r="H11" i="26"/>
  <c r="E11" i="26"/>
  <c r="H15" i="26"/>
  <c r="E7" i="26"/>
  <c r="E13" i="26" s="1"/>
  <c r="J9" i="26"/>
  <c r="J11" i="26"/>
  <c r="I11" i="26"/>
  <c r="I9" i="26"/>
  <c r="AD15" i="8"/>
  <c r="AA15" i="23"/>
  <c r="AA67" i="23" s="1"/>
  <c r="AD31" i="8"/>
  <c r="AA31" i="23"/>
  <c r="AA83" i="23" s="1"/>
  <c r="AD21" i="8"/>
  <c r="AA21" i="23"/>
  <c r="AA73" i="23" s="1"/>
  <c r="AD10" i="8"/>
  <c r="AA10" i="23"/>
  <c r="AA62" i="23" s="1"/>
  <c r="AD38" i="8"/>
  <c r="AA38" i="23"/>
  <c r="AA90" i="23" s="1"/>
  <c r="AD34" i="8"/>
  <c r="AA34" i="23"/>
  <c r="AA86" i="23" s="1"/>
  <c r="M28" i="8"/>
  <c r="M28" i="23" s="1"/>
  <c r="M80" i="23" s="1"/>
  <c r="AD14" i="8"/>
  <c r="AA14" i="23"/>
  <c r="AA66" i="23" s="1"/>
  <c r="V11" i="24"/>
  <c r="V54" i="24" s="1"/>
  <c r="U9" i="25"/>
  <c r="U11" i="25"/>
  <c r="V27" i="24"/>
  <c r="V70" i="24" s="1"/>
  <c r="V29" i="24"/>
  <c r="V72" i="24" s="1"/>
  <c r="C14" i="26"/>
  <c r="S41" i="24"/>
  <c r="S84" i="24" s="1"/>
  <c r="S17" i="24"/>
  <c r="S60" i="24" s="1"/>
  <c r="AD51" i="8"/>
  <c r="AA51" i="23"/>
  <c r="AA103" i="23" s="1"/>
  <c r="T11" i="25"/>
  <c r="T7" i="25"/>
  <c r="T13" i="25" s="1"/>
  <c r="AD37" i="8"/>
  <c r="AA37" i="23"/>
  <c r="AA89" i="23" s="1"/>
  <c r="AB30" i="7"/>
  <c r="AD17" i="8"/>
  <c r="AA17" i="23"/>
  <c r="AA69" i="23" s="1"/>
  <c r="AD42" i="8"/>
  <c r="AA42" i="23"/>
  <c r="AA94" i="23" s="1"/>
  <c r="AD33" i="8"/>
  <c r="AA33" i="23"/>
  <c r="AA85" i="23" s="1"/>
  <c r="G11" i="25"/>
  <c r="G7" i="25"/>
  <c r="G13" i="25" s="1"/>
  <c r="AD39" i="8"/>
  <c r="AA39" i="23"/>
  <c r="AA91" i="23" s="1"/>
  <c r="AD8" i="8"/>
  <c r="AA8" i="23"/>
  <c r="AA60" i="23" s="1"/>
  <c r="V31" i="24"/>
  <c r="V74" i="24" s="1"/>
  <c r="V13" i="24"/>
  <c r="V56" i="24" s="1"/>
  <c r="G14" i="26"/>
  <c r="L11" i="25"/>
  <c r="V10" i="24"/>
  <c r="V53" i="24" s="1"/>
  <c r="R22" i="24"/>
  <c r="R65" i="24" s="1"/>
  <c r="AD27" i="8"/>
  <c r="AA27" i="23"/>
  <c r="AA79" i="23" s="1"/>
  <c r="AD32" i="8"/>
  <c r="AA32" i="23"/>
  <c r="AA84" i="23" s="1"/>
  <c r="AD47" i="8"/>
  <c r="AA47" i="23"/>
  <c r="AA99" i="23" s="1"/>
  <c r="AC53" i="8"/>
  <c r="AD11" i="8"/>
  <c r="AA11" i="23"/>
  <c r="AA63" i="23" s="1"/>
  <c r="V34" i="8"/>
  <c r="U34" i="23" s="1"/>
  <c r="U86" i="23" s="1"/>
  <c r="AD9" i="8"/>
  <c r="AA9" i="23"/>
  <c r="AA61" i="23" s="1"/>
  <c r="V21" i="24"/>
  <c r="V64" i="24" s="1"/>
  <c r="V26" i="24"/>
  <c r="V69" i="24" s="1"/>
  <c r="V8" i="24"/>
  <c r="V51" i="24" s="1"/>
  <c r="V25" i="24"/>
  <c r="V68" i="24" s="1"/>
  <c r="R34" i="24"/>
  <c r="R77" i="24" s="1"/>
  <c r="AD50" i="8"/>
  <c r="AA50" i="23"/>
  <c r="AA102" i="23" s="1"/>
  <c r="E42" i="5"/>
  <c r="E21" i="5"/>
  <c r="AD13" i="8"/>
  <c r="AA13" i="23"/>
  <c r="AA65" i="23" s="1"/>
  <c r="AB5" i="7"/>
  <c r="AD40" i="8"/>
  <c r="AA40" i="23"/>
  <c r="AA92" i="23" s="1"/>
  <c r="AD24" i="8"/>
  <c r="AA24" i="23"/>
  <c r="AA76" i="23" s="1"/>
  <c r="V17" i="24"/>
  <c r="V60" i="24" s="1"/>
  <c r="V40" i="24"/>
  <c r="V83" i="24" s="1"/>
  <c r="V14" i="24"/>
  <c r="V57" i="24" s="1"/>
  <c r="V16" i="24"/>
  <c r="V59" i="24" s="1"/>
  <c r="V39" i="24"/>
  <c r="V82" i="24" s="1"/>
  <c r="R29" i="24"/>
  <c r="R72" i="24" s="1"/>
  <c r="AD43" i="8"/>
  <c r="AA43" i="23"/>
  <c r="AA95" i="23" s="1"/>
  <c r="AD16" i="8"/>
  <c r="AA16" i="23"/>
  <c r="AA68" i="23" s="1"/>
  <c r="W41" i="13"/>
  <c r="AB15" i="7"/>
  <c r="F9" i="25"/>
  <c r="F7" i="25"/>
  <c r="F13" i="25" s="1"/>
  <c r="F11" i="25"/>
  <c r="V46" i="8"/>
  <c r="U46" i="23" s="1"/>
  <c r="U98" i="23" s="1"/>
  <c r="AD35" i="8"/>
  <c r="AA35" i="23"/>
  <c r="AA87" i="23" s="1"/>
  <c r="AD19" i="8"/>
  <c r="AA19" i="23"/>
  <c r="AA71" i="23" s="1"/>
  <c r="AD6" i="8"/>
  <c r="AA6" i="23"/>
  <c r="AA58" i="23" s="1"/>
  <c r="V28" i="24"/>
  <c r="V71" i="24" s="1"/>
  <c r="V7" i="24"/>
  <c r="V50" i="24" s="1"/>
  <c r="V20" i="24"/>
  <c r="V63" i="24" s="1"/>
  <c r="V35" i="24"/>
  <c r="V78" i="24" s="1"/>
  <c r="S9" i="24"/>
  <c r="S52" i="24" s="1"/>
  <c r="I7" i="26" s="1"/>
  <c r="I13" i="26" s="1"/>
  <c r="V15" i="24"/>
  <c r="V58" i="24" s="1"/>
  <c r="V6" i="24"/>
  <c r="V49" i="24" s="1"/>
  <c r="V38" i="24"/>
  <c r="V81" i="24" s="1"/>
  <c r="T8" i="24"/>
  <c r="T51" i="24" s="1"/>
  <c r="AD22" i="8"/>
  <c r="AA22" i="23"/>
  <c r="AA74" i="23" s="1"/>
  <c r="AD49" i="8"/>
  <c r="AA49" i="23"/>
  <c r="AA101" i="23" s="1"/>
  <c r="AD28" i="8"/>
  <c r="AA28" i="23"/>
  <c r="AA80" i="23" s="1"/>
  <c r="Y19" i="9"/>
  <c r="AB19" i="9" s="1"/>
  <c r="V50" i="8"/>
  <c r="U50" i="23" s="1"/>
  <c r="U102" i="23" s="1"/>
  <c r="V22" i="8"/>
  <c r="U22" i="23" s="1"/>
  <c r="U74" i="23" s="1"/>
  <c r="M9" i="25"/>
  <c r="M11" i="25"/>
  <c r="M7" i="25"/>
  <c r="M13" i="25" s="1"/>
  <c r="M48" i="8"/>
  <c r="M48" i="23" s="1"/>
  <c r="M100" i="23" s="1"/>
  <c r="AD36" i="8"/>
  <c r="AA36" i="23"/>
  <c r="AA88" i="23" s="1"/>
  <c r="AD30" i="8"/>
  <c r="AA30" i="23"/>
  <c r="AA82" i="23" s="1"/>
  <c r="AD12" i="8"/>
  <c r="AA12" i="23"/>
  <c r="AA64" i="23" s="1"/>
  <c r="P14" i="25"/>
  <c r="D9" i="26"/>
  <c r="D7" i="26"/>
  <c r="D13" i="26" s="1"/>
  <c r="D11" i="26"/>
  <c r="V19" i="24"/>
  <c r="V62" i="24" s="1"/>
  <c r="V18" i="24"/>
  <c r="V61" i="24" s="1"/>
  <c r="V24" i="24"/>
  <c r="V67" i="24" s="1"/>
  <c r="V22" i="24"/>
  <c r="V65" i="24" s="1"/>
  <c r="V12" i="24"/>
  <c r="V55" i="24" s="1"/>
  <c r="AD29" i="8"/>
  <c r="AA29" i="23"/>
  <c r="AA81" i="23" s="1"/>
  <c r="AD20" i="8"/>
  <c r="AA20" i="23"/>
  <c r="AA72" i="23" s="1"/>
  <c r="AD48" i="8"/>
  <c r="AA48" i="23"/>
  <c r="AA100" i="23" s="1"/>
  <c r="V11" i="8"/>
  <c r="U11" i="23" s="1"/>
  <c r="U63" i="23" s="1"/>
  <c r="AD46" i="8"/>
  <c r="AA46" i="23"/>
  <c r="AA98" i="23" s="1"/>
  <c r="AD26" i="8"/>
  <c r="AA26" i="23"/>
  <c r="AA78" i="23" s="1"/>
  <c r="AD18" i="8"/>
  <c r="AA18" i="23"/>
  <c r="AA70" i="23" s="1"/>
  <c r="V30" i="8"/>
  <c r="U30" i="23" s="1"/>
  <c r="U82" i="23" s="1"/>
  <c r="AD45" i="8"/>
  <c r="AA45" i="23"/>
  <c r="AA97" i="23" s="1"/>
  <c r="N44" i="12"/>
  <c r="B9" i="25"/>
  <c r="B7" i="25"/>
  <c r="B13" i="25" s="1"/>
  <c r="B11" i="25"/>
  <c r="V33" i="24"/>
  <c r="V76" i="24" s="1"/>
  <c r="V30" i="24"/>
  <c r="V73" i="24" s="1"/>
  <c r="V32" i="24"/>
  <c r="V75" i="24" s="1"/>
  <c r="V41" i="24"/>
  <c r="V84" i="24" s="1"/>
  <c r="V37" i="24"/>
  <c r="V80" i="24" s="1"/>
  <c r="R21" i="24"/>
  <c r="R64" i="24" s="1"/>
  <c r="R38" i="24"/>
  <c r="R81" i="24" s="1"/>
  <c r="AD44" i="8"/>
  <c r="AA44" i="23"/>
  <c r="AA96" i="23" s="1"/>
  <c r="AD25" i="8"/>
  <c r="AA25" i="23"/>
  <c r="AA77" i="23" s="1"/>
  <c r="J9" i="25"/>
  <c r="J7" i="25"/>
  <c r="J13" i="25" s="1"/>
  <c r="J11" i="25"/>
  <c r="AB11" i="7"/>
  <c r="AD23" i="8"/>
  <c r="AA23" i="23"/>
  <c r="AA75" i="23" s="1"/>
  <c r="E9" i="25"/>
  <c r="E11" i="25"/>
  <c r="E7" i="25"/>
  <c r="E13" i="25" s="1"/>
  <c r="V16" i="8"/>
  <c r="U16" i="23" s="1"/>
  <c r="U68" i="23" s="1"/>
  <c r="AD7" i="8"/>
  <c r="AA7" i="23"/>
  <c r="AA59" i="23" s="1"/>
  <c r="T9" i="25"/>
  <c r="AD41" i="8"/>
  <c r="AA41" i="23"/>
  <c r="AA93" i="23" s="1"/>
  <c r="R18" i="24"/>
  <c r="R61" i="24" s="1"/>
  <c r="V9" i="24"/>
  <c r="V52" i="24" s="1"/>
  <c r="V34" i="24"/>
  <c r="V77" i="24" s="1"/>
  <c r="V23" i="24"/>
  <c r="V66" i="24" s="1"/>
  <c r="V36" i="24"/>
  <c r="V79" i="24" s="1"/>
  <c r="V42" i="24"/>
  <c r="V85" i="24" s="1"/>
  <c r="W19" i="13"/>
  <c r="W40" i="13"/>
  <c r="W21" i="13"/>
  <c r="W36" i="12"/>
  <c r="W26" i="13"/>
  <c r="W44" i="11"/>
  <c r="W53" i="8"/>
  <c r="L53" i="8"/>
  <c r="W13" i="13"/>
  <c r="W42" i="13"/>
  <c r="P44" i="13"/>
  <c r="W40" i="12"/>
  <c r="Q53" i="8"/>
  <c r="W7" i="13"/>
  <c r="W29" i="13"/>
  <c r="W19" i="12"/>
  <c r="Y48" i="9"/>
  <c r="AB48" i="9" s="1"/>
  <c r="AB48" i="7"/>
  <c r="Y22" i="9"/>
  <c r="AB22" i="9" s="1"/>
  <c r="AB22" i="7"/>
  <c r="Y49" i="9"/>
  <c r="AB49" i="9" s="1"/>
  <c r="AB49" i="7"/>
  <c r="Y24" i="9"/>
  <c r="AB24" i="9" s="1"/>
  <c r="AB24" i="7"/>
  <c r="Y17" i="9"/>
  <c r="AB17" i="9" s="1"/>
  <c r="AB17" i="7"/>
  <c r="Y14" i="9"/>
  <c r="AB14" i="9" s="1"/>
  <c r="AB14" i="7"/>
  <c r="W30" i="12"/>
  <c r="W25" i="13"/>
  <c r="W24" i="13"/>
  <c r="W28" i="12"/>
  <c r="V42" i="8"/>
  <c r="U42" i="23" s="1"/>
  <c r="U94" i="23" s="1"/>
  <c r="V18" i="8"/>
  <c r="U18" i="23" s="1"/>
  <c r="U70" i="23" s="1"/>
  <c r="W33" i="12"/>
  <c r="AA44" i="11"/>
  <c r="V44" i="12"/>
  <c r="Y26" i="9"/>
  <c r="AB26" i="9" s="1"/>
  <c r="AB26" i="7"/>
  <c r="T58" i="6"/>
  <c r="T56" i="9"/>
  <c r="T56" i="8"/>
  <c r="T56" i="7"/>
  <c r="P44" i="12"/>
  <c r="W13" i="12"/>
  <c r="Y46" i="9"/>
  <c r="AB46" i="9" s="1"/>
  <c r="AB46" i="7"/>
  <c r="Y39" i="9"/>
  <c r="AB39" i="9" s="1"/>
  <c r="AB39" i="7"/>
  <c r="Y23" i="9"/>
  <c r="AB23" i="9" s="1"/>
  <c r="AB23" i="7"/>
  <c r="Y30" i="9"/>
  <c r="AB30" i="9" s="1"/>
  <c r="Y13" i="9"/>
  <c r="AB13" i="9" s="1"/>
  <c r="AB13" i="7"/>
  <c r="Y18" i="9"/>
  <c r="AB18" i="9" s="1"/>
  <c r="AB18" i="7"/>
  <c r="W39" i="13"/>
  <c r="U44" i="12"/>
  <c r="W42" i="12"/>
  <c r="S39" i="8"/>
  <c r="S41" i="8"/>
  <c r="S40" i="8"/>
  <c r="S50" i="8"/>
  <c r="S38" i="8"/>
  <c r="S51" i="8"/>
  <c r="S43" i="8"/>
  <c r="S47" i="8"/>
  <c r="S33" i="8"/>
  <c r="S46" i="8"/>
  <c r="S28" i="8"/>
  <c r="S36" i="8"/>
  <c r="S37" i="8"/>
  <c r="S16" i="8"/>
  <c r="S11" i="8"/>
  <c r="S15" i="8"/>
  <c r="S29" i="8"/>
  <c r="S7" i="8"/>
  <c r="S8" i="8"/>
  <c r="S9" i="8"/>
  <c r="S44" i="8"/>
  <c r="S17" i="8"/>
  <c r="S30" i="8"/>
  <c r="S20" i="8"/>
  <c r="S25" i="8"/>
  <c r="S48" i="8"/>
  <c r="S31" i="8"/>
  <c r="S21" i="8"/>
  <c r="S35" i="8"/>
  <c r="S18" i="8"/>
  <c r="S5" i="8"/>
  <c r="S10" i="8"/>
  <c r="S34" i="8"/>
  <c r="S45" i="8"/>
  <c r="S13" i="8"/>
  <c r="S32" i="8"/>
  <c r="S24" i="8"/>
  <c r="S27" i="8"/>
  <c r="S49" i="8"/>
  <c r="S6" i="8"/>
  <c r="S19" i="8"/>
  <c r="S14" i="8"/>
  <c r="S12" i="8"/>
  <c r="S22" i="8"/>
  <c r="S42" i="8"/>
  <c r="S26" i="8"/>
  <c r="S23" i="8"/>
  <c r="W37" i="13"/>
  <c r="W32" i="13"/>
  <c r="Y16" i="9"/>
  <c r="AB16" i="9" s="1"/>
  <c r="AB16" i="7"/>
  <c r="AA5" i="12"/>
  <c r="AA44" i="12" s="1"/>
  <c r="Z44" i="12"/>
  <c r="AH53" i="8"/>
  <c r="W34" i="13"/>
  <c r="W14" i="13"/>
  <c r="W26" i="12"/>
  <c r="Y40" i="9"/>
  <c r="AB40" i="9" s="1"/>
  <c r="Y32" i="9"/>
  <c r="AB32" i="9" s="1"/>
  <c r="AB32" i="7"/>
  <c r="Y43" i="9"/>
  <c r="AB43" i="9" s="1"/>
  <c r="AB43" i="7"/>
  <c r="Y45" i="9"/>
  <c r="AB45" i="9" s="1"/>
  <c r="AB45" i="7"/>
  <c r="Y20" i="9"/>
  <c r="AB20" i="9" s="1"/>
  <c r="AB20" i="7"/>
  <c r="Y7" i="9"/>
  <c r="AB7" i="9" s="1"/>
  <c r="AB7" i="7"/>
  <c r="AB45" i="13"/>
  <c r="AB45" i="12"/>
  <c r="X49" i="12" s="1"/>
  <c r="AB45" i="11"/>
  <c r="AB45" i="10"/>
  <c r="O44" i="13"/>
  <c r="V23" i="8"/>
  <c r="U23" i="23" s="1"/>
  <c r="U75" i="23" s="1"/>
  <c r="R50" i="8"/>
  <c r="R50" i="23" s="1"/>
  <c r="R102" i="23" s="1"/>
  <c r="R43" i="8"/>
  <c r="R43" i="23" s="1"/>
  <c r="R95" i="23" s="1"/>
  <c r="R40" i="8"/>
  <c r="R40" i="23" s="1"/>
  <c r="R92" i="23" s="1"/>
  <c r="R38" i="8"/>
  <c r="R38" i="23" s="1"/>
  <c r="R90" i="23" s="1"/>
  <c r="R33" i="8"/>
  <c r="R33" i="23" s="1"/>
  <c r="R85" i="23" s="1"/>
  <c r="R47" i="8"/>
  <c r="R47" i="23" s="1"/>
  <c r="R99" i="23" s="1"/>
  <c r="R51" i="8"/>
  <c r="R51" i="23" s="1"/>
  <c r="R103" i="23" s="1"/>
  <c r="R39" i="8"/>
  <c r="R39" i="23" s="1"/>
  <c r="R91" i="23" s="1"/>
  <c r="R41" i="8"/>
  <c r="R41" i="23" s="1"/>
  <c r="R93" i="23" s="1"/>
  <c r="R46" i="8"/>
  <c r="R46" i="23" s="1"/>
  <c r="R98" i="23" s="1"/>
  <c r="R45" i="8"/>
  <c r="R45" i="23" s="1"/>
  <c r="R97" i="23" s="1"/>
  <c r="R17" i="8"/>
  <c r="R17" i="23" s="1"/>
  <c r="R69" i="23" s="1"/>
  <c r="R30" i="8"/>
  <c r="R30" i="23" s="1"/>
  <c r="R82" i="23" s="1"/>
  <c r="R20" i="8"/>
  <c r="R20" i="23" s="1"/>
  <c r="R72" i="23" s="1"/>
  <c r="R18" i="8"/>
  <c r="R18" i="23" s="1"/>
  <c r="R70" i="23" s="1"/>
  <c r="R25" i="8"/>
  <c r="R25" i="23" s="1"/>
  <c r="R77" i="23" s="1"/>
  <c r="R13" i="8"/>
  <c r="R13" i="23" s="1"/>
  <c r="R65" i="23" s="1"/>
  <c r="R48" i="8"/>
  <c r="R48" i="23" s="1"/>
  <c r="R100" i="23" s="1"/>
  <c r="R37" i="8"/>
  <c r="R37" i="23" s="1"/>
  <c r="R89" i="23" s="1"/>
  <c r="R16" i="8"/>
  <c r="R16" i="23" s="1"/>
  <c r="R68" i="23" s="1"/>
  <c r="R11" i="8"/>
  <c r="R11" i="23" s="1"/>
  <c r="R63" i="23" s="1"/>
  <c r="R15" i="8"/>
  <c r="R15" i="23" s="1"/>
  <c r="R67" i="23" s="1"/>
  <c r="R29" i="8"/>
  <c r="R7" i="8"/>
  <c r="R7" i="23" s="1"/>
  <c r="R59" i="23" s="1"/>
  <c r="R5" i="8"/>
  <c r="R5" i="23" s="1"/>
  <c r="R57" i="23" s="1"/>
  <c r="R8" i="8"/>
  <c r="R8" i="23" s="1"/>
  <c r="R60" i="23" s="1"/>
  <c r="R9" i="8"/>
  <c r="R9" i="23" s="1"/>
  <c r="R61" i="23" s="1"/>
  <c r="R44" i="8"/>
  <c r="R44" i="23" s="1"/>
  <c r="R96" i="23" s="1"/>
  <c r="R31" i="8"/>
  <c r="R31" i="23" s="1"/>
  <c r="R83" i="23" s="1"/>
  <c r="R21" i="8"/>
  <c r="R35" i="8"/>
  <c r="R35" i="23" s="1"/>
  <c r="R87" i="23" s="1"/>
  <c r="R28" i="8"/>
  <c r="R10" i="8"/>
  <c r="R10" i="23" s="1"/>
  <c r="R62" i="23" s="1"/>
  <c r="R12" i="8"/>
  <c r="R12" i="23" s="1"/>
  <c r="R64" i="23" s="1"/>
  <c r="R22" i="8"/>
  <c r="R34" i="8"/>
  <c r="R34" i="23" s="1"/>
  <c r="R86" i="23" s="1"/>
  <c r="R32" i="8"/>
  <c r="R32" i="23" s="1"/>
  <c r="R84" i="23" s="1"/>
  <c r="R24" i="8"/>
  <c r="R27" i="8"/>
  <c r="R49" i="8"/>
  <c r="R49" i="23" s="1"/>
  <c r="R101" i="23" s="1"/>
  <c r="R6" i="8"/>
  <c r="R6" i="23" s="1"/>
  <c r="R58" i="23" s="1"/>
  <c r="R26" i="8"/>
  <c r="R19" i="8"/>
  <c r="R19" i="23" s="1"/>
  <c r="R71" i="23" s="1"/>
  <c r="R14" i="8"/>
  <c r="R14" i="23" s="1"/>
  <c r="R66" i="23" s="1"/>
  <c r="R23" i="8"/>
  <c r="R42" i="8"/>
  <c r="R42" i="23" s="1"/>
  <c r="R94" i="23" s="1"/>
  <c r="R36" i="8"/>
  <c r="R36" i="23" s="1"/>
  <c r="R88" i="23" s="1"/>
  <c r="V17" i="8"/>
  <c r="U17" i="23" s="1"/>
  <c r="U69" i="23" s="1"/>
  <c r="V45" i="8"/>
  <c r="U45" i="23" s="1"/>
  <c r="U97" i="23" s="1"/>
  <c r="Y21" i="9"/>
  <c r="AB21" i="9" s="1"/>
  <c r="AB21" i="7"/>
  <c r="Y34" i="9"/>
  <c r="AB34" i="9" s="1"/>
  <c r="AB34" i="7"/>
  <c r="T57" i="6"/>
  <c r="T55" i="9"/>
  <c r="T55" i="8"/>
  <c r="T55" i="7"/>
  <c r="W14" i="12"/>
  <c r="W15" i="13"/>
  <c r="Y44" i="9"/>
  <c r="AB44" i="9" s="1"/>
  <c r="Y31" i="9"/>
  <c r="AB31" i="9" s="1"/>
  <c r="Y41" i="9"/>
  <c r="AB41" i="9" s="1"/>
  <c r="AB41" i="7"/>
  <c r="Y9" i="9"/>
  <c r="AB9" i="9" s="1"/>
  <c r="AB9" i="7"/>
  <c r="Y53" i="7"/>
  <c r="Y58" i="7" s="1"/>
  <c r="Y46" i="8" s="1"/>
  <c r="AB46" i="8" s="1"/>
  <c r="Y5" i="9"/>
  <c r="Y11" i="9"/>
  <c r="AB11" i="9" s="1"/>
  <c r="W9" i="13"/>
  <c r="W39" i="12"/>
  <c r="P53" i="8"/>
  <c r="W35" i="13"/>
  <c r="W20" i="13"/>
  <c r="W37" i="12"/>
  <c r="M53" i="9"/>
  <c r="W8" i="13"/>
  <c r="AB44" i="7"/>
  <c r="Y10" i="9"/>
  <c r="AB10" i="9" s="1"/>
  <c r="AB10" i="7"/>
  <c r="W15" i="12"/>
  <c r="U53" i="8"/>
  <c r="Y35" i="9"/>
  <c r="AB35" i="9" s="1"/>
  <c r="AB35" i="7"/>
  <c r="Y38" i="9"/>
  <c r="AB38" i="9" s="1"/>
  <c r="AB38" i="7"/>
  <c r="Y36" i="9"/>
  <c r="AB36" i="9" s="1"/>
  <c r="AB36" i="7"/>
  <c r="Y8" i="9"/>
  <c r="AB8" i="9" s="1"/>
  <c r="AB8" i="7"/>
  <c r="Y12" i="9"/>
  <c r="AB12" i="9" s="1"/>
  <c r="AB12" i="7"/>
  <c r="Y15" i="9"/>
  <c r="AB15" i="9" s="1"/>
  <c r="W17" i="13"/>
  <c r="O44" i="12"/>
  <c r="O53" i="8"/>
  <c r="W24" i="12"/>
  <c r="W20" i="12"/>
  <c r="W27" i="13"/>
  <c r="W31" i="13"/>
  <c r="V12" i="8"/>
  <c r="U12" i="23" s="1"/>
  <c r="U64" i="23" s="1"/>
  <c r="W32" i="12"/>
  <c r="AB40" i="7"/>
  <c r="U44" i="13"/>
  <c r="W11" i="13"/>
  <c r="W6" i="13"/>
  <c r="L48" i="11"/>
  <c r="AM58" i="6"/>
  <c r="AM56" i="9"/>
  <c r="AM56" i="8"/>
  <c r="AM56" i="7"/>
  <c r="W7" i="12"/>
  <c r="W36" i="13"/>
  <c r="V44" i="13"/>
  <c r="W11" i="12"/>
  <c r="W12" i="13"/>
  <c r="Q46" i="13"/>
  <c r="Q46" i="12"/>
  <c r="Q46" i="11"/>
  <c r="Q46" i="10"/>
  <c r="W6" i="12"/>
  <c r="T44" i="13"/>
  <c r="W5" i="13"/>
  <c r="Y50" i="9"/>
  <c r="AB50" i="9" s="1"/>
  <c r="AB50" i="7"/>
  <c r="Y51" i="9"/>
  <c r="AB51" i="9" s="1"/>
  <c r="AB51" i="7"/>
  <c r="Y33" i="9"/>
  <c r="AB33" i="9" s="1"/>
  <c r="AB33" i="7"/>
  <c r="Y29" i="9"/>
  <c r="AB29" i="9" s="1"/>
  <c r="AB29" i="7"/>
  <c r="Y25" i="9"/>
  <c r="AB25" i="9" s="1"/>
  <c r="AB25" i="7"/>
  <c r="AB19" i="7"/>
  <c r="W16" i="13"/>
  <c r="W35" i="12"/>
  <c r="W10" i="13"/>
  <c r="V53" i="9"/>
  <c r="M50" i="8"/>
  <c r="M50" i="23" s="1"/>
  <c r="M102" i="23" s="1"/>
  <c r="AA5" i="13"/>
  <c r="AA44" i="13" s="1"/>
  <c r="Z44" i="13"/>
  <c r="M5" i="8"/>
  <c r="M5" i="23" s="1"/>
  <c r="M57" i="23" s="1"/>
  <c r="V15" i="8"/>
  <c r="U15" i="23" s="1"/>
  <c r="U67" i="23" s="1"/>
  <c r="M49" i="8"/>
  <c r="M49" i="23" s="1"/>
  <c r="M101" i="23" s="1"/>
  <c r="AB31" i="7"/>
  <c r="Y27" i="9"/>
  <c r="AB27" i="9" s="1"/>
  <c r="AB27" i="7"/>
  <c r="W23" i="12"/>
  <c r="F46" i="5"/>
  <c r="Q47" i="13"/>
  <c r="Q47" i="12"/>
  <c r="Q47" i="10"/>
  <c r="Q47" i="11"/>
  <c r="AM56" i="6"/>
  <c r="AM54" i="9"/>
  <c r="AM54" i="7"/>
  <c r="AM54" i="8" s="1"/>
  <c r="W16" i="12"/>
  <c r="W12" i="12"/>
  <c r="W5" i="12"/>
  <c r="T44" i="12"/>
  <c r="L49" i="10"/>
  <c r="Y47" i="9"/>
  <c r="AB47" i="9" s="1"/>
  <c r="AB47" i="7"/>
  <c r="Y37" i="9"/>
  <c r="AB37" i="9" s="1"/>
  <c r="AB37" i="7"/>
  <c r="Y42" i="9"/>
  <c r="AB42" i="9" s="1"/>
  <c r="AB42" i="7"/>
  <c r="Y28" i="9"/>
  <c r="AB28" i="9" s="1"/>
  <c r="AB28" i="7"/>
  <c r="Y6" i="9"/>
  <c r="AB6" i="9" s="1"/>
  <c r="AB6" i="7"/>
  <c r="W18" i="13"/>
  <c r="W30" i="13"/>
  <c r="X53" i="8"/>
  <c r="W33" i="13"/>
  <c r="V21" i="8"/>
  <c r="U21" i="23" s="1"/>
  <c r="U73" i="23" s="1"/>
  <c r="V9" i="8"/>
  <c r="U9" i="23" s="1"/>
  <c r="U61" i="23" s="1"/>
  <c r="W10" i="12"/>
  <c r="W28" i="13"/>
  <c r="W27" i="12"/>
  <c r="V5" i="8"/>
  <c r="U5" i="23" s="1"/>
  <c r="U57" i="23" s="1"/>
  <c r="K9" i="25" s="1"/>
  <c r="W31" i="12"/>
  <c r="W25" i="12"/>
  <c r="M12" i="8"/>
  <c r="M12" i="23" s="1"/>
  <c r="M64" i="23" s="1"/>
  <c r="W23" i="13"/>
  <c r="C11" i="25" l="1"/>
  <c r="H7" i="26"/>
  <c r="H13" i="26" s="1"/>
  <c r="G14" i="25"/>
  <c r="F11" i="26"/>
  <c r="AI53" i="8"/>
  <c r="J7" i="26"/>
  <c r="J13" i="26" s="1"/>
  <c r="Q9" i="25"/>
  <c r="Q15" i="25" s="1"/>
  <c r="AD53" i="8"/>
  <c r="L7" i="26"/>
  <c r="L13" i="26" s="1"/>
  <c r="K15" i="25"/>
  <c r="K14" i="25"/>
  <c r="Q7" i="25"/>
  <c r="Q13" i="25" s="1"/>
  <c r="J15" i="26"/>
  <c r="J14" i="26"/>
  <c r="H9" i="25"/>
  <c r="H11" i="25"/>
  <c r="H7" i="25"/>
  <c r="H13" i="25" s="1"/>
  <c r="T14" i="25"/>
  <c r="T15" i="25"/>
  <c r="B14" i="25"/>
  <c r="B15" i="25"/>
  <c r="Q11" i="25"/>
  <c r="M15" i="25"/>
  <c r="M14" i="25"/>
  <c r="F15" i="26"/>
  <c r="F14" i="26"/>
  <c r="J15" i="25"/>
  <c r="J14" i="25"/>
  <c r="I15" i="26"/>
  <c r="I14" i="26"/>
  <c r="F14" i="25"/>
  <c r="F15" i="25"/>
  <c r="L9" i="26"/>
  <c r="C9" i="25"/>
  <c r="U14" i="25"/>
  <c r="U15" i="25"/>
  <c r="L11" i="26"/>
  <c r="K7" i="25"/>
  <c r="K13" i="25" s="1"/>
  <c r="K11" i="25"/>
  <c r="C7" i="25"/>
  <c r="C13" i="25" s="1"/>
  <c r="E14" i="25"/>
  <c r="E15" i="25"/>
  <c r="D15" i="26"/>
  <c r="D14" i="26"/>
  <c r="X46" i="23"/>
  <c r="X98" i="23" s="1"/>
  <c r="E15" i="26"/>
  <c r="E14" i="26"/>
  <c r="Y38" i="8"/>
  <c r="AB47" i="12"/>
  <c r="AB47" i="13"/>
  <c r="AB47" i="11"/>
  <c r="AB47" i="10"/>
  <c r="M53" i="8"/>
  <c r="Y29" i="8"/>
  <c r="Y5" i="8"/>
  <c r="X5" i="23" s="1"/>
  <c r="X57" i="23" s="1"/>
  <c r="Y31" i="8"/>
  <c r="Y21" i="8"/>
  <c r="X21" i="23" s="1"/>
  <c r="X73" i="23" s="1"/>
  <c r="Y32" i="8"/>
  <c r="Y18" i="8"/>
  <c r="Y23" i="8"/>
  <c r="Y22" i="8"/>
  <c r="Y17" i="8"/>
  <c r="Y37" i="8"/>
  <c r="Y50" i="8"/>
  <c r="Y8" i="8"/>
  <c r="Y10" i="8"/>
  <c r="Y20" i="8"/>
  <c r="Y28" i="8"/>
  <c r="Y19" i="8"/>
  <c r="Y35" i="8"/>
  <c r="Y44" i="8"/>
  <c r="R53" i="8"/>
  <c r="S58" i="8" s="1"/>
  <c r="Y45" i="8"/>
  <c r="Y40" i="8"/>
  <c r="Y24" i="8"/>
  <c r="V53" i="8"/>
  <c r="Y33" i="8"/>
  <c r="W44" i="13"/>
  <c r="Y15" i="8"/>
  <c r="Y9" i="8"/>
  <c r="S53" i="8"/>
  <c r="Y13" i="8"/>
  <c r="Y39" i="8"/>
  <c r="Y48" i="8"/>
  <c r="L16" i="11"/>
  <c r="L11" i="11"/>
  <c r="L9" i="11"/>
  <c r="L7" i="11"/>
  <c r="L5" i="11"/>
  <c r="L6" i="11"/>
  <c r="L10" i="11"/>
  <c r="L8" i="11"/>
  <c r="L24" i="11"/>
  <c r="L14" i="11"/>
  <c r="L27" i="11"/>
  <c r="L31" i="11"/>
  <c r="L36" i="11"/>
  <c r="L34" i="11"/>
  <c r="L12" i="11"/>
  <c r="L29" i="11"/>
  <c r="L32" i="11"/>
  <c r="L17" i="11"/>
  <c r="L23" i="11"/>
  <c r="L30" i="11"/>
  <c r="L39" i="11"/>
  <c r="L42" i="11"/>
  <c r="L38" i="11"/>
  <c r="L19" i="11"/>
  <c r="L35" i="11"/>
  <c r="L21" i="11"/>
  <c r="L13" i="11"/>
  <c r="L18" i="11"/>
  <c r="L25" i="11"/>
  <c r="L37" i="11"/>
  <c r="L22" i="11"/>
  <c r="L15" i="11"/>
  <c r="L33" i="11"/>
  <c r="L40" i="11"/>
  <c r="L41" i="11"/>
  <c r="L28" i="11"/>
  <c r="L26" i="11"/>
  <c r="L20" i="11"/>
  <c r="Y27" i="8"/>
  <c r="Y36" i="8"/>
  <c r="Y7" i="8"/>
  <c r="Y14" i="8"/>
  <c r="Y6" i="8"/>
  <c r="Y47" i="8"/>
  <c r="AE55" i="9"/>
  <c r="AE55" i="8"/>
  <c r="AO54" i="8" s="1"/>
  <c r="AE55" i="7"/>
  <c r="Y25" i="8"/>
  <c r="Y11" i="8"/>
  <c r="Y34" i="8"/>
  <c r="Y43" i="8"/>
  <c r="Y16" i="8"/>
  <c r="Y30" i="8"/>
  <c r="Y26" i="8"/>
  <c r="Y49" i="8"/>
  <c r="AB53" i="7"/>
  <c r="Y42" i="8"/>
  <c r="E43" i="5"/>
  <c r="X46" i="13"/>
  <c r="X46" i="12"/>
  <c r="X46" i="11"/>
  <c r="X49" i="11" s="1"/>
  <c r="X46" i="10"/>
  <c r="W44" i="12"/>
  <c r="Y51" i="8"/>
  <c r="Y12" i="8"/>
  <c r="Y53" i="9"/>
  <c r="AB5" i="9"/>
  <c r="AB53" i="9" s="1"/>
  <c r="Y41" i="8"/>
  <c r="E23" i="5"/>
  <c r="E29" i="5" s="1"/>
  <c r="AE57" i="6"/>
  <c r="Q14" i="25" l="1"/>
  <c r="AB5" i="8"/>
  <c r="AB34" i="8"/>
  <c r="X34" i="23"/>
  <c r="X86" i="23" s="1"/>
  <c r="AB14" i="8"/>
  <c r="X14" i="23"/>
  <c r="X66" i="23" s="1"/>
  <c r="AB15" i="8"/>
  <c r="X15" i="23"/>
  <c r="X67" i="23" s="1"/>
  <c r="AB44" i="8"/>
  <c r="X44" i="23"/>
  <c r="X96" i="23" s="1"/>
  <c r="AB37" i="8"/>
  <c r="X37" i="23"/>
  <c r="X89" i="23" s="1"/>
  <c r="AB21" i="8"/>
  <c r="C15" i="25"/>
  <c r="C14" i="25"/>
  <c r="AB11" i="8"/>
  <c r="X11" i="23"/>
  <c r="X63" i="23" s="1"/>
  <c r="AB17" i="8"/>
  <c r="X17" i="23"/>
  <c r="X69" i="23" s="1"/>
  <c r="AB29" i="8"/>
  <c r="X29" i="23"/>
  <c r="X81" i="23" s="1"/>
  <c r="L15" i="26"/>
  <c r="L14" i="26"/>
  <c r="AB19" i="8"/>
  <c r="X19" i="23"/>
  <c r="X71" i="23" s="1"/>
  <c r="H14" i="25"/>
  <c r="H15" i="25"/>
  <c r="E47" i="5"/>
  <c r="AB51" i="8"/>
  <c r="X51" i="23"/>
  <c r="X103" i="23" s="1"/>
  <c r="AB25" i="8"/>
  <c r="X25" i="23"/>
  <c r="X77" i="23" s="1"/>
  <c r="AB33" i="8"/>
  <c r="X33" i="23"/>
  <c r="X85" i="23" s="1"/>
  <c r="AB22" i="8"/>
  <c r="X22" i="23"/>
  <c r="X74" i="23" s="1"/>
  <c r="AB28" i="8"/>
  <c r="X28" i="23"/>
  <c r="X80" i="23" s="1"/>
  <c r="AB23" i="8"/>
  <c r="X23" i="23"/>
  <c r="X75" i="23" s="1"/>
  <c r="AB42" i="8"/>
  <c r="X42" i="23"/>
  <c r="X94" i="23" s="1"/>
  <c r="AB7" i="8"/>
  <c r="X7" i="23"/>
  <c r="X59" i="23" s="1"/>
  <c r="AB35" i="8"/>
  <c r="X35" i="23"/>
  <c r="X87" i="23" s="1"/>
  <c r="AB49" i="8"/>
  <c r="X49" i="23"/>
  <c r="X101" i="23" s="1"/>
  <c r="AB36" i="8"/>
  <c r="X36" i="23"/>
  <c r="X88" i="23" s="1"/>
  <c r="AB48" i="8"/>
  <c r="X48" i="23"/>
  <c r="X100" i="23" s="1"/>
  <c r="AB26" i="8"/>
  <c r="X26" i="23"/>
  <c r="X78" i="23" s="1"/>
  <c r="AB27" i="8"/>
  <c r="X27" i="23"/>
  <c r="X79" i="23" s="1"/>
  <c r="AB39" i="8"/>
  <c r="X39" i="23"/>
  <c r="X91" i="23" s="1"/>
  <c r="AB24" i="8"/>
  <c r="X24" i="23"/>
  <c r="X76" i="23" s="1"/>
  <c r="AB20" i="8"/>
  <c r="X20" i="23"/>
  <c r="X72" i="23" s="1"/>
  <c r="AB18" i="8"/>
  <c r="X18" i="23"/>
  <c r="X70" i="23" s="1"/>
  <c r="AB13" i="8"/>
  <c r="X13" i="23"/>
  <c r="X65" i="23" s="1"/>
  <c r="AB40" i="8"/>
  <c r="X40" i="23"/>
  <c r="X92" i="23" s="1"/>
  <c r="AB10" i="8"/>
  <c r="X10" i="23"/>
  <c r="X62" i="23" s="1"/>
  <c r="AB32" i="8"/>
  <c r="X32" i="23"/>
  <c r="X84" i="23" s="1"/>
  <c r="AB12" i="8"/>
  <c r="X12" i="23"/>
  <c r="X64" i="23" s="1"/>
  <c r="AB30" i="8"/>
  <c r="X30" i="23"/>
  <c r="X82" i="23" s="1"/>
  <c r="AB41" i="8"/>
  <c r="X41" i="23"/>
  <c r="X93" i="23" s="1"/>
  <c r="AB16" i="8"/>
  <c r="X16" i="23"/>
  <c r="X68" i="23" s="1"/>
  <c r="AB47" i="8"/>
  <c r="X47" i="23"/>
  <c r="X99" i="23" s="1"/>
  <c r="AB45" i="8"/>
  <c r="X45" i="23"/>
  <c r="X97" i="23" s="1"/>
  <c r="AB8" i="8"/>
  <c r="X8" i="23"/>
  <c r="X60" i="23" s="1"/>
  <c r="AB43" i="8"/>
  <c r="X43" i="23"/>
  <c r="X95" i="23" s="1"/>
  <c r="AB6" i="8"/>
  <c r="AB53" i="8" s="1"/>
  <c r="X6" i="23"/>
  <c r="X58" i="23" s="1"/>
  <c r="AB9" i="8"/>
  <c r="X9" i="23"/>
  <c r="X61" i="23" s="1"/>
  <c r="AB50" i="8"/>
  <c r="X50" i="23"/>
  <c r="X102" i="23" s="1"/>
  <c r="AB31" i="8"/>
  <c r="X31" i="23"/>
  <c r="X83" i="23" s="1"/>
  <c r="AB38" i="8"/>
  <c r="X38" i="23"/>
  <c r="X90" i="23" s="1"/>
  <c r="Q17" i="11"/>
  <c r="AB17" i="11" s="1"/>
  <c r="L17" i="12"/>
  <c r="Q17" i="12" s="1"/>
  <c r="L17" i="13"/>
  <c r="Q17" i="13" s="1"/>
  <c r="Q11" i="11"/>
  <c r="AB11" i="11" s="1"/>
  <c r="L11" i="12"/>
  <c r="Q11" i="12" s="1"/>
  <c r="L11" i="13"/>
  <c r="Q11" i="13" s="1"/>
  <c r="L33" i="12"/>
  <c r="Q33" i="12" s="1"/>
  <c r="Q33" i="11"/>
  <c r="AB33" i="11" s="1"/>
  <c r="L33" i="13"/>
  <c r="Q33" i="13" s="1"/>
  <c r="Q35" i="11"/>
  <c r="AB35" i="11" s="1"/>
  <c r="L35" i="12"/>
  <c r="Q35" i="12" s="1"/>
  <c r="L35" i="13"/>
  <c r="Q35" i="13" s="1"/>
  <c r="L32" i="12"/>
  <c r="Q32" i="12" s="1"/>
  <c r="Q32" i="11"/>
  <c r="AB32" i="11" s="1"/>
  <c r="L32" i="13"/>
  <c r="Q32" i="13" s="1"/>
  <c r="L24" i="12"/>
  <c r="Q24" i="12" s="1"/>
  <c r="Q24" i="11"/>
  <c r="AB24" i="11" s="1"/>
  <c r="L24" i="13"/>
  <c r="Q24" i="13" s="1"/>
  <c r="L16" i="12"/>
  <c r="Q16" i="12" s="1"/>
  <c r="Q16" i="11"/>
  <c r="AB16" i="11" s="1"/>
  <c r="L16" i="13"/>
  <c r="Q16" i="13" s="1"/>
  <c r="S33" i="9"/>
  <c r="S33" i="23" s="1"/>
  <c r="S85" i="23" s="1"/>
  <c r="S38" i="9"/>
  <c r="S38" i="23" s="1"/>
  <c r="S90" i="23" s="1"/>
  <c r="S40" i="9"/>
  <c r="S40" i="23" s="1"/>
  <c r="S92" i="23" s="1"/>
  <c r="S43" i="9"/>
  <c r="S43" i="23" s="1"/>
  <c r="S95" i="23" s="1"/>
  <c r="S46" i="9"/>
  <c r="S46" i="23" s="1"/>
  <c r="S98" i="23" s="1"/>
  <c r="S39" i="9"/>
  <c r="S39" i="23" s="1"/>
  <c r="S91" i="23" s="1"/>
  <c r="S41" i="9"/>
  <c r="S41" i="23" s="1"/>
  <c r="S93" i="23" s="1"/>
  <c r="S50" i="9"/>
  <c r="S50" i="23" s="1"/>
  <c r="S102" i="23" s="1"/>
  <c r="S51" i="9"/>
  <c r="S51" i="23" s="1"/>
  <c r="S103" i="23" s="1"/>
  <c r="S47" i="9"/>
  <c r="S47" i="23" s="1"/>
  <c r="S99" i="23" s="1"/>
  <c r="S42" i="9"/>
  <c r="S42" i="23" s="1"/>
  <c r="S94" i="23" s="1"/>
  <c r="S14" i="9"/>
  <c r="S14" i="23" s="1"/>
  <c r="S66" i="23" s="1"/>
  <c r="S23" i="9"/>
  <c r="S23" i="23" s="1"/>
  <c r="S75" i="23" s="1"/>
  <c r="S26" i="9"/>
  <c r="S26" i="23" s="1"/>
  <c r="S78" i="23" s="1"/>
  <c r="S36" i="9"/>
  <c r="S36" i="23" s="1"/>
  <c r="S88" i="23" s="1"/>
  <c r="S45" i="9"/>
  <c r="S45" i="23" s="1"/>
  <c r="S97" i="23" s="1"/>
  <c r="S18" i="9"/>
  <c r="S18" i="23" s="1"/>
  <c r="S70" i="23" s="1"/>
  <c r="S13" i="9"/>
  <c r="S13" i="23" s="1"/>
  <c r="S65" i="23" s="1"/>
  <c r="S28" i="9"/>
  <c r="S28" i="23" s="1"/>
  <c r="S80" i="23" s="1"/>
  <c r="S37" i="9"/>
  <c r="S37" i="23" s="1"/>
  <c r="S89" i="23" s="1"/>
  <c r="S17" i="9"/>
  <c r="S17" i="23" s="1"/>
  <c r="S69" i="23" s="1"/>
  <c r="S30" i="9"/>
  <c r="S30" i="23" s="1"/>
  <c r="S82" i="23" s="1"/>
  <c r="S20" i="9"/>
  <c r="S20" i="23" s="1"/>
  <c r="S72" i="23" s="1"/>
  <c r="S11" i="9"/>
  <c r="S11" i="23" s="1"/>
  <c r="S63" i="23" s="1"/>
  <c r="S15" i="9"/>
  <c r="S15" i="23" s="1"/>
  <c r="S67" i="23" s="1"/>
  <c r="S29" i="9"/>
  <c r="S29" i="23" s="1"/>
  <c r="S81" i="23" s="1"/>
  <c r="S7" i="9"/>
  <c r="S7" i="23" s="1"/>
  <c r="S59" i="23" s="1"/>
  <c r="S48" i="9"/>
  <c r="S48" i="23" s="1"/>
  <c r="S100" i="23" s="1"/>
  <c r="S8" i="9"/>
  <c r="S8" i="23" s="1"/>
  <c r="S60" i="23" s="1"/>
  <c r="S9" i="9"/>
  <c r="S9" i="23" s="1"/>
  <c r="S61" i="23" s="1"/>
  <c r="S44" i="9"/>
  <c r="S44" i="23" s="1"/>
  <c r="S96" i="23" s="1"/>
  <c r="S16" i="9"/>
  <c r="S16" i="23" s="1"/>
  <c r="S68" i="23" s="1"/>
  <c r="S25" i="9"/>
  <c r="S25" i="23" s="1"/>
  <c r="S77" i="23" s="1"/>
  <c r="S12" i="9"/>
  <c r="S12" i="23" s="1"/>
  <c r="S64" i="23" s="1"/>
  <c r="S5" i="9"/>
  <c r="S5" i="23" s="1"/>
  <c r="S57" i="23" s="1"/>
  <c r="S21" i="9"/>
  <c r="S21" i="23" s="1"/>
  <c r="S73" i="23" s="1"/>
  <c r="S35" i="9"/>
  <c r="S35" i="23" s="1"/>
  <c r="S87" i="23" s="1"/>
  <c r="S31" i="9"/>
  <c r="S31" i="23" s="1"/>
  <c r="S83" i="23" s="1"/>
  <c r="S34" i="9"/>
  <c r="S34" i="23" s="1"/>
  <c r="S86" i="23" s="1"/>
  <c r="S19" i="9"/>
  <c r="S19" i="23" s="1"/>
  <c r="S71" i="23" s="1"/>
  <c r="S24" i="9"/>
  <c r="S24" i="23" s="1"/>
  <c r="S76" i="23" s="1"/>
  <c r="S10" i="9"/>
  <c r="S10" i="23" s="1"/>
  <c r="S62" i="23" s="1"/>
  <c r="S32" i="9"/>
  <c r="S32" i="23" s="1"/>
  <c r="S84" i="23" s="1"/>
  <c r="S22" i="9"/>
  <c r="S22" i="23" s="1"/>
  <c r="S74" i="23" s="1"/>
  <c r="S27" i="9"/>
  <c r="S27" i="23" s="1"/>
  <c r="S79" i="23" s="1"/>
  <c r="S49" i="9"/>
  <c r="S49" i="23" s="1"/>
  <c r="S101" i="23" s="1"/>
  <c r="S6" i="9"/>
  <c r="S6" i="23" s="1"/>
  <c r="S58" i="23" s="1"/>
  <c r="L40" i="12"/>
  <c r="Q40" i="12" s="1"/>
  <c r="Q40" i="11"/>
  <c r="AB40" i="11" s="1"/>
  <c r="L40" i="13"/>
  <c r="Q40" i="13" s="1"/>
  <c r="Q29" i="11"/>
  <c r="AB29" i="11" s="1"/>
  <c r="L29" i="12"/>
  <c r="Q29" i="12" s="1"/>
  <c r="L29" i="13"/>
  <c r="Q29" i="13" s="1"/>
  <c r="Q8" i="11"/>
  <c r="AB8" i="11" s="1"/>
  <c r="L8" i="12"/>
  <c r="Q8" i="12" s="1"/>
  <c r="L8" i="13"/>
  <c r="Q8" i="13" s="1"/>
  <c r="Q14" i="11"/>
  <c r="AB14" i="11" s="1"/>
  <c r="L14" i="12"/>
  <c r="Q14" i="12" s="1"/>
  <c r="L14" i="13"/>
  <c r="Q14" i="13" s="1"/>
  <c r="Q10" i="11"/>
  <c r="AB10" i="11" s="1"/>
  <c r="L10" i="12"/>
  <c r="Q10" i="12" s="1"/>
  <c r="L10" i="13"/>
  <c r="Q10" i="13" s="1"/>
  <c r="L19" i="12"/>
  <c r="Q19" i="12" s="1"/>
  <c r="Q19" i="11"/>
  <c r="AB19" i="11" s="1"/>
  <c r="L19" i="13"/>
  <c r="Q19" i="13" s="1"/>
  <c r="L22" i="12"/>
  <c r="Q22" i="12" s="1"/>
  <c r="Q22" i="11"/>
  <c r="AB22" i="11" s="1"/>
  <c r="L22" i="13"/>
  <c r="Q22" i="13" s="1"/>
  <c r="Q12" i="11"/>
  <c r="AB12" i="11" s="1"/>
  <c r="L12" i="12"/>
  <c r="Q12" i="12" s="1"/>
  <c r="L12" i="13"/>
  <c r="Q12" i="13" s="1"/>
  <c r="AG57" i="6"/>
  <c r="AG55" i="9"/>
  <c r="AG55" i="8"/>
  <c r="AG55" i="7"/>
  <c r="L20" i="12"/>
  <c r="Q20" i="12" s="1"/>
  <c r="Q20" i="11"/>
  <c r="AB20" i="11" s="1"/>
  <c r="L20" i="13"/>
  <c r="Q20" i="13" s="1"/>
  <c r="L37" i="12"/>
  <c r="Q37" i="12" s="1"/>
  <c r="Q37" i="11"/>
  <c r="AB37" i="11" s="1"/>
  <c r="L37" i="13"/>
  <c r="Q37" i="13" s="1"/>
  <c r="L42" i="12"/>
  <c r="Q42" i="12" s="1"/>
  <c r="Q42" i="11"/>
  <c r="AB42" i="11" s="1"/>
  <c r="L42" i="13"/>
  <c r="Q42" i="13" s="1"/>
  <c r="L34" i="12"/>
  <c r="Q34" i="12" s="1"/>
  <c r="Q34" i="11"/>
  <c r="AB34" i="11" s="1"/>
  <c r="L34" i="13"/>
  <c r="Q34" i="13" s="1"/>
  <c r="Q6" i="11"/>
  <c r="AB6" i="11" s="1"/>
  <c r="L6" i="12"/>
  <c r="Q6" i="12" s="1"/>
  <c r="L6" i="13"/>
  <c r="Q6" i="13" s="1"/>
  <c r="Y53" i="8"/>
  <c r="AM57" i="6"/>
  <c r="AM55" i="9"/>
  <c r="AM55" i="8"/>
  <c r="AM55" i="7"/>
  <c r="L15" i="12"/>
  <c r="Q15" i="12" s="1"/>
  <c r="Q15" i="11"/>
  <c r="AB15" i="11" s="1"/>
  <c r="L15" i="13"/>
  <c r="Q15" i="13" s="1"/>
  <c r="L38" i="12"/>
  <c r="Q38" i="12" s="1"/>
  <c r="Q38" i="11"/>
  <c r="AB38" i="11" s="1"/>
  <c r="L38" i="13"/>
  <c r="Q38" i="13" s="1"/>
  <c r="Q26" i="11"/>
  <c r="AB26" i="11" s="1"/>
  <c r="L26" i="12"/>
  <c r="Q26" i="12" s="1"/>
  <c r="L26" i="13"/>
  <c r="Q26" i="13" s="1"/>
  <c r="L25" i="12"/>
  <c r="Q25" i="12" s="1"/>
  <c r="Q25" i="11"/>
  <c r="AB25" i="11" s="1"/>
  <c r="L25" i="13"/>
  <c r="Q25" i="13" s="1"/>
  <c r="L39" i="12"/>
  <c r="Q39" i="12" s="1"/>
  <c r="Q39" i="11"/>
  <c r="AB39" i="11" s="1"/>
  <c r="L39" i="13"/>
  <c r="Q39" i="13" s="1"/>
  <c r="L36" i="12"/>
  <c r="Q36" i="12" s="1"/>
  <c r="Q36" i="11"/>
  <c r="AB36" i="11" s="1"/>
  <c r="L36" i="13"/>
  <c r="Q36" i="13" s="1"/>
  <c r="Q5" i="11"/>
  <c r="L5" i="12"/>
  <c r="L5" i="13"/>
  <c r="L44" i="11"/>
  <c r="L18" i="12"/>
  <c r="Q18" i="12" s="1"/>
  <c r="Q18" i="11"/>
  <c r="AB18" i="11" s="1"/>
  <c r="L18" i="13"/>
  <c r="Q18" i="13" s="1"/>
  <c r="L31" i="12"/>
  <c r="Q31" i="12" s="1"/>
  <c r="Q31" i="11"/>
  <c r="AB31" i="11" s="1"/>
  <c r="L31" i="13"/>
  <c r="Q31" i="13" s="1"/>
  <c r="L21" i="12"/>
  <c r="Q21" i="12" s="1"/>
  <c r="Q21" i="11"/>
  <c r="AB21" i="11" s="1"/>
  <c r="L21" i="13"/>
  <c r="Q21" i="13" s="1"/>
  <c r="L28" i="12"/>
  <c r="Q28" i="12" s="1"/>
  <c r="Q28" i="11"/>
  <c r="AB28" i="11" s="1"/>
  <c r="L28" i="13"/>
  <c r="Q28" i="13" s="1"/>
  <c r="L30" i="12"/>
  <c r="Q30" i="12" s="1"/>
  <c r="Q30" i="11"/>
  <c r="AB30" i="11" s="1"/>
  <c r="L30" i="13"/>
  <c r="Q30" i="13" s="1"/>
  <c r="Q7" i="11"/>
  <c r="AB7" i="11" s="1"/>
  <c r="L7" i="12"/>
  <c r="Q7" i="12" s="1"/>
  <c r="L7" i="13"/>
  <c r="Q7" i="13" s="1"/>
  <c r="E46" i="5"/>
  <c r="Y46" i="13"/>
  <c r="Y46" i="12"/>
  <c r="Y46" i="11"/>
  <c r="Y46" i="10"/>
  <c r="L41" i="12"/>
  <c r="Q41" i="12" s="1"/>
  <c r="Q41" i="11"/>
  <c r="AB41" i="11" s="1"/>
  <c r="L41" i="13"/>
  <c r="Q41" i="13" s="1"/>
  <c r="Q13" i="11"/>
  <c r="AB13" i="11" s="1"/>
  <c r="L13" i="12"/>
  <c r="Q13" i="12" s="1"/>
  <c r="L13" i="13"/>
  <c r="Q13" i="13" s="1"/>
  <c r="L23" i="12"/>
  <c r="Q23" i="12" s="1"/>
  <c r="Q23" i="11"/>
  <c r="AB23" i="11" s="1"/>
  <c r="L23" i="13"/>
  <c r="Q23" i="13" s="1"/>
  <c r="L27" i="12"/>
  <c r="Q27" i="12" s="1"/>
  <c r="Q27" i="11"/>
  <c r="AB27" i="11" s="1"/>
  <c r="L27" i="13"/>
  <c r="Q27" i="13" s="1"/>
  <c r="Q9" i="11"/>
  <c r="AB9" i="11" s="1"/>
  <c r="L9" i="12"/>
  <c r="Q9" i="12" s="1"/>
  <c r="L9" i="13"/>
  <c r="Q9" i="13" s="1"/>
  <c r="L5" i="24" l="1"/>
  <c r="L48" i="24" s="1"/>
  <c r="N9" i="25"/>
  <c r="N14" i="25" s="1"/>
  <c r="L31" i="24"/>
  <c r="L74" i="24" s="1"/>
  <c r="L38" i="24"/>
  <c r="L81" i="24" s="1"/>
  <c r="L8" i="24"/>
  <c r="L51" i="24" s="1"/>
  <c r="L24" i="24"/>
  <c r="L67" i="24" s="1"/>
  <c r="L13" i="24"/>
  <c r="L56" i="24" s="1"/>
  <c r="L30" i="24"/>
  <c r="L73" i="24" s="1"/>
  <c r="L22" i="24"/>
  <c r="L65" i="24" s="1"/>
  <c r="L29" i="24"/>
  <c r="L72" i="24" s="1"/>
  <c r="L35" i="24"/>
  <c r="L78" i="24" s="1"/>
  <c r="L41" i="24"/>
  <c r="L84" i="24" s="1"/>
  <c r="L18" i="24"/>
  <c r="L61" i="24" s="1"/>
  <c r="L6" i="24"/>
  <c r="L49" i="24" s="1"/>
  <c r="L19" i="24"/>
  <c r="L62" i="24" s="1"/>
  <c r="L14" i="24"/>
  <c r="L57" i="24" s="1"/>
  <c r="L33" i="24"/>
  <c r="L76" i="24" s="1"/>
  <c r="L28" i="24"/>
  <c r="L71" i="24" s="1"/>
  <c r="L34" i="24"/>
  <c r="L77" i="24" s="1"/>
  <c r="L15" i="24"/>
  <c r="L58" i="24" s="1"/>
  <c r="L21" i="24"/>
  <c r="L64" i="24" s="1"/>
  <c r="L42" i="24"/>
  <c r="L85" i="24" s="1"/>
  <c r="L16" i="24"/>
  <c r="L59" i="24" s="1"/>
  <c r="L11" i="24"/>
  <c r="L54" i="24" s="1"/>
  <c r="N11" i="25"/>
  <c r="L36" i="24"/>
  <c r="L79" i="24" s="1"/>
  <c r="L20" i="24"/>
  <c r="L63" i="24" s="1"/>
  <c r="L32" i="24"/>
  <c r="L75" i="24" s="1"/>
  <c r="L17" i="24"/>
  <c r="L60" i="24" s="1"/>
  <c r="N7" i="25"/>
  <c r="N13" i="25" s="1"/>
  <c r="L9" i="24"/>
  <c r="L52" i="24" s="1"/>
  <c r="I9" i="25"/>
  <c r="I11" i="25"/>
  <c r="I7" i="25"/>
  <c r="I13" i="25" s="1"/>
  <c r="L39" i="24"/>
  <c r="L82" i="24" s="1"/>
  <c r="L10" i="24"/>
  <c r="L53" i="24" s="1"/>
  <c r="L40" i="24"/>
  <c r="L83" i="24" s="1"/>
  <c r="L27" i="24"/>
  <c r="L70" i="24" s="1"/>
  <c r="L26" i="24"/>
  <c r="L69" i="24" s="1"/>
  <c r="L7" i="24"/>
  <c r="L50" i="24" s="1"/>
  <c r="L25" i="24"/>
  <c r="L68" i="24" s="1"/>
  <c r="L12" i="24"/>
  <c r="L55" i="24" s="1"/>
  <c r="L23" i="24"/>
  <c r="L66" i="24" s="1"/>
  <c r="L37" i="24"/>
  <c r="L80" i="24" s="1"/>
  <c r="AB5" i="11"/>
  <c r="Q44" i="11"/>
  <c r="X25" i="12"/>
  <c r="Y25" i="12" s="1"/>
  <c r="X25" i="13"/>
  <c r="X31" i="12"/>
  <c r="Y31" i="12" s="1"/>
  <c r="X31" i="13"/>
  <c r="X9" i="12"/>
  <c r="Y9" i="12" s="1"/>
  <c r="AB9" i="12" s="1"/>
  <c r="X9" i="13"/>
  <c r="AB31" i="12"/>
  <c r="AB25" i="12"/>
  <c r="X15" i="12"/>
  <c r="Y15" i="12" s="1"/>
  <c r="AB15" i="12" s="1"/>
  <c r="X15" i="13"/>
  <c r="X14" i="12"/>
  <c r="Y14" i="12" s="1"/>
  <c r="AB14" i="12" s="1"/>
  <c r="X14" i="13"/>
  <c r="X40" i="12"/>
  <c r="Y40" i="12" s="1"/>
  <c r="AB40" i="12" s="1"/>
  <c r="X40" i="13"/>
  <c r="X32" i="12"/>
  <c r="Y32" i="12" s="1"/>
  <c r="X32" i="13"/>
  <c r="X13" i="12"/>
  <c r="Y13" i="12" s="1"/>
  <c r="AB13" i="12" s="1"/>
  <c r="X13" i="13"/>
  <c r="AB46" i="12"/>
  <c r="AB46" i="10"/>
  <c r="AB46" i="13"/>
  <c r="AB46" i="11"/>
  <c r="X28" i="12"/>
  <c r="Y28" i="12" s="1"/>
  <c r="X28" i="13"/>
  <c r="X36" i="12"/>
  <c r="Y36" i="12" s="1"/>
  <c r="X36" i="13"/>
  <c r="X6" i="12"/>
  <c r="Y6" i="12" s="1"/>
  <c r="AB6" i="12" s="1"/>
  <c r="X6" i="13"/>
  <c r="X37" i="12"/>
  <c r="Y37" i="12" s="1"/>
  <c r="AB37" i="12" s="1"/>
  <c r="X37" i="13"/>
  <c r="X19" i="12"/>
  <c r="Y19" i="12" s="1"/>
  <c r="AB19" i="12" s="1"/>
  <c r="X19" i="13"/>
  <c r="AB32" i="12"/>
  <c r="X27" i="12"/>
  <c r="Y27" i="12" s="1"/>
  <c r="AB27" i="12" s="1"/>
  <c r="X27" i="13"/>
  <c r="AB28" i="12"/>
  <c r="X18" i="12"/>
  <c r="Y18" i="12" s="1"/>
  <c r="X18" i="13"/>
  <c r="AB36" i="12"/>
  <c r="X16" i="12"/>
  <c r="Y16" i="12" s="1"/>
  <c r="AB16" i="12" s="1"/>
  <c r="X16" i="13"/>
  <c r="X41" i="12"/>
  <c r="Y41" i="12" s="1"/>
  <c r="X41" i="13"/>
  <c r="AB18" i="12"/>
  <c r="X26" i="12"/>
  <c r="Y26" i="12" s="1"/>
  <c r="AB26" i="12" s="1"/>
  <c r="X26" i="13"/>
  <c r="X34" i="12"/>
  <c r="Y34" i="12" s="1"/>
  <c r="AB34" i="12" s="1"/>
  <c r="X34" i="13"/>
  <c r="X8" i="12"/>
  <c r="Y8" i="12" s="1"/>
  <c r="AB8" i="12" s="1"/>
  <c r="X8" i="13"/>
  <c r="X11" i="12"/>
  <c r="Y11" i="12" s="1"/>
  <c r="AB11" i="12" s="1"/>
  <c r="X11" i="13"/>
  <c r="AB41" i="12"/>
  <c r="X7" i="12"/>
  <c r="Y7" i="12" s="1"/>
  <c r="AB7" i="12" s="1"/>
  <c r="X7" i="13"/>
  <c r="X21" i="12"/>
  <c r="Y21" i="12" s="1"/>
  <c r="AB21" i="12" s="1"/>
  <c r="X21" i="13"/>
  <c r="X39" i="12"/>
  <c r="Y39" i="12" s="1"/>
  <c r="X39" i="13"/>
  <c r="X20" i="12"/>
  <c r="Y20" i="12" s="1"/>
  <c r="AB20" i="12" s="1"/>
  <c r="X20" i="13"/>
  <c r="X12" i="12"/>
  <c r="Y12" i="12" s="1"/>
  <c r="AB12" i="12" s="1"/>
  <c r="X12" i="13"/>
  <c r="X35" i="12"/>
  <c r="Y35" i="12" s="1"/>
  <c r="AB35" i="12" s="1"/>
  <c r="X35" i="13"/>
  <c r="X23" i="12"/>
  <c r="Y23" i="12" s="1"/>
  <c r="X23" i="13"/>
  <c r="Q5" i="13"/>
  <c r="L44" i="13"/>
  <c r="AB39" i="12"/>
  <c r="X38" i="12"/>
  <c r="Y38" i="12" s="1"/>
  <c r="AB38" i="12" s="1"/>
  <c r="X38" i="13"/>
  <c r="X10" i="12"/>
  <c r="Y10" i="12" s="1"/>
  <c r="AB10" i="12" s="1"/>
  <c r="X10" i="13"/>
  <c r="X24" i="12"/>
  <c r="Y24" i="12" s="1"/>
  <c r="AB24" i="12" s="1"/>
  <c r="X24" i="13"/>
  <c r="AB23" i="12"/>
  <c r="X30" i="12"/>
  <c r="Y30" i="12" s="1"/>
  <c r="AB30" i="12" s="1"/>
  <c r="X30" i="13"/>
  <c r="Q5" i="12"/>
  <c r="L44" i="12"/>
  <c r="X42" i="12"/>
  <c r="Y42" i="12" s="1"/>
  <c r="AB42" i="12" s="1"/>
  <c r="X42" i="13"/>
  <c r="X22" i="12"/>
  <c r="Y22" i="12" s="1"/>
  <c r="AB22" i="12" s="1"/>
  <c r="X22" i="13"/>
  <c r="X29" i="12"/>
  <c r="Y29" i="12" s="1"/>
  <c r="AB29" i="12" s="1"/>
  <c r="X29" i="13"/>
  <c r="S53" i="9"/>
  <c r="X33" i="12"/>
  <c r="Y33" i="12" s="1"/>
  <c r="AB33" i="12" s="1"/>
  <c r="X33" i="13"/>
  <c r="X17" i="12"/>
  <c r="Y17" i="12" s="1"/>
  <c r="AB17" i="12" s="1"/>
  <c r="X17" i="13"/>
  <c r="N15" i="25" l="1"/>
  <c r="B9" i="26"/>
  <c r="B15" i="26" s="1"/>
  <c r="AB44" i="11"/>
  <c r="I15" i="25"/>
  <c r="I14" i="25"/>
  <c r="B7" i="26"/>
  <c r="B13" i="26" s="1"/>
  <c r="B11" i="26"/>
  <c r="Y39" i="13"/>
  <c r="AB39" i="13" s="1"/>
  <c r="S31" i="28" s="1"/>
  <c r="U39" i="24"/>
  <c r="U82" i="24" s="1"/>
  <c r="Y6" i="13"/>
  <c r="AB6" i="13" s="1"/>
  <c r="AA203" i="16" s="1"/>
  <c r="AG203" i="16" s="1"/>
  <c r="U6" i="24"/>
  <c r="U49" i="24" s="1"/>
  <c r="Y23" i="13"/>
  <c r="AB23" i="13" s="1"/>
  <c r="S14" i="28" s="1"/>
  <c r="U23" i="24"/>
  <c r="U66" i="24" s="1"/>
  <c r="Y17" i="13"/>
  <c r="AB17" i="13" s="1"/>
  <c r="S10" i="28" s="1"/>
  <c r="U17" i="24"/>
  <c r="U60" i="24" s="1"/>
  <c r="Y35" i="13"/>
  <c r="AB35" i="13" s="1"/>
  <c r="U35" i="24"/>
  <c r="U78" i="24" s="1"/>
  <c r="Y41" i="13"/>
  <c r="AB41" i="13" s="1"/>
  <c r="S32" i="28" s="1"/>
  <c r="U41" i="24"/>
  <c r="U84" i="24" s="1"/>
  <c r="Y27" i="13"/>
  <c r="AB27" i="13" s="1"/>
  <c r="S19" i="28" s="1"/>
  <c r="U27" i="24"/>
  <c r="U70" i="24" s="1"/>
  <c r="Y14" i="13"/>
  <c r="AB14" i="13" s="1"/>
  <c r="AA154" i="17" s="1"/>
  <c r="U14" i="24"/>
  <c r="U57" i="24" s="1"/>
  <c r="Y31" i="13"/>
  <c r="AB31" i="13" s="1"/>
  <c r="S24" i="28" s="1"/>
  <c r="U31" i="24"/>
  <c r="U74" i="24" s="1"/>
  <c r="Y21" i="13"/>
  <c r="AB21" i="13" s="1"/>
  <c r="S12" i="28" s="1"/>
  <c r="U21" i="24"/>
  <c r="U64" i="24" s="1"/>
  <c r="Y10" i="13"/>
  <c r="AB10" i="13" s="1"/>
  <c r="S7" i="28" s="1"/>
  <c r="U10" i="24"/>
  <c r="U53" i="24" s="1"/>
  <c r="Y9" i="13"/>
  <c r="AB9" i="13" s="1"/>
  <c r="S6" i="28" s="1"/>
  <c r="U9" i="24"/>
  <c r="U52" i="24" s="1"/>
  <c r="Y42" i="13"/>
  <c r="AB42" i="13" s="1"/>
  <c r="S33" i="28" s="1"/>
  <c r="U42" i="24"/>
  <c r="U85" i="24" s="1"/>
  <c r="Y16" i="13"/>
  <c r="AB16" i="13" s="1"/>
  <c r="S8" i="28" s="1"/>
  <c r="U16" i="24"/>
  <c r="U59" i="24" s="1"/>
  <c r="Y36" i="13"/>
  <c r="AB36" i="13" s="1"/>
  <c r="S27" i="28" s="1"/>
  <c r="U36" i="24"/>
  <c r="U79" i="24" s="1"/>
  <c r="Y13" i="13"/>
  <c r="AB13" i="13" s="1"/>
  <c r="AA150" i="17" s="1"/>
  <c r="U13" i="24"/>
  <c r="U56" i="24" s="1"/>
  <c r="Y15" i="13"/>
  <c r="AB15" i="13" s="1"/>
  <c r="AA294" i="16" s="1"/>
  <c r="AG294" i="16" s="1"/>
  <c r="U15" i="24"/>
  <c r="U58" i="24" s="1"/>
  <c r="Y25" i="13"/>
  <c r="AB25" i="13" s="1"/>
  <c r="S17" i="28" s="1"/>
  <c r="U25" i="24"/>
  <c r="U68" i="24" s="1"/>
  <c r="Y11" i="13"/>
  <c r="AB11" i="13" s="1"/>
  <c r="S9" i="28" s="1"/>
  <c r="U11" i="24"/>
  <c r="U54" i="24" s="1"/>
  <c r="Y40" i="13"/>
  <c r="AB40" i="13" s="1"/>
  <c r="S30" i="28" s="1"/>
  <c r="U40" i="24"/>
  <c r="U83" i="24" s="1"/>
  <c r="Y22" i="13"/>
  <c r="AB22" i="13" s="1"/>
  <c r="S13" i="28" s="1"/>
  <c r="U22" i="24"/>
  <c r="U65" i="24" s="1"/>
  <c r="Y33" i="13"/>
  <c r="AB33" i="13" s="1"/>
  <c r="U33" i="24"/>
  <c r="U76" i="24" s="1"/>
  <c r="Y30" i="13"/>
  <c r="AB30" i="13" s="1"/>
  <c r="S23" i="28" s="1"/>
  <c r="U30" i="24"/>
  <c r="U73" i="24" s="1"/>
  <c r="Y7" i="13"/>
  <c r="AB7" i="13" s="1"/>
  <c r="U7" i="24"/>
  <c r="U50" i="24" s="1"/>
  <c r="Y19" i="13"/>
  <c r="AB19" i="13" s="1"/>
  <c r="U19" i="24"/>
  <c r="U62" i="24" s="1"/>
  <c r="Y38" i="13"/>
  <c r="AB38" i="13" s="1"/>
  <c r="S29" i="28" s="1"/>
  <c r="U38" i="24"/>
  <c r="U81" i="24" s="1"/>
  <c r="Y8" i="13"/>
  <c r="AB8" i="13" s="1"/>
  <c r="S5" i="28" s="1"/>
  <c r="U8" i="24"/>
  <c r="U51" i="24" s="1"/>
  <c r="Y12" i="13"/>
  <c r="AB12" i="13" s="1"/>
  <c r="S11" i="28" s="1"/>
  <c r="U12" i="24"/>
  <c r="U55" i="24" s="1"/>
  <c r="Y34" i="13"/>
  <c r="AB34" i="13" s="1"/>
  <c r="U34" i="24"/>
  <c r="U77" i="24" s="1"/>
  <c r="Y24" i="13"/>
  <c r="AB24" i="13" s="1"/>
  <c r="AA228" i="17" s="1"/>
  <c r="U24" i="24"/>
  <c r="U67" i="24" s="1"/>
  <c r="Y20" i="13"/>
  <c r="AB20" i="13" s="1"/>
  <c r="U20" i="24"/>
  <c r="U63" i="24" s="1"/>
  <c r="Y28" i="13"/>
  <c r="AB28" i="13" s="1"/>
  <c r="U28" i="24"/>
  <c r="U71" i="24" s="1"/>
  <c r="Y32" i="13"/>
  <c r="AB32" i="13" s="1"/>
  <c r="U32" i="24"/>
  <c r="U75" i="24" s="1"/>
  <c r="Y29" i="13"/>
  <c r="AB29" i="13" s="1"/>
  <c r="S22" i="28" s="1"/>
  <c r="U29" i="24"/>
  <c r="U72" i="24" s="1"/>
  <c r="Y26" i="13"/>
  <c r="AB26" i="13" s="1"/>
  <c r="S18" i="28" s="1"/>
  <c r="U26" i="24"/>
  <c r="U69" i="24" s="1"/>
  <c r="Y18" i="13"/>
  <c r="AB18" i="13" s="1"/>
  <c r="U18" i="24"/>
  <c r="U61" i="24" s="1"/>
  <c r="Y37" i="13"/>
  <c r="AB37" i="13" s="1"/>
  <c r="S28" i="28" s="1"/>
  <c r="U37" i="24"/>
  <c r="U80" i="24" s="1"/>
  <c r="AA198" i="16"/>
  <c r="AG198" i="16" s="1"/>
  <c r="AA101" i="17"/>
  <c r="AA105" i="17"/>
  <c r="AA99" i="17"/>
  <c r="AA199" i="16"/>
  <c r="AG199" i="16" s="1"/>
  <c r="AA103" i="17"/>
  <c r="AA124" i="16"/>
  <c r="AA138" i="16"/>
  <c r="AA10" i="16"/>
  <c r="AA145" i="16"/>
  <c r="AA9" i="16"/>
  <c r="AA128" i="16"/>
  <c r="AA127" i="16"/>
  <c r="AA3" i="16"/>
  <c r="AA143" i="16"/>
  <c r="AA13" i="16"/>
  <c r="AA142" i="16"/>
  <c r="AA12" i="16"/>
  <c r="AA6" i="16"/>
  <c r="AA5" i="16"/>
  <c r="AA437" i="16"/>
  <c r="AA411" i="16"/>
  <c r="AA450" i="16"/>
  <c r="Q44" i="12"/>
  <c r="Q44" i="13"/>
  <c r="X5" i="12"/>
  <c r="X5" i="13"/>
  <c r="AA390" i="16" l="1"/>
  <c r="AA439" i="16"/>
  <c r="AA451" i="16"/>
  <c r="AA400" i="16"/>
  <c r="AA417" i="16"/>
  <c r="AA404" i="16"/>
  <c r="AA430" i="16"/>
  <c r="AA263" i="17"/>
  <c r="AA394" i="16"/>
  <c r="AA428" i="16"/>
  <c r="AA270" i="17"/>
  <c r="AA435" i="16"/>
  <c r="AA453" i="16"/>
  <c r="AA414" i="16"/>
  <c r="AA401" i="16"/>
  <c r="AA458" i="16"/>
  <c r="L460" i="21" s="1"/>
  <c r="O460" i="21" s="1"/>
  <c r="AA407" i="16"/>
  <c r="AA418" i="16"/>
  <c r="AA444" i="16"/>
  <c r="AA449" i="16"/>
  <c r="AA264" i="17"/>
  <c r="AA397" i="16"/>
  <c r="AA466" i="16"/>
  <c r="AG466" i="16" s="1"/>
  <c r="AA409" i="16"/>
  <c r="AA442" i="16"/>
  <c r="AA482" i="16"/>
  <c r="AA392" i="16"/>
  <c r="AA387" i="16"/>
  <c r="AA421" i="16"/>
  <c r="AA424" i="16"/>
  <c r="AA408" i="16"/>
  <c r="AA410" i="16"/>
  <c r="L410" i="21" s="1"/>
  <c r="O410" i="21" s="1"/>
  <c r="AA419" i="16"/>
  <c r="AA436" i="16"/>
  <c r="AA456" i="16"/>
  <c r="AA446" i="16"/>
  <c r="AA133" i="16"/>
  <c r="AG133" i="16" s="1"/>
  <c r="AA125" i="16"/>
  <c r="AA144" i="16"/>
  <c r="AA131" i="16"/>
  <c r="AA197" i="16"/>
  <c r="AG197" i="16" s="1"/>
  <c r="AA462" i="16"/>
  <c r="AG462" i="16" s="1"/>
  <c r="AA391" i="16"/>
  <c r="AA416" i="16"/>
  <c r="AA426" i="16"/>
  <c r="AG426" i="16" s="1"/>
  <c r="AA443" i="16"/>
  <c r="AA389" i="16"/>
  <c r="AA398" i="16"/>
  <c r="AG398" i="16" s="1"/>
  <c r="AA457" i="16"/>
  <c r="AA134" i="16"/>
  <c r="AA141" i="16"/>
  <c r="AA129" i="16"/>
  <c r="AA132" i="16"/>
  <c r="L132" i="21" s="1"/>
  <c r="O132" i="21" s="1"/>
  <c r="AA200" i="16"/>
  <c r="AG200" i="16" s="1"/>
  <c r="AA460" i="16"/>
  <c r="AG460" i="16" s="1"/>
  <c r="AA233" i="17"/>
  <c r="AA425" i="16"/>
  <c r="AA431" i="16"/>
  <c r="AA452" i="16"/>
  <c r="AA396" i="16"/>
  <c r="AA405" i="16"/>
  <c r="AG405" i="16" s="1"/>
  <c r="AA422" i="16"/>
  <c r="AA123" i="16"/>
  <c r="AA126" i="16"/>
  <c r="L126" i="21" s="1"/>
  <c r="O126" i="21" s="1"/>
  <c r="AA2" i="16"/>
  <c r="AA196" i="16"/>
  <c r="AG196" i="16" s="1"/>
  <c r="AA463" i="16"/>
  <c r="AG463" i="16" s="1"/>
  <c r="S21" i="28"/>
  <c r="S16" i="28"/>
  <c r="S26" i="28"/>
  <c r="S20" i="28"/>
  <c r="S15" i="28"/>
  <c r="S25" i="28"/>
  <c r="AA195" i="16"/>
  <c r="AG195" i="16" s="1"/>
  <c r="G11" i="28"/>
  <c r="G6" i="28"/>
  <c r="AA441" i="16"/>
  <c r="AG441" i="16" s="1"/>
  <c r="AA415" i="16"/>
  <c r="AA440" i="16"/>
  <c r="AA403" i="16"/>
  <c r="AG403" i="16" s="1"/>
  <c r="AA412" i="16"/>
  <c r="AA429" i="16"/>
  <c r="AA447" i="16"/>
  <c r="AA7" i="16"/>
  <c r="AA135" i="16"/>
  <c r="AG135" i="16" s="1"/>
  <c r="AA8" i="16"/>
  <c r="AA130" i="16"/>
  <c r="AA102" i="17"/>
  <c r="AA469" i="16"/>
  <c r="AG469" i="16" s="1"/>
  <c r="AA167" i="17"/>
  <c r="AA481" i="16"/>
  <c r="AA359" i="16"/>
  <c r="AG359" i="16" s="1"/>
  <c r="AA317" i="16"/>
  <c r="AG317" i="16" s="1"/>
  <c r="AA423" i="16"/>
  <c r="AA432" i="16"/>
  <c r="AA393" i="16"/>
  <c r="AG393" i="16" s="1"/>
  <c r="AA402" i="16"/>
  <c r="AG402" i="16" s="1"/>
  <c r="AA395" i="16"/>
  <c r="AA388" i="16"/>
  <c r="AA455" i="16"/>
  <c r="AA445" i="16"/>
  <c r="AG445" i="16" s="1"/>
  <c r="AA438" i="16"/>
  <c r="AA343" i="16"/>
  <c r="AG343" i="16" s="1"/>
  <c r="AA142" i="17"/>
  <c r="AA11" i="16"/>
  <c r="AG11" i="16" s="1"/>
  <c r="AA136" i="16"/>
  <c r="AA122" i="16"/>
  <c r="AA100" i="17"/>
  <c r="AA104" i="17"/>
  <c r="AA271" i="17"/>
  <c r="AA459" i="16"/>
  <c r="AG459" i="16" s="1"/>
  <c r="AA315" i="16"/>
  <c r="AG315" i="16" s="1"/>
  <c r="AA473" i="16"/>
  <c r="L473" i="21" s="1"/>
  <c r="O473" i="21" s="1"/>
  <c r="AA467" i="16"/>
  <c r="AG467" i="16" s="1"/>
  <c r="AA448" i="16"/>
  <c r="AA433" i="16"/>
  <c r="AG433" i="16" s="1"/>
  <c r="AA399" i="16"/>
  <c r="AG399" i="16" s="1"/>
  <c r="AA434" i="16"/>
  <c r="AA427" i="16"/>
  <c r="AA420" i="16"/>
  <c r="L420" i="21" s="1"/>
  <c r="O420" i="21" s="1"/>
  <c r="AA413" i="16"/>
  <c r="AA406" i="16"/>
  <c r="AA454" i="16"/>
  <c r="AA255" i="17"/>
  <c r="AA4" i="16"/>
  <c r="AG4" i="16" s="1"/>
  <c r="AA137" i="16"/>
  <c r="AA139" i="16"/>
  <c r="AA194" i="16"/>
  <c r="AG194" i="16" s="1"/>
  <c r="AA106" i="17"/>
  <c r="AA267" i="17"/>
  <c r="AA296" i="16"/>
  <c r="AG296" i="16" s="1"/>
  <c r="AA338" i="16"/>
  <c r="AG338" i="16" s="1"/>
  <c r="AA204" i="17"/>
  <c r="AA478" i="16"/>
  <c r="AA201" i="16"/>
  <c r="AG201" i="16" s="1"/>
  <c r="AA107" i="17"/>
  <c r="AA98" i="17"/>
  <c r="AA201" i="17"/>
  <c r="AA363" i="16"/>
  <c r="AG363" i="16" s="1"/>
  <c r="AA368" i="16"/>
  <c r="AG368" i="16" s="1"/>
  <c r="AA213" i="17"/>
  <c r="B14" i="26"/>
  <c r="AA305" i="16"/>
  <c r="AG305" i="16" s="1"/>
  <c r="AA380" i="16"/>
  <c r="AG380" i="16" s="1"/>
  <c r="AA168" i="17"/>
  <c r="AA321" i="16"/>
  <c r="AG321" i="16" s="1"/>
  <c r="AA177" i="17"/>
  <c r="AA483" i="16"/>
  <c r="AA140" i="16"/>
  <c r="AG140" i="16" s="1"/>
  <c r="AA202" i="16"/>
  <c r="AG202" i="16" s="1"/>
  <c r="AA203" i="17"/>
  <c r="AA311" i="16"/>
  <c r="AG311" i="16" s="1"/>
  <c r="AA331" i="16"/>
  <c r="AG331" i="16" s="1"/>
  <c r="AA333" i="16"/>
  <c r="AG333" i="16" s="1"/>
  <c r="AA248" i="17"/>
  <c r="AA260" i="16"/>
  <c r="AG260" i="16" s="1"/>
  <c r="AA304" i="16"/>
  <c r="AG304" i="16" s="1"/>
  <c r="AA335" i="16"/>
  <c r="AG335" i="16" s="1"/>
  <c r="AA181" i="17"/>
  <c r="AA342" i="16"/>
  <c r="AG342" i="16" s="1"/>
  <c r="AA240" i="16"/>
  <c r="AA226" i="16"/>
  <c r="AG226" i="16" s="1"/>
  <c r="AA320" i="16"/>
  <c r="AG320" i="16" s="1"/>
  <c r="AA314" i="16"/>
  <c r="AG314" i="16" s="1"/>
  <c r="AA332" i="16"/>
  <c r="AG332" i="16" s="1"/>
  <c r="AA192" i="17"/>
  <c r="AA249" i="17"/>
  <c r="AA369" i="16"/>
  <c r="AG369" i="16" s="1"/>
  <c r="AA386" i="16"/>
  <c r="AG386" i="16" s="1"/>
  <c r="AA211" i="17"/>
  <c r="AA214" i="17"/>
  <c r="AA237" i="16"/>
  <c r="AA337" i="16"/>
  <c r="AG337" i="16" s="1"/>
  <c r="AA344" i="16"/>
  <c r="AG344" i="16" s="1"/>
  <c r="AA370" i="16"/>
  <c r="AG370" i="16" s="1"/>
  <c r="AA308" i="16"/>
  <c r="AG308" i="16" s="1"/>
  <c r="AA257" i="17"/>
  <c r="AA236" i="17"/>
  <c r="AA235" i="16"/>
  <c r="AG235" i="16" s="1"/>
  <c r="AA185" i="17"/>
  <c r="AA231" i="17"/>
  <c r="AA356" i="16"/>
  <c r="AG356" i="16" s="1"/>
  <c r="AA223" i="17"/>
  <c r="AA260" i="17"/>
  <c r="AA319" i="16"/>
  <c r="AG319" i="16" s="1"/>
  <c r="AA189" i="17"/>
  <c r="AA303" i="16"/>
  <c r="AG303" i="16" s="1"/>
  <c r="AA312" i="16"/>
  <c r="AG312" i="16" s="1"/>
  <c r="AA354" i="16"/>
  <c r="AG354" i="16" s="1"/>
  <c r="AA323" i="16"/>
  <c r="AG323" i="16" s="1"/>
  <c r="AA261" i="17"/>
  <c r="AA179" i="17"/>
  <c r="AA241" i="17"/>
  <c r="AA184" i="17"/>
  <c r="AA230" i="17"/>
  <c r="AA134" i="17"/>
  <c r="AA233" i="16"/>
  <c r="AG233" i="16" s="1"/>
  <c r="AA290" i="16"/>
  <c r="AG290" i="16" s="1"/>
  <c r="AA287" i="16"/>
  <c r="AG287" i="16" s="1"/>
  <c r="AA221" i="17"/>
  <c r="AA360" i="16"/>
  <c r="AG360" i="16" s="1"/>
  <c r="AA361" i="16"/>
  <c r="AG361" i="16" s="1"/>
  <c r="AA219" i="17"/>
  <c r="AA353" i="16"/>
  <c r="AG353" i="16" s="1"/>
  <c r="AA378" i="16"/>
  <c r="AG378" i="16" s="1"/>
  <c r="AA355" i="16"/>
  <c r="AG355" i="16" s="1"/>
  <c r="AA316" i="16"/>
  <c r="AG316" i="16" s="1"/>
  <c r="AA259" i="17"/>
  <c r="AA318" i="16"/>
  <c r="AG318" i="16" s="1"/>
  <c r="AA198" i="17"/>
  <c r="AA240" i="17"/>
  <c r="AA288" i="16"/>
  <c r="AG288" i="16" s="1"/>
  <c r="AA242" i="16"/>
  <c r="AG242" i="16" s="1"/>
  <c r="AA293" i="16"/>
  <c r="AG293" i="16" s="1"/>
  <c r="AA163" i="17"/>
  <c r="AA313" i="16"/>
  <c r="AG313" i="16" s="1"/>
  <c r="AA251" i="17"/>
  <c r="AA351" i="16"/>
  <c r="AG351" i="16" s="1"/>
  <c r="AA329" i="16"/>
  <c r="AG329" i="16" s="1"/>
  <c r="AA306" i="16"/>
  <c r="AG306" i="16" s="1"/>
  <c r="AA199" i="17"/>
  <c r="AA371" i="16"/>
  <c r="AG371" i="16" s="1"/>
  <c r="AA340" i="16"/>
  <c r="AG340" i="16" s="1"/>
  <c r="AA325" i="16"/>
  <c r="AG325" i="16" s="1"/>
  <c r="AA374" i="16"/>
  <c r="AG374" i="16" s="1"/>
  <c r="AA206" i="17"/>
  <c r="AA256" i="17"/>
  <c r="AA277" i="16"/>
  <c r="AG277" i="16" s="1"/>
  <c r="AA229" i="16"/>
  <c r="L229" i="21" s="1"/>
  <c r="O229" i="21" s="1"/>
  <c r="AA141" i="17"/>
  <c r="AA156" i="17"/>
  <c r="AA275" i="16"/>
  <c r="AG275" i="16" s="1"/>
  <c r="AA377" i="16"/>
  <c r="AG377" i="16" s="1"/>
  <c r="AA345" i="16"/>
  <c r="AG345" i="16" s="1"/>
  <c r="AA187" i="17"/>
  <c r="AA235" i="17"/>
  <c r="AA330" i="16"/>
  <c r="AG330" i="16" s="1"/>
  <c r="AA247" i="17"/>
  <c r="AA197" i="17"/>
  <c r="AA372" i="16"/>
  <c r="AG372" i="16" s="1"/>
  <c r="AA365" i="16"/>
  <c r="AG365" i="16" s="1"/>
  <c r="AA239" i="17"/>
  <c r="AA220" i="17"/>
  <c r="AA262" i="17"/>
  <c r="AA158" i="17"/>
  <c r="AA128" i="17"/>
  <c r="AA149" i="17"/>
  <c r="AA336" i="16"/>
  <c r="AG336" i="16" s="1"/>
  <c r="AA383" i="16"/>
  <c r="AG383" i="16" s="1"/>
  <c r="AA217" i="17"/>
  <c r="AA237" i="17"/>
  <c r="AA352" i="16"/>
  <c r="AG352" i="16" s="1"/>
  <c r="AA205" i="17"/>
  <c r="AA362" i="16"/>
  <c r="AG362" i="16" s="1"/>
  <c r="AA307" i="16"/>
  <c r="AG307" i="16" s="1"/>
  <c r="AA379" i="16"/>
  <c r="AG379" i="16" s="1"/>
  <c r="AA324" i="16"/>
  <c r="AG324" i="16" s="1"/>
  <c r="AA195" i="17"/>
  <c r="AA349" i="16"/>
  <c r="AG349" i="16" s="1"/>
  <c r="AA326" i="16"/>
  <c r="AG326" i="16" s="1"/>
  <c r="AA182" i="17"/>
  <c r="AA208" i="17"/>
  <c r="AA238" i="17"/>
  <c r="AA264" i="16"/>
  <c r="AG264" i="16" s="1"/>
  <c r="AA228" i="16"/>
  <c r="AG228" i="16" s="1"/>
  <c r="AA299" i="16"/>
  <c r="AG299" i="16" s="1"/>
  <c r="AA143" i="17"/>
  <c r="AA274" i="17"/>
  <c r="AA465" i="16"/>
  <c r="AG465" i="16" s="1"/>
  <c r="AA243" i="17"/>
  <c r="AA381" i="16"/>
  <c r="AG381" i="16" s="1"/>
  <c r="AA358" i="16"/>
  <c r="AG358" i="16" s="1"/>
  <c r="AA188" i="17"/>
  <c r="AA216" i="17"/>
  <c r="AA246" i="17"/>
  <c r="AA131" i="17"/>
  <c r="AA166" i="17"/>
  <c r="AA384" i="16"/>
  <c r="AG384" i="16" s="1"/>
  <c r="AA253" i="17"/>
  <c r="AA327" i="16"/>
  <c r="AG327" i="16" s="1"/>
  <c r="AA328" i="16"/>
  <c r="AG328" i="16" s="1"/>
  <c r="AA367" i="16"/>
  <c r="AG367" i="16" s="1"/>
  <c r="AA385" i="16"/>
  <c r="AG385" i="16" s="1"/>
  <c r="AA322" i="16"/>
  <c r="AG322" i="16" s="1"/>
  <c r="AA183" i="17"/>
  <c r="AA339" i="16"/>
  <c r="AG339" i="16" s="1"/>
  <c r="AA245" i="17"/>
  <c r="AA364" i="16"/>
  <c r="AG364" i="16" s="1"/>
  <c r="AA301" i="16"/>
  <c r="AG301" i="16" s="1"/>
  <c r="AA225" i="17"/>
  <c r="AA382" i="16"/>
  <c r="AG382" i="16" s="1"/>
  <c r="AA196" i="17"/>
  <c r="AA224" i="17"/>
  <c r="AA252" i="17"/>
  <c r="AA224" i="16"/>
  <c r="L373" i="21" s="1"/>
  <c r="AA295" i="16"/>
  <c r="AG295" i="16" s="1"/>
  <c r="AA273" i="16"/>
  <c r="AG273" i="16" s="1"/>
  <c r="AA475" i="16"/>
  <c r="L475" i="21" s="1"/>
  <c r="O475" i="21" s="1"/>
  <c r="AA265" i="17"/>
  <c r="AA272" i="17"/>
  <c r="AA375" i="16"/>
  <c r="AG375" i="16" s="1"/>
  <c r="AA376" i="16"/>
  <c r="AG376" i="16" s="1"/>
  <c r="AA346" i="16"/>
  <c r="AG346" i="16" s="1"/>
  <c r="AA215" i="17"/>
  <c r="AA347" i="16"/>
  <c r="AG347" i="16" s="1"/>
  <c r="AA229" i="17"/>
  <c r="AA348" i="16"/>
  <c r="AG348" i="16" s="1"/>
  <c r="AA227" i="17"/>
  <c r="AA357" i="16"/>
  <c r="AG357" i="16" s="1"/>
  <c r="AA310" i="16"/>
  <c r="AG310" i="16" s="1"/>
  <c r="AA191" i="17"/>
  <c r="AA190" i="17"/>
  <c r="AA212" i="17"/>
  <c r="AA232" i="17"/>
  <c r="AA254" i="17"/>
  <c r="AA132" i="17"/>
  <c r="AA231" i="16"/>
  <c r="AG231" i="16" s="1"/>
  <c r="AA243" i="16"/>
  <c r="AG243" i="16" s="1"/>
  <c r="AA169" i="17"/>
  <c r="AA172" i="17"/>
  <c r="AA480" i="16"/>
  <c r="L480" i="21" s="1"/>
  <c r="O480" i="21" s="1"/>
  <c r="U5" i="24"/>
  <c r="U48" i="24" s="1"/>
  <c r="AA193" i="17"/>
  <c r="AA350" i="16"/>
  <c r="AG350" i="16" s="1"/>
  <c r="AA180" i="17"/>
  <c r="AA200" i="17"/>
  <c r="AA222" i="17"/>
  <c r="AA244" i="17"/>
  <c r="AA256" i="16"/>
  <c r="AG256" i="16" s="1"/>
  <c r="AA225" i="16"/>
  <c r="AA245" i="16"/>
  <c r="AA292" i="16"/>
  <c r="AG292" i="16" s="1"/>
  <c r="AA309" i="16"/>
  <c r="AG309" i="16" s="1"/>
  <c r="AA373" i="16"/>
  <c r="AG373" i="16" s="1"/>
  <c r="AA302" i="16"/>
  <c r="AG302" i="16" s="1"/>
  <c r="AA366" i="16"/>
  <c r="AG366" i="16" s="1"/>
  <c r="AA178" i="17"/>
  <c r="AA194" i="17"/>
  <c r="AA210" i="17"/>
  <c r="AA226" i="17"/>
  <c r="AA242" i="17"/>
  <c r="AA258" i="17"/>
  <c r="AA137" i="17"/>
  <c r="AA253" i="16"/>
  <c r="AG253" i="16" s="1"/>
  <c r="AA136" i="17"/>
  <c r="AA157" i="17"/>
  <c r="AA285" i="16"/>
  <c r="AG285" i="16" s="1"/>
  <c r="AA160" i="17"/>
  <c r="AA247" i="16"/>
  <c r="AG247" i="16" s="1"/>
  <c r="AA244" i="16"/>
  <c r="AA173" i="17"/>
  <c r="AA175" i="17"/>
  <c r="AA265" i="16"/>
  <c r="AG265" i="16" s="1"/>
  <c r="AA268" i="16"/>
  <c r="AG268" i="16" s="1"/>
  <c r="AA144" i="17"/>
  <c r="AA477" i="16"/>
  <c r="AG477" i="16" s="1"/>
  <c r="AA257" i="16"/>
  <c r="AG257" i="16" s="1"/>
  <c r="AA261" i="16"/>
  <c r="AG261" i="16" s="1"/>
  <c r="AA138" i="17"/>
  <c r="AA280" i="16"/>
  <c r="AG280" i="16" s="1"/>
  <c r="AA161" i="17"/>
  <c r="AA162" i="17"/>
  <c r="AA271" i="16"/>
  <c r="AG271" i="16" s="1"/>
  <c r="AA276" i="16"/>
  <c r="AG276" i="16" s="1"/>
  <c r="AA146" i="17"/>
  <c r="AA258" i="16"/>
  <c r="AG258" i="16" s="1"/>
  <c r="AA129" i="17"/>
  <c r="AA140" i="17"/>
  <c r="AA155" i="17"/>
  <c r="AA278" i="16"/>
  <c r="AG278" i="16" s="1"/>
  <c r="AA164" i="17"/>
  <c r="AA266" i="16"/>
  <c r="AG266" i="16" s="1"/>
  <c r="AA147" i="17"/>
  <c r="AA148" i="17"/>
  <c r="AA255" i="16"/>
  <c r="AG255" i="16" s="1"/>
  <c r="AA135" i="17"/>
  <c r="AA254" i="16"/>
  <c r="AG254" i="16" s="1"/>
  <c r="AA279" i="16"/>
  <c r="AG279" i="16" s="1"/>
  <c r="AA282" i="16"/>
  <c r="AG282" i="16" s="1"/>
  <c r="AA286" i="16"/>
  <c r="AG286" i="16" s="1"/>
  <c r="AA274" i="16"/>
  <c r="AG274" i="16" s="1"/>
  <c r="AA269" i="16"/>
  <c r="AG269" i="16" s="1"/>
  <c r="AA152" i="17"/>
  <c r="AA341" i="16"/>
  <c r="AG341" i="16" s="1"/>
  <c r="AA209" i="17"/>
  <c r="AA334" i="16"/>
  <c r="AG334" i="16" s="1"/>
  <c r="AA207" i="17"/>
  <c r="AA186" i="17"/>
  <c r="AA202" i="17"/>
  <c r="AA218" i="17"/>
  <c r="AA234" i="17"/>
  <c r="AA250" i="17"/>
  <c r="AA263" i="16"/>
  <c r="AG263" i="16" s="1"/>
  <c r="AA259" i="16"/>
  <c r="AG259" i="16" s="1"/>
  <c r="AA262" i="16"/>
  <c r="AG262" i="16" s="1"/>
  <c r="AA153" i="17"/>
  <c r="AA283" i="16"/>
  <c r="AG283" i="16" s="1"/>
  <c r="AA159" i="17"/>
  <c r="AA249" i="16"/>
  <c r="L249" i="21" s="1"/>
  <c r="O249" i="21" s="1"/>
  <c r="AA227" i="16"/>
  <c r="L227" i="21" s="1"/>
  <c r="O227" i="21" s="1"/>
  <c r="AA238" i="16"/>
  <c r="AG238" i="16" s="1"/>
  <c r="AA291" i="16"/>
  <c r="AG291" i="16" s="1"/>
  <c r="AA176" i="17"/>
  <c r="AA151" i="17"/>
  <c r="AA145" i="17"/>
  <c r="AA139" i="17"/>
  <c r="AA133" i="17"/>
  <c r="AA130" i="17"/>
  <c r="AA281" i="16"/>
  <c r="AG281" i="16" s="1"/>
  <c r="AA284" i="16"/>
  <c r="AG284" i="16" s="1"/>
  <c r="AA272" i="16"/>
  <c r="AG272" i="16" s="1"/>
  <c r="AA267" i="16"/>
  <c r="AG267" i="16" s="1"/>
  <c r="AA270" i="16"/>
  <c r="AG270" i="16" s="1"/>
  <c r="AA232" i="16"/>
  <c r="L232" i="21" s="1"/>
  <c r="O232" i="21" s="1"/>
  <c r="AA248" i="16"/>
  <c r="AG248" i="16" s="1"/>
  <c r="AA251" i="16"/>
  <c r="L251" i="21" s="1"/>
  <c r="O251" i="21" s="1"/>
  <c r="AA230" i="16"/>
  <c r="AG230" i="16" s="1"/>
  <c r="AA297" i="16"/>
  <c r="AG297" i="16" s="1"/>
  <c r="AA165" i="17"/>
  <c r="AA170" i="17"/>
  <c r="AA474" i="16"/>
  <c r="AG474" i="16" s="1"/>
  <c r="AA464" i="16"/>
  <c r="AG464" i="16" s="1"/>
  <c r="AA268" i="17"/>
  <c r="AA471" i="16"/>
  <c r="AG471" i="16" s="1"/>
  <c r="K9" i="26"/>
  <c r="K11" i="26"/>
  <c r="M11" i="26" s="1"/>
  <c r="K7" i="26"/>
  <c r="AA241" i="16"/>
  <c r="AG241" i="16" s="1"/>
  <c r="AA234" i="16"/>
  <c r="AG234" i="16" s="1"/>
  <c r="AA236" i="16"/>
  <c r="AG236" i="16" s="1"/>
  <c r="AA246" i="16"/>
  <c r="AG246" i="16" s="1"/>
  <c r="AA289" i="16"/>
  <c r="L285" i="21" s="1"/>
  <c r="AA300" i="16"/>
  <c r="AG300" i="16" s="1"/>
  <c r="AA174" i="17"/>
  <c r="AA476" i="16"/>
  <c r="AG476" i="16" s="1"/>
  <c r="AA266" i="17"/>
  <c r="AA273" i="17"/>
  <c r="AA275" i="17"/>
  <c r="AA269" i="17"/>
  <c r="AA239" i="16"/>
  <c r="AG239" i="16" s="1"/>
  <c r="AA250" i="16"/>
  <c r="AG250" i="16" s="1"/>
  <c r="AA252" i="16"/>
  <c r="L252" i="21" s="1"/>
  <c r="O252" i="21" s="1"/>
  <c r="AA171" i="17"/>
  <c r="AA298" i="16"/>
  <c r="AG298" i="16" s="1"/>
  <c r="AA472" i="16"/>
  <c r="AG472" i="16" s="1"/>
  <c r="AA479" i="16"/>
  <c r="L479" i="21" s="1"/>
  <c r="O479" i="21" s="1"/>
  <c r="AA461" i="16"/>
  <c r="AG461" i="16" s="1"/>
  <c r="AA470" i="16"/>
  <c r="AG470" i="16" s="1"/>
  <c r="AA468" i="16"/>
  <c r="AG468" i="16" s="1"/>
  <c r="AG408" i="16"/>
  <c r="L408" i="21"/>
  <c r="O408" i="21" s="1"/>
  <c r="AG440" i="16"/>
  <c r="L440" i="21"/>
  <c r="O440" i="21" s="1"/>
  <c r="AG412" i="16"/>
  <c r="L412" i="21"/>
  <c r="O412" i="21" s="1"/>
  <c r="AG240" i="16"/>
  <c r="L240" i="21"/>
  <c r="O240" i="21" s="1"/>
  <c r="AG401" i="16"/>
  <c r="L401" i="21"/>
  <c r="O401" i="21" s="1"/>
  <c r="AG390" i="16"/>
  <c r="L390" i="21"/>
  <c r="O390" i="21" s="1"/>
  <c r="L4" i="21"/>
  <c r="O4" i="21" s="1"/>
  <c r="AG9" i="16"/>
  <c r="L9" i="21"/>
  <c r="O9" i="21" s="1"/>
  <c r="AG130" i="16"/>
  <c r="L130" i="21"/>
  <c r="O130" i="21" s="1"/>
  <c r="AG424" i="16"/>
  <c r="L424" i="21"/>
  <c r="O424" i="21" s="1"/>
  <c r="AG392" i="16"/>
  <c r="L392" i="21"/>
  <c r="O392" i="21" s="1"/>
  <c r="AG416" i="16"/>
  <c r="L416" i="21"/>
  <c r="O416" i="21" s="1"/>
  <c r="AG394" i="16"/>
  <c r="L394" i="21"/>
  <c r="O394" i="21" s="1"/>
  <c r="AG443" i="16"/>
  <c r="L443" i="21"/>
  <c r="O443" i="21" s="1"/>
  <c r="AG428" i="16"/>
  <c r="L428" i="21"/>
  <c r="O428" i="21" s="1"/>
  <c r="AG413" i="16"/>
  <c r="L413" i="21"/>
  <c r="O413" i="21" s="1"/>
  <c r="L233" i="21"/>
  <c r="O233" i="21" s="1"/>
  <c r="AG244" i="16"/>
  <c r="L244" i="21"/>
  <c r="O244" i="21" s="1"/>
  <c r="AG13" i="16"/>
  <c r="L13" i="21"/>
  <c r="O13" i="21" s="1"/>
  <c r="AG127" i="16"/>
  <c r="L127" i="21"/>
  <c r="O127" i="21" s="1"/>
  <c r="AG129" i="16"/>
  <c r="L129" i="21"/>
  <c r="O129" i="21" s="1"/>
  <c r="AG138" i="16"/>
  <c r="L138" i="21"/>
  <c r="O138" i="21" s="1"/>
  <c r="AG417" i="16"/>
  <c r="L417" i="21"/>
  <c r="O417" i="21" s="1"/>
  <c r="AG442" i="16"/>
  <c r="L442" i="21"/>
  <c r="O442" i="21" s="1"/>
  <c r="AG397" i="16"/>
  <c r="L397" i="21"/>
  <c r="O397" i="21" s="1"/>
  <c r="AG435" i="16"/>
  <c r="L435" i="21"/>
  <c r="O435" i="21" s="1"/>
  <c r="AG448" i="16"/>
  <c r="L448" i="21"/>
  <c r="O448" i="21" s="1"/>
  <c r="AG439" i="16"/>
  <c r="L439" i="21"/>
  <c r="O439" i="21" s="1"/>
  <c r="AG387" i="16"/>
  <c r="L387" i="21"/>
  <c r="AG436" i="16"/>
  <c r="L436" i="21"/>
  <c r="O436" i="21" s="1"/>
  <c r="AG421" i="16"/>
  <c r="L421" i="21"/>
  <c r="O421" i="21" s="1"/>
  <c r="AG446" i="16"/>
  <c r="L446" i="21"/>
  <c r="O446" i="21" s="1"/>
  <c r="AG252" i="16"/>
  <c r="AG6" i="16"/>
  <c r="L6" i="21"/>
  <c r="O6" i="21" s="1"/>
  <c r="AG410" i="16"/>
  <c r="AG429" i="16"/>
  <c r="L429" i="21"/>
  <c r="O429" i="21" s="1"/>
  <c r="L386" i="21"/>
  <c r="O386" i="21" s="1"/>
  <c r="L383" i="21"/>
  <c r="O383" i="21" s="1"/>
  <c r="L380" i="21"/>
  <c r="L382" i="21"/>
  <c r="O382" i="21" s="1"/>
  <c r="L353" i="21"/>
  <c r="O353" i="21" s="1"/>
  <c r="L350" i="21"/>
  <c r="L344" i="21"/>
  <c r="L340" i="21"/>
  <c r="L320" i="21"/>
  <c r="L316" i="21"/>
  <c r="L312" i="21"/>
  <c r="O312" i="21" s="1"/>
  <c r="L308" i="21"/>
  <c r="O308" i="21" s="1"/>
  <c r="L376" i="21"/>
  <c r="L367" i="21"/>
  <c r="L360" i="21"/>
  <c r="O360" i="21" s="1"/>
  <c r="L357" i="21"/>
  <c r="L372" i="21"/>
  <c r="L363" i="21"/>
  <c r="O363" i="21" s="1"/>
  <c r="L355" i="21"/>
  <c r="L352" i="21"/>
  <c r="O352" i="21" s="1"/>
  <c r="L323" i="21"/>
  <c r="L321" i="21"/>
  <c r="L311" i="21"/>
  <c r="L303" i="21"/>
  <c r="L331" i="21"/>
  <c r="O331" i="21" s="1"/>
  <c r="L319" i="21"/>
  <c r="O319" i="21" s="1"/>
  <c r="L375" i="21"/>
  <c r="L347" i="21"/>
  <c r="L306" i="21"/>
  <c r="O306" i="21" s="1"/>
  <c r="L301" i="21"/>
  <c r="L369" i="21"/>
  <c r="L358" i="21"/>
  <c r="L337" i="21"/>
  <c r="L326" i="21"/>
  <c r="O326" i="21" s="1"/>
  <c r="L315" i="21"/>
  <c r="L307" i="21"/>
  <c r="L341" i="21"/>
  <c r="L318" i="21"/>
  <c r="O318" i="21" s="1"/>
  <c r="L313" i="21"/>
  <c r="L310" i="21"/>
  <c r="L343" i="21"/>
  <c r="O343" i="21" s="1"/>
  <c r="L327" i="21"/>
  <c r="L339" i="21"/>
  <c r="L334" i="21"/>
  <c r="O334" i="21" s="1"/>
  <c r="AG229" i="16"/>
  <c r="AG483" i="16"/>
  <c r="L483" i="21"/>
  <c r="O483" i="21" s="1"/>
  <c r="AG478" i="16"/>
  <c r="L478" i="21"/>
  <c r="O478" i="21" s="1"/>
  <c r="AG134" i="16"/>
  <c r="L134" i="21"/>
  <c r="O134" i="21" s="1"/>
  <c r="AG143" i="16"/>
  <c r="L143" i="21"/>
  <c r="O143" i="21" s="1"/>
  <c r="AG8" i="16"/>
  <c r="L8" i="21"/>
  <c r="O8" i="21" s="1"/>
  <c r="AG145" i="16"/>
  <c r="L198" i="21"/>
  <c r="O198" i="21" s="1"/>
  <c r="L201" i="21"/>
  <c r="O201" i="21" s="1"/>
  <c r="L195" i="21"/>
  <c r="O195" i="21" s="1"/>
  <c r="L200" i="21"/>
  <c r="O200" i="21" s="1"/>
  <c r="L203" i="21"/>
  <c r="O203" i="21" s="1"/>
  <c r="L199" i="21"/>
  <c r="O199" i="21" s="1"/>
  <c r="L202" i="21"/>
  <c r="O202" i="21" s="1"/>
  <c r="L194" i="21"/>
  <c r="L197" i="21"/>
  <c r="O197" i="21" s="1"/>
  <c r="L196" i="21"/>
  <c r="O196" i="21" s="1"/>
  <c r="L145" i="21"/>
  <c r="O145" i="21" s="1"/>
  <c r="AG131" i="16"/>
  <c r="L131" i="21"/>
  <c r="O131" i="21" s="1"/>
  <c r="AG400" i="16"/>
  <c r="L400" i="21"/>
  <c r="O400" i="21" s="1"/>
  <c r="AG391" i="16"/>
  <c r="L391" i="21"/>
  <c r="O391" i="21" s="1"/>
  <c r="AG431" i="16"/>
  <c r="L431" i="21"/>
  <c r="O431" i="21" s="1"/>
  <c r="AG418" i="16"/>
  <c r="L418" i="21"/>
  <c r="O418" i="21" s="1"/>
  <c r="AG388" i="16"/>
  <c r="L388" i="21"/>
  <c r="O388" i="21" s="1"/>
  <c r="AG455" i="16"/>
  <c r="L455" i="21"/>
  <c r="O455" i="21" s="1"/>
  <c r="AG437" i="16"/>
  <c r="L437" i="21"/>
  <c r="O437" i="21" s="1"/>
  <c r="AG422" i="16"/>
  <c r="L422" i="21"/>
  <c r="O422" i="21" s="1"/>
  <c r="AG237" i="16"/>
  <c r="L237" i="21"/>
  <c r="O237" i="21" s="1"/>
  <c r="AG473" i="16"/>
  <c r="AG128" i="16"/>
  <c r="L128" i="21"/>
  <c r="O128" i="21" s="1"/>
  <c r="AG139" i="16"/>
  <c r="L139" i="21"/>
  <c r="O139" i="21" s="1"/>
  <c r="AG432" i="16"/>
  <c r="L432" i="21"/>
  <c r="O432" i="21" s="1"/>
  <c r="AG451" i="16"/>
  <c r="L451" i="21"/>
  <c r="O451" i="21" s="1"/>
  <c r="AG427" i="16"/>
  <c r="L427" i="21"/>
  <c r="O427" i="21" s="1"/>
  <c r="AG447" i="16"/>
  <c r="L447" i="21"/>
  <c r="O447" i="21" s="1"/>
  <c r="AG425" i="16"/>
  <c r="L425" i="21"/>
  <c r="O425" i="21" s="1"/>
  <c r="AG452" i="16"/>
  <c r="L452" i="21"/>
  <c r="O452" i="21" s="1"/>
  <c r="L405" i="21"/>
  <c r="O405" i="21" s="1"/>
  <c r="AG458" i="16"/>
  <c r="L468" i="21"/>
  <c r="L466" i="21"/>
  <c r="O466" i="21" s="1"/>
  <c r="L463" i="21"/>
  <c r="O463" i="21" s="1"/>
  <c r="L458" i="21"/>
  <c r="O458" i="21" s="1"/>
  <c r="L471" i="21"/>
  <c r="L462" i="21"/>
  <c r="O462" i="21" s="1"/>
  <c r="L470" i="21"/>
  <c r="L464" i="21"/>
  <c r="L459" i="21"/>
  <c r="O459" i="21" s="1"/>
  <c r="AG415" i="16"/>
  <c r="L415" i="21"/>
  <c r="O415" i="21" s="1"/>
  <c r="L402" i="21"/>
  <c r="O402" i="21" s="1"/>
  <c r="AG453" i="16"/>
  <c r="L453" i="21"/>
  <c r="O453" i="21" s="1"/>
  <c r="AG406" i="16"/>
  <c r="L406" i="21"/>
  <c r="O406" i="21" s="1"/>
  <c r="AG479" i="16"/>
  <c r="AG125" i="16"/>
  <c r="L125" i="21"/>
  <c r="O125" i="21" s="1"/>
  <c r="AG137" i="16"/>
  <c r="L137" i="21"/>
  <c r="O137" i="21" s="1"/>
  <c r="AG407" i="16"/>
  <c r="L407" i="21"/>
  <c r="O407" i="21" s="1"/>
  <c r="AG395" i="16"/>
  <c r="L395" i="21"/>
  <c r="O395" i="21" s="1"/>
  <c r="AG444" i="16"/>
  <c r="L444" i="21"/>
  <c r="O444" i="21" s="1"/>
  <c r="AG414" i="16"/>
  <c r="L414" i="21"/>
  <c r="O414" i="21" s="1"/>
  <c r="AG454" i="16"/>
  <c r="L454" i="21"/>
  <c r="O454" i="21" s="1"/>
  <c r="AG423" i="16"/>
  <c r="L423" i="21"/>
  <c r="O423" i="21" s="1"/>
  <c r="AG409" i="16"/>
  <c r="L409" i="21"/>
  <c r="O409" i="21" s="1"/>
  <c r="AG450" i="16"/>
  <c r="L450" i="21"/>
  <c r="O450" i="21" s="1"/>
  <c r="L426" i="21"/>
  <c r="O426" i="21" s="1"/>
  <c r="AG411" i="16"/>
  <c r="L411" i="21"/>
  <c r="O411" i="21" s="1"/>
  <c r="AG396" i="16"/>
  <c r="L396" i="21"/>
  <c r="O396" i="21" s="1"/>
  <c r="AG430" i="16"/>
  <c r="L430" i="21"/>
  <c r="O430" i="21" s="1"/>
  <c r="AG449" i="16"/>
  <c r="L449" i="21"/>
  <c r="O449" i="21" s="1"/>
  <c r="AG225" i="16"/>
  <c r="L225" i="21"/>
  <c r="O225" i="21" s="1"/>
  <c r="AG245" i="16"/>
  <c r="L245" i="21"/>
  <c r="O245" i="21" s="1"/>
  <c r="AG482" i="16"/>
  <c r="L482" i="21"/>
  <c r="O482" i="21" s="1"/>
  <c r="AG481" i="16"/>
  <c r="L481" i="21"/>
  <c r="O481" i="21" s="1"/>
  <c r="AG12" i="16"/>
  <c r="L12" i="21"/>
  <c r="O12" i="21" s="1"/>
  <c r="AG141" i="16"/>
  <c r="L141" i="21"/>
  <c r="O141" i="21" s="1"/>
  <c r="AG136" i="16"/>
  <c r="L136" i="21"/>
  <c r="O136" i="21" s="1"/>
  <c r="AG2" i="16"/>
  <c r="L2" i="21"/>
  <c r="AG434" i="16"/>
  <c r="L434" i="21"/>
  <c r="O434" i="21" s="1"/>
  <c r="AG419" i="16"/>
  <c r="L419" i="21"/>
  <c r="O419" i="21" s="1"/>
  <c r="AG404" i="16"/>
  <c r="L404" i="21"/>
  <c r="O404" i="21" s="1"/>
  <c r="AG389" i="16"/>
  <c r="L389" i="21"/>
  <c r="O389" i="21" s="1"/>
  <c r="AG456" i="16"/>
  <c r="L456" i="21"/>
  <c r="O456" i="21" s="1"/>
  <c r="AG438" i="16"/>
  <c r="L438" i="21"/>
  <c r="O438" i="21" s="1"/>
  <c r="AG457" i="16"/>
  <c r="L457" i="21"/>
  <c r="O457" i="21" s="1"/>
  <c r="L230" i="21"/>
  <c r="O230" i="21" s="1"/>
  <c r="AG7" i="16"/>
  <c r="L7" i="21"/>
  <c r="O7" i="21" s="1"/>
  <c r="AG123" i="16"/>
  <c r="L123" i="21"/>
  <c r="O123" i="21" s="1"/>
  <c r="AG3" i="16"/>
  <c r="L3" i="21"/>
  <c r="O3" i="21" s="1"/>
  <c r="AG144" i="16"/>
  <c r="L144" i="21"/>
  <c r="O144" i="21" s="1"/>
  <c r="AG10" i="16"/>
  <c r="L10" i="21"/>
  <c r="O10" i="21" s="1"/>
  <c r="AG124" i="16"/>
  <c r="L124" i="21"/>
  <c r="O124" i="21" s="1"/>
  <c r="L226" i="21"/>
  <c r="O226" i="21" s="1"/>
  <c r="AG5" i="16"/>
  <c r="L5" i="21"/>
  <c r="O5" i="21" s="1"/>
  <c r="AG142" i="16"/>
  <c r="L142" i="21"/>
  <c r="O142" i="21" s="1"/>
  <c r="AG126" i="16"/>
  <c r="AG122" i="16"/>
  <c r="L122" i="21"/>
  <c r="O122" i="21" s="1"/>
  <c r="AG132" i="16"/>
  <c r="Y5" i="13"/>
  <c r="X44" i="13"/>
  <c r="Y5" i="12"/>
  <c r="X44" i="12"/>
  <c r="L467" i="21" l="1"/>
  <c r="O467" i="21" s="1"/>
  <c r="O315" i="21"/>
  <c r="O380" i="21"/>
  <c r="L393" i="21"/>
  <c r="O393" i="21" s="1"/>
  <c r="L280" i="21"/>
  <c r="O280" i="21" s="1"/>
  <c r="L250" i="21"/>
  <c r="O250" i="21" s="1"/>
  <c r="O327" i="21"/>
  <c r="O372" i="21"/>
  <c r="L398" i="21"/>
  <c r="O398" i="21" s="1"/>
  <c r="AG420" i="16"/>
  <c r="O358" i="21"/>
  <c r="AG251" i="16"/>
  <c r="L461" i="21"/>
  <c r="L465" i="21"/>
  <c r="O465" i="21" s="1"/>
  <c r="L403" i="21"/>
  <c r="O403" i="21" s="1"/>
  <c r="O313" i="21"/>
  <c r="O369" i="21"/>
  <c r="O311" i="21"/>
  <c r="L469" i="21"/>
  <c r="O469" i="21" s="1"/>
  <c r="L399" i="21"/>
  <c r="O399" i="21" s="1"/>
  <c r="L441" i="21"/>
  <c r="O441" i="21" s="1"/>
  <c r="L140" i="21"/>
  <c r="O140" i="21" s="1"/>
  <c r="L135" i="21"/>
  <c r="O135" i="21" s="1"/>
  <c r="O337" i="21"/>
  <c r="L133" i="21"/>
  <c r="O133" i="21" s="1"/>
  <c r="L242" i="21"/>
  <c r="O242" i="21" s="1"/>
  <c r="O316" i="21"/>
  <c r="O194" i="21"/>
  <c r="O310" i="21"/>
  <c r="O340" i="21"/>
  <c r="L11" i="21"/>
  <c r="O11" i="21" s="1"/>
  <c r="O307" i="21"/>
  <c r="O471" i="21"/>
  <c r="O320" i="21"/>
  <c r="O303" i="21"/>
  <c r="L239" i="21"/>
  <c r="O239" i="21" s="1"/>
  <c r="L445" i="21"/>
  <c r="O445" i="21" s="1"/>
  <c r="L433" i="21"/>
  <c r="O433" i="21" s="1"/>
  <c r="L297" i="21"/>
  <c r="O297" i="21" s="1"/>
  <c r="L293" i="21"/>
  <c r="O293" i="21" s="1"/>
  <c r="O321" i="21"/>
  <c r="O347" i="21"/>
  <c r="O375" i="21"/>
  <c r="O355" i="21"/>
  <c r="L231" i="21"/>
  <c r="O231" i="21" s="1"/>
  <c r="L234" i="21"/>
  <c r="O234" i="21" s="1"/>
  <c r="O285" i="21"/>
  <c r="AP4" i="16"/>
  <c r="AQ4" i="16" s="1"/>
  <c r="O344" i="21"/>
  <c r="O350" i="21"/>
  <c r="O373" i="21"/>
  <c r="O357" i="21"/>
  <c r="L248" i="21"/>
  <c r="O248" i="21" s="1"/>
  <c r="AG480" i="16"/>
  <c r="O323" i="21"/>
  <c r="L298" i="21"/>
  <c r="O298" i="21" s="1"/>
  <c r="L289" i="21"/>
  <c r="O289" i="21" s="1"/>
  <c r="L235" i="21"/>
  <c r="O235" i="21" s="1"/>
  <c r="L263" i="21"/>
  <c r="L276" i="21"/>
  <c r="O276" i="21" s="1"/>
  <c r="L228" i="21"/>
  <c r="O228" i="21" s="1"/>
  <c r="L474" i="21"/>
  <c r="O474" i="21" s="1"/>
  <c r="AG232" i="16"/>
  <c r="AG249" i="16"/>
  <c r="O470" i="21"/>
  <c r="AG227" i="16"/>
  <c r="L348" i="21"/>
  <c r="O348" i="21" s="1"/>
  <c r="L351" i="21"/>
  <c r="O351" i="21" s="1"/>
  <c r="L377" i="21"/>
  <c r="O377" i="21" s="1"/>
  <c r="L309" i="21"/>
  <c r="O309" i="21" s="1"/>
  <c r="L338" i="21"/>
  <c r="O338" i="21" s="1"/>
  <c r="L329" i="21"/>
  <c r="O329" i="21" s="1"/>
  <c r="L379" i="21"/>
  <c r="O379" i="21" s="1"/>
  <c r="L364" i="21"/>
  <c r="O364" i="21" s="1"/>
  <c r="L324" i="21"/>
  <c r="O324" i="21" s="1"/>
  <c r="L356" i="21"/>
  <c r="O356" i="21" s="1"/>
  <c r="AG224" i="16"/>
  <c r="L265" i="21"/>
  <c r="O265" i="21" s="1"/>
  <c r="L256" i="21"/>
  <c r="O256" i="21" s="1"/>
  <c r="L299" i="21"/>
  <c r="O299" i="21" s="1"/>
  <c r="L246" i="21"/>
  <c r="O246" i="21" s="1"/>
  <c r="L271" i="21"/>
  <c r="O271" i="21" s="1"/>
  <c r="O464" i="21"/>
  <c r="O461" i="21"/>
  <c r="L325" i="21"/>
  <c r="O325" i="21" s="1"/>
  <c r="L365" i="21"/>
  <c r="O365" i="21" s="1"/>
  <c r="L362" i="21"/>
  <c r="O362" i="21" s="1"/>
  <c r="L224" i="21"/>
  <c r="O224" i="21" s="1"/>
  <c r="L314" i="21"/>
  <c r="O314" i="21" s="1"/>
  <c r="L361" i="21"/>
  <c r="O361" i="21" s="1"/>
  <c r="L345" i="21"/>
  <c r="O345" i="21" s="1"/>
  <c r="L381" i="21"/>
  <c r="O381" i="21" s="1"/>
  <c r="L371" i="21"/>
  <c r="O371" i="21" s="1"/>
  <c r="L328" i="21"/>
  <c r="O328" i="21" s="1"/>
  <c r="L359" i="21"/>
  <c r="O359" i="21" s="1"/>
  <c r="L472" i="21"/>
  <c r="O472" i="21" s="1"/>
  <c r="L292" i="21"/>
  <c r="O292" i="21" s="1"/>
  <c r="L261" i="21"/>
  <c r="O261" i="21" s="1"/>
  <c r="L264" i="21"/>
  <c r="O264" i="21" s="1"/>
  <c r="L258" i="21"/>
  <c r="O258" i="21" s="1"/>
  <c r="L296" i="21"/>
  <c r="O296" i="21" s="1"/>
  <c r="AG475" i="16"/>
  <c r="AC12" i="21" s="1"/>
  <c r="O341" i="21"/>
  <c r="L278" i="21"/>
  <c r="O278" i="21" s="1"/>
  <c r="L322" i="21"/>
  <c r="O322" i="21" s="1"/>
  <c r="L302" i="21"/>
  <c r="O302" i="21" s="1"/>
  <c r="L368" i="21"/>
  <c r="O368" i="21" s="1"/>
  <c r="L335" i="21"/>
  <c r="O335" i="21" s="1"/>
  <c r="L317" i="21"/>
  <c r="O317" i="21" s="1"/>
  <c r="L370" i="21"/>
  <c r="O370" i="21" s="1"/>
  <c r="L346" i="21"/>
  <c r="O346" i="21" s="1"/>
  <c r="L385" i="21"/>
  <c r="O385" i="21" s="1"/>
  <c r="L384" i="21"/>
  <c r="O384" i="21" s="1"/>
  <c r="L332" i="21"/>
  <c r="O332" i="21" s="1"/>
  <c r="L366" i="21"/>
  <c r="O366" i="21" s="1"/>
  <c r="L270" i="21"/>
  <c r="O270" i="21" s="1"/>
  <c r="L266" i="21"/>
  <c r="O266" i="21" s="1"/>
  <c r="L295" i="21"/>
  <c r="O295" i="21" s="1"/>
  <c r="L236" i="21"/>
  <c r="O236" i="21" s="1"/>
  <c r="O367" i="21"/>
  <c r="L273" i="21"/>
  <c r="O273" i="21" s="1"/>
  <c r="L330" i="21"/>
  <c r="O330" i="21" s="1"/>
  <c r="L305" i="21"/>
  <c r="O305" i="21" s="1"/>
  <c r="L374" i="21"/>
  <c r="O374" i="21" s="1"/>
  <c r="L342" i="21"/>
  <c r="O342" i="21" s="1"/>
  <c r="L333" i="21"/>
  <c r="O333" i="21" s="1"/>
  <c r="L378" i="21"/>
  <c r="O378" i="21" s="1"/>
  <c r="L349" i="21"/>
  <c r="O349" i="21" s="1"/>
  <c r="L354" i="21"/>
  <c r="O354" i="21" s="1"/>
  <c r="L304" i="21"/>
  <c r="O304" i="21" s="1"/>
  <c r="L336" i="21"/>
  <c r="O336" i="21" s="1"/>
  <c r="L284" i="21"/>
  <c r="O284" i="21" s="1"/>
  <c r="L282" i="21"/>
  <c r="O282" i="21" s="1"/>
  <c r="L259" i="21"/>
  <c r="O259" i="21" s="1"/>
  <c r="L476" i="21"/>
  <c r="O476" i="21" s="1"/>
  <c r="L300" i="21"/>
  <c r="O300" i="21" s="1"/>
  <c r="L288" i="21"/>
  <c r="O288" i="21" s="1"/>
  <c r="L290" i="21"/>
  <c r="O290" i="21" s="1"/>
  <c r="AG289" i="16"/>
  <c r="AC10" i="21"/>
  <c r="L286" i="21"/>
  <c r="O286" i="21" s="1"/>
  <c r="L287" i="21"/>
  <c r="O287" i="21" s="1"/>
  <c r="L269" i="21"/>
  <c r="O269" i="21" s="1"/>
  <c r="L294" i="21"/>
  <c r="O294" i="21" s="1"/>
  <c r="O339" i="21"/>
  <c r="L241" i="21"/>
  <c r="O241" i="21" s="1"/>
  <c r="L247" i="21"/>
  <c r="O247" i="21" s="1"/>
  <c r="O376" i="21"/>
  <c r="L243" i="21"/>
  <c r="O243" i="21" s="1"/>
  <c r="L281" i="21"/>
  <c r="O281" i="21" s="1"/>
  <c r="L260" i="21"/>
  <c r="O260" i="21" s="1"/>
  <c r="L272" i="21"/>
  <c r="O272" i="21" s="1"/>
  <c r="L257" i="21"/>
  <c r="O257" i="21" s="1"/>
  <c r="L274" i="21"/>
  <c r="O274" i="21" s="1"/>
  <c r="L253" i="21"/>
  <c r="O253" i="21" s="1"/>
  <c r="L255" i="21"/>
  <c r="O255" i="21" s="1"/>
  <c r="L275" i="21"/>
  <c r="O275" i="21" s="1"/>
  <c r="L277" i="21"/>
  <c r="O277" i="21" s="1"/>
  <c r="L268" i="21"/>
  <c r="O268" i="21" s="1"/>
  <c r="L279" i="21"/>
  <c r="O279" i="21" s="1"/>
  <c r="L262" i="21"/>
  <c r="O262" i="21" s="1"/>
  <c r="L291" i="21"/>
  <c r="O291" i="21" s="1"/>
  <c r="L267" i="21"/>
  <c r="O267" i="21" s="1"/>
  <c r="L283" i="21"/>
  <c r="O283" i="21" s="1"/>
  <c r="L254" i="21"/>
  <c r="O254" i="21" s="1"/>
  <c r="L477" i="21"/>
  <c r="O477" i="21" s="1"/>
  <c r="AP6" i="16"/>
  <c r="AQ6" i="16" s="1"/>
  <c r="AP5" i="16"/>
  <c r="AQ5" i="16" s="1"/>
  <c r="L238" i="21"/>
  <c r="O238" i="21" s="1"/>
  <c r="O468" i="21"/>
  <c r="O263" i="21"/>
  <c r="M7" i="26"/>
  <c r="M13" i="26" s="1"/>
  <c r="K13" i="26"/>
  <c r="M9" i="26"/>
  <c r="K14" i="26"/>
  <c r="K15" i="26"/>
  <c r="T11" i="21"/>
  <c r="O387" i="21"/>
  <c r="O301" i="21"/>
  <c r="AC11" i="21"/>
  <c r="O2" i="21"/>
  <c r="Y44" i="12"/>
  <c r="AB5" i="12"/>
  <c r="AB44" i="12" s="1"/>
  <c r="Y44" i="13"/>
  <c r="AB5" i="13"/>
  <c r="W11" i="21" l="1"/>
  <c r="Z11" i="21" s="1"/>
  <c r="AH11" i="21" s="1"/>
  <c r="G5" i="28"/>
  <c r="G10" i="28"/>
  <c r="AC9" i="21"/>
  <c r="T9" i="21"/>
  <c r="T10" i="21"/>
  <c r="AP3" i="16"/>
  <c r="AQ3" i="16" s="1"/>
  <c r="W12" i="21"/>
  <c r="T12" i="21"/>
  <c r="W10" i="21"/>
  <c r="W9" i="21"/>
  <c r="M15" i="26"/>
  <c r="M14" i="26"/>
  <c r="AA218" i="16"/>
  <c r="AG218" i="16" s="1"/>
  <c r="AA124" i="17"/>
  <c r="AA223" i="16"/>
  <c r="AG223" i="16" s="1"/>
  <c r="AA215" i="16"/>
  <c r="AG215" i="16" s="1"/>
  <c r="AA127" i="17"/>
  <c r="AA119" i="17"/>
  <c r="AA219" i="16"/>
  <c r="AG219" i="16" s="1"/>
  <c r="AA220" i="16"/>
  <c r="AG220" i="16" s="1"/>
  <c r="AA122" i="17"/>
  <c r="AA123" i="17"/>
  <c r="AA217" i="16"/>
  <c r="AG217" i="16" s="1"/>
  <c r="AA125" i="17"/>
  <c r="AA222" i="16"/>
  <c r="AG222" i="16" s="1"/>
  <c r="AA214" i="16"/>
  <c r="AG214" i="16" s="1"/>
  <c r="AA120" i="17"/>
  <c r="AA216" i="16"/>
  <c r="AG216" i="16" s="1"/>
  <c r="AA126" i="17"/>
  <c r="AA118" i="17"/>
  <c r="AA221" i="16"/>
  <c r="AG221" i="16" s="1"/>
  <c r="AA121" i="17"/>
  <c r="AB44" i="13"/>
  <c r="AA188" i="16"/>
  <c r="AA180" i="16"/>
  <c r="AA172" i="16"/>
  <c r="AA20" i="16"/>
  <c r="AA187" i="16"/>
  <c r="AA179" i="16"/>
  <c r="AA171" i="16"/>
  <c r="AA186" i="16"/>
  <c r="AA178" i="16"/>
  <c r="AA170" i="16"/>
  <c r="AA18" i="16"/>
  <c r="AA193" i="16"/>
  <c r="AA185" i="16"/>
  <c r="AA177" i="16"/>
  <c r="AA25" i="16"/>
  <c r="AA17" i="16"/>
  <c r="AA192" i="16"/>
  <c r="AA184" i="16"/>
  <c r="AA176" i="16"/>
  <c r="AA24" i="16"/>
  <c r="AA16" i="16"/>
  <c r="AA174" i="16"/>
  <c r="AA15" i="16"/>
  <c r="AA23" i="16"/>
  <c r="AA191" i="16"/>
  <c r="AA173" i="16"/>
  <c r="AA14" i="16"/>
  <c r="AA182" i="16"/>
  <c r="AA22" i="16"/>
  <c r="AA190" i="16"/>
  <c r="AA183" i="16"/>
  <c r="AA189" i="16"/>
  <c r="AA181" i="16"/>
  <c r="AA21" i="16"/>
  <c r="AA175" i="16"/>
  <c r="AA19" i="16"/>
  <c r="Z12" i="21" l="1"/>
  <c r="AH12" i="21" s="1"/>
  <c r="AP8" i="16"/>
  <c r="AQ8" i="16" s="1"/>
  <c r="Z9" i="21"/>
  <c r="AH9" i="21" s="1"/>
  <c r="Z10" i="21"/>
  <c r="AH10" i="21" s="1"/>
  <c r="AG172" i="16"/>
  <c r="L172" i="21"/>
  <c r="O172" i="21" s="1"/>
  <c r="AG191" i="16"/>
  <c r="L191" i="21"/>
  <c r="O191" i="21" s="1"/>
  <c r="AG192" i="16"/>
  <c r="L192" i="21"/>
  <c r="O192" i="21" s="1"/>
  <c r="AG18" i="16"/>
  <c r="L18" i="21"/>
  <c r="O18" i="21" s="1"/>
  <c r="AG178" i="16"/>
  <c r="L178" i="21"/>
  <c r="O178" i="21" s="1"/>
  <c r="AG14" i="16"/>
  <c r="L14" i="21"/>
  <c r="AG183" i="16"/>
  <c r="L183" i="21"/>
  <c r="O183" i="21" s="1"/>
  <c r="AG23" i="16"/>
  <c r="L23" i="21"/>
  <c r="O23" i="21" s="1"/>
  <c r="AG170" i="16"/>
  <c r="L170" i="21"/>
  <c r="O170" i="21" s="1"/>
  <c r="AG20" i="16"/>
  <c r="L20" i="21"/>
  <c r="O20" i="21" s="1"/>
  <c r="AG17" i="16"/>
  <c r="L17" i="21"/>
  <c r="O17" i="21" s="1"/>
  <c r="AG19" i="16"/>
  <c r="L19" i="21"/>
  <c r="O19" i="21" s="1"/>
  <c r="AG174" i="16"/>
  <c r="L174" i="21"/>
  <c r="O174" i="21" s="1"/>
  <c r="AG25" i="16"/>
  <c r="L25" i="21"/>
  <c r="O25" i="21" s="1"/>
  <c r="AG186" i="16"/>
  <c r="L186" i="21"/>
  <c r="O186" i="21" s="1"/>
  <c r="AG180" i="16"/>
  <c r="L180" i="21"/>
  <c r="O180" i="21" s="1"/>
  <c r="AG190" i="16"/>
  <c r="L190" i="21"/>
  <c r="O190" i="21" s="1"/>
  <c r="AG175" i="16"/>
  <c r="L175" i="21"/>
  <c r="O175" i="21" s="1"/>
  <c r="AG22" i="16"/>
  <c r="L22" i="21"/>
  <c r="O22" i="21" s="1"/>
  <c r="AG16" i="16"/>
  <c r="L16" i="21"/>
  <c r="O16" i="21" s="1"/>
  <c r="AG177" i="16"/>
  <c r="L177" i="21"/>
  <c r="O177" i="21" s="1"/>
  <c r="AG188" i="16"/>
  <c r="L188" i="21"/>
  <c r="O188" i="21" s="1"/>
  <c r="AG21" i="16"/>
  <c r="L21" i="21"/>
  <c r="O21" i="21" s="1"/>
  <c r="AG182" i="16"/>
  <c r="L182" i="21"/>
  <c r="O182" i="21" s="1"/>
  <c r="AG24" i="16"/>
  <c r="L24" i="21"/>
  <c r="O24" i="21" s="1"/>
  <c r="AG185" i="16"/>
  <c r="L185" i="21"/>
  <c r="O185" i="21" s="1"/>
  <c r="AG171" i="16"/>
  <c r="L171" i="21"/>
  <c r="O171" i="21" s="1"/>
  <c r="AG15" i="16"/>
  <c r="L15" i="21"/>
  <c r="O15" i="21" s="1"/>
  <c r="AG181" i="16"/>
  <c r="L181" i="21"/>
  <c r="O181" i="21" s="1"/>
  <c r="AG176" i="16"/>
  <c r="L176" i="21"/>
  <c r="O176" i="21" s="1"/>
  <c r="AG193" i="16"/>
  <c r="L222" i="21"/>
  <c r="O222" i="21" s="1"/>
  <c r="L214" i="21"/>
  <c r="O214" i="21" s="1"/>
  <c r="L223" i="21"/>
  <c r="O223" i="21" s="1"/>
  <c r="L220" i="21"/>
  <c r="O220" i="21" s="1"/>
  <c r="L217" i="21"/>
  <c r="O217" i="21" s="1"/>
  <c r="L221" i="21"/>
  <c r="O221" i="21" s="1"/>
  <c r="L216" i="21"/>
  <c r="O216" i="21" s="1"/>
  <c r="L215" i="21"/>
  <c r="O215" i="21" s="1"/>
  <c r="L219" i="21"/>
  <c r="O219" i="21" s="1"/>
  <c r="L193" i="21"/>
  <c r="O193" i="21" s="1"/>
  <c r="L218" i="21"/>
  <c r="O218" i="21" s="1"/>
  <c r="AG179" i="16"/>
  <c r="L179" i="21"/>
  <c r="O179" i="21" s="1"/>
  <c r="AG189" i="16"/>
  <c r="L189" i="21"/>
  <c r="O189" i="21" s="1"/>
  <c r="AG173" i="16"/>
  <c r="L173" i="21"/>
  <c r="O173" i="21" s="1"/>
  <c r="AG184" i="16"/>
  <c r="L184" i="21"/>
  <c r="O184" i="21" s="1"/>
  <c r="AG187" i="16"/>
  <c r="L187" i="21"/>
  <c r="O187" i="21" s="1"/>
  <c r="AP2" i="16" l="1"/>
  <c r="AP7" i="16" s="1"/>
  <c r="O14" i="21"/>
  <c r="W7" i="21" s="1"/>
  <c r="T7" i="21"/>
  <c r="AC7" i="21"/>
  <c r="AQ2" i="16" l="1"/>
  <c r="Z7" i="21"/>
  <c r="AH7" i="21" s="1"/>
  <c r="AQ7" i="16"/>
  <c r="AP9" i="16"/>
  <c r="AQ9" i="16" s="1"/>
  <c r="AE156" i="17" l="1"/>
  <c r="Z156" i="17"/>
  <c r="AF88" i="23"/>
  <c r="AF36" i="23"/>
  <c r="M164" i="21"/>
  <c r="J164" i="21"/>
  <c r="M148" i="21"/>
  <c r="J148" i="21"/>
  <c r="AM42" i="8"/>
  <c r="T42" i="8"/>
  <c r="N42" i="8"/>
  <c r="M76" i="21"/>
  <c r="J76" i="21"/>
  <c r="AE199" i="17"/>
  <c r="Z199" i="17"/>
  <c r="AG63" i="23"/>
  <c r="AG11" i="23"/>
  <c r="AB63" i="23"/>
  <c r="AB11" i="23"/>
  <c r="AE271" i="17"/>
  <c r="Z271" i="17"/>
  <c r="AF85" i="23"/>
  <c r="AF33" i="23"/>
  <c r="AG82" i="23"/>
  <c r="AG30" i="23"/>
  <c r="AM33" i="9"/>
  <c r="T33" i="9"/>
  <c r="N33" i="9"/>
  <c r="AD85" i="17"/>
  <c r="Y85" i="17"/>
  <c r="AF200" i="16"/>
  <c r="Z200" i="16"/>
  <c r="AE242" i="17"/>
  <c r="Z242" i="17"/>
  <c r="AB77" i="23"/>
  <c r="AB25" i="23"/>
  <c r="M65" i="21"/>
  <c r="J65" i="21"/>
  <c r="N277" i="21"/>
  <c r="K277" i="21"/>
  <c r="AF61" i="23"/>
  <c r="AF9" i="23"/>
  <c r="AE246" i="17"/>
  <c r="Z246" i="17"/>
  <c r="AE48" i="16"/>
  <c r="M206" i="21"/>
  <c r="J206" i="21"/>
  <c r="M161" i="21"/>
  <c r="J161" i="21"/>
  <c r="AF306" i="16"/>
  <c r="Z306" i="16"/>
  <c r="AL44" i="8"/>
  <c r="AJ44" i="8"/>
  <c r="AM49" i="9"/>
  <c r="T49" i="9"/>
  <c r="N49" i="9"/>
  <c r="AF333" i="16"/>
  <c r="Z333" i="16"/>
  <c r="M3" i="21"/>
  <c r="J3" i="21"/>
  <c r="N202" i="21"/>
  <c r="K202" i="21"/>
  <c r="Y76" i="16"/>
  <c r="AE76" i="16"/>
  <c r="AE98" i="17"/>
  <c r="Z98" i="17"/>
  <c r="N452" i="21"/>
  <c r="K452" i="21"/>
  <c r="AL9" i="9"/>
  <c r="AJ9" i="9"/>
  <c r="N243" i="21"/>
  <c r="K243" i="21"/>
  <c r="AF275" i="16"/>
  <c r="Z275" i="16"/>
  <c r="AK34" i="8"/>
  <c r="AK34" i="9"/>
  <c r="M208" i="21"/>
  <c r="J208" i="21"/>
  <c r="AE102" i="17"/>
  <c r="Z102" i="17"/>
  <c r="AF11" i="9"/>
  <c r="AP11" i="9"/>
  <c r="N83" i="23"/>
  <c r="N31" i="23"/>
  <c r="AG53" i="8"/>
  <c r="N263" i="21"/>
  <c r="K263" i="21"/>
  <c r="AD28" i="17"/>
  <c r="Y28" i="17"/>
  <c r="AC103" i="23"/>
  <c r="AC51" i="23"/>
  <c r="AF51" i="8"/>
  <c r="AP51" i="8"/>
  <c r="AM33" i="8"/>
  <c r="T33" i="8"/>
  <c r="N33" i="8"/>
  <c r="N335" i="21"/>
  <c r="K335" i="21"/>
  <c r="AD60" i="17"/>
  <c r="Y60" i="17"/>
  <c r="AG60" i="23"/>
  <c r="AG8" i="23"/>
  <c r="AE194" i="17"/>
  <c r="Z194" i="17"/>
  <c r="AE275" i="17"/>
  <c r="Z275" i="17"/>
  <c r="N229" i="21"/>
  <c r="K229" i="21"/>
  <c r="AF364" i="16"/>
  <c r="Z364" i="16"/>
  <c r="AG23" i="9"/>
  <c r="AE23" i="9"/>
  <c r="AO23" i="9"/>
  <c r="AD110" i="17"/>
  <c r="Y110" i="17"/>
  <c r="AE201" i="17"/>
  <c r="Z201" i="17"/>
  <c r="N144" i="21"/>
  <c r="K144" i="21"/>
  <c r="AG40" i="9"/>
  <c r="AE40" i="9"/>
  <c r="AO40" i="9"/>
  <c r="AG96" i="23"/>
  <c r="AG44" i="23"/>
  <c r="AF259" i="16"/>
  <c r="Z259" i="16"/>
  <c r="AM41" i="9"/>
  <c r="T41" i="9"/>
  <c r="N41" i="9"/>
  <c r="Z452" i="16"/>
  <c r="AF452" i="16"/>
  <c r="N368" i="21"/>
  <c r="K368" i="21"/>
  <c r="AC87" i="23"/>
  <c r="AC35" i="23"/>
  <c r="AF35" i="8"/>
  <c r="AP35" i="8"/>
  <c r="N125" i="21"/>
  <c r="K125" i="21"/>
  <c r="N331" i="21"/>
  <c r="K331" i="21"/>
  <c r="AG39" i="9"/>
  <c r="AE39" i="9"/>
  <c r="AO39" i="9"/>
  <c r="AM14" i="8"/>
  <c r="T14" i="8"/>
  <c r="N14" i="8"/>
  <c r="M66" i="21"/>
  <c r="J66" i="21"/>
  <c r="AE223" i="17"/>
  <c r="Z223" i="17"/>
  <c r="AF253" i="16"/>
  <c r="Z253" i="16"/>
  <c r="AF65" i="23"/>
  <c r="AF13" i="23"/>
  <c r="AE235" i="17"/>
  <c r="Z235" i="17"/>
  <c r="AG85" i="23"/>
  <c r="AG33" i="23"/>
  <c r="AF87" i="23"/>
  <c r="AF35" i="23"/>
  <c r="AL41" i="9"/>
  <c r="AJ41" i="9"/>
  <c r="AM43" i="8"/>
  <c r="T43" i="8"/>
  <c r="N43" i="8"/>
  <c r="AE203" i="17"/>
  <c r="Z203" i="17"/>
  <c r="AM27" i="8"/>
  <c r="T27" i="8"/>
  <c r="N27" i="8"/>
  <c r="Y65" i="16"/>
  <c r="AE65" i="16"/>
  <c r="N302" i="21"/>
  <c r="K302" i="21"/>
  <c r="AL39" i="8"/>
  <c r="AJ39" i="8"/>
  <c r="N79" i="23"/>
  <c r="N27" i="23"/>
  <c r="AG43" i="9"/>
  <c r="AE43" i="9"/>
  <c r="AO43" i="9"/>
  <c r="AF330" i="16"/>
  <c r="Z330" i="16"/>
  <c r="AM6" i="8"/>
  <c r="T6" i="8"/>
  <c r="N6" i="8"/>
  <c r="AL15" i="9"/>
  <c r="AJ15" i="9"/>
  <c r="M207" i="21"/>
  <c r="J207" i="21"/>
  <c r="N315" i="21"/>
  <c r="K315" i="21"/>
  <c r="AF298" i="16"/>
  <c r="Z298" i="16"/>
  <c r="N91" i="23"/>
  <c r="N39" i="23"/>
  <c r="AF292" i="16"/>
  <c r="Z292" i="16"/>
  <c r="AG92" i="23"/>
  <c r="AG40" i="23"/>
  <c r="AE33" i="16"/>
  <c r="Y148" i="16"/>
  <c r="AE148" i="16"/>
  <c r="Y33" i="16"/>
  <c r="J33" i="21"/>
  <c r="M33" i="21"/>
  <c r="AF7" i="9"/>
  <c r="AP7" i="9"/>
  <c r="N442" i="21"/>
  <c r="K442" i="21"/>
  <c r="M211" i="21"/>
  <c r="J211" i="21"/>
  <c r="AO11" i="8"/>
  <c r="AE11" i="8"/>
  <c r="AG11" i="8"/>
  <c r="AL43" i="8"/>
  <c r="AJ43" i="8"/>
  <c r="Y66" i="16"/>
  <c r="AE66" i="16"/>
  <c r="AF43" i="9"/>
  <c r="AP43" i="9"/>
  <c r="AF262" i="16"/>
  <c r="Z262" i="16"/>
  <c r="N129" i="21"/>
  <c r="K129" i="21"/>
  <c r="AF363" i="16"/>
  <c r="Z363" i="16"/>
  <c r="AK15" i="8"/>
  <c r="AK15" i="9"/>
  <c r="AL23" i="9"/>
  <c r="AJ23" i="9"/>
  <c r="N264" i="21"/>
  <c r="K264" i="21"/>
  <c r="AD42" i="17"/>
  <c r="Y42" i="17"/>
  <c r="AC85" i="23"/>
  <c r="AC33" i="23"/>
  <c r="AF33" i="8"/>
  <c r="AP33" i="8"/>
  <c r="N360" i="21"/>
  <c r="K360" i="21"/>
  <c r="AL49" i="8"/>
  <c r="AJ49" i="8"/>
  <c r="AK33" i="8"/>
  <c r="AK33" i="6"/>
  <c r="AK33" i="7"/>
  <c r="AK33" i="9"/>
  <c r="AL20" i="9"/>
  <c r="AJ20" i="9"/>
  <c r="AF46" i="9"/>
  <c r="AP46" i="9"/>
  <c r="N95" i="23"/>
  <c r="N43" i="23"/>
  <c r="N410" i="21"/>
  <c r="K410" i="21"/>
  <c r="AF283" i="16"/>
  <c r="Z283" i="16"/>
  <c r="AO25" i="8"/>
  <c r="AE25" i="8"/>
  <c r="AG25" i="8"/>
  <c r="AC60" i="23"/>
  <c r="AC8" i="23"/>
  <c r="AF8" i="8"/>
  <c r="AP8" i="8"/>
  <c r="N347" i="21"/>
  <c r="K347" i="21"/>
  <c r="N6" i="9"/>
  <c r="T6" i="9"/>
  <c r="AM6" i="9"/>
  <c r="AE90" i="17"/>
  <c r="Z90" i="17"/>
  <c r="AF357" i="16"/>
  <c r="Z357" i="16"/>
  <c r="AJ53" i="9"/>
  <c r="AL5" i="9"/>
  <c r="AJ5" i="9"/>
  <c r="AF338" i="16"/>
  <c r="Z338" i="16"/>
  <c r="AE206" i="16"/>
  <c r="Y206" i="16"/>
  <c r="AF16" i="9"/>
  <c r="AP16" i="9"/>
  <c r="AM37" i="8"/>
  <c r="T37" i="8"/>
  <c r="N37" i="8"/>
  <c r="AF248" i="16"/>
  <c r="AD78" i="17"/>
  <c r="Y78" i="17"/>
  <c r="AK40" i="9"/>
  <c r="AK40" i="6"/>
  <c r="AK40" i="7"/>
  <c r="AK40" i="8"/>
  <c r="AG99" i="23"/>
  <c r="AG47" i="23"/>
  <c r="N338" i="21"/>
  <c r="K338" i="21"/>
  <c r="AM40" i="9"/>
  <c r="T40" i="9"/>
  <c r="N40" i="9"/>
  <c r="AL19" i="8"/>
  <c r="AJ19" i="8"/>
  <c r="AE152" i="17"/>
  <c r="Z152" i="17"/>
  <c r="AE143" i="17"/>
  <c r="Z143" i="17"/>
  <c r="AL13" i="8"/>
  <c r="AJ13" i="8"/>
  <c r="Z442" i="16"/>
  <c r="AF442" i="16"/>
  <c r="N480" i="21"/>
  <c r="K480" i="21"/>
  <c r="AE17" i="16"/>
  <c r="AC97" i="23"/>
  <c r="AC45" i="23"/>
  <c r="AF45" i="8"/>
  <c r="AP45" i="8"/>
  <c r="M62" i="21"/>
  <c r="J62" i="21"/>
  <c r="AM27" i="9"/>
  <c r="T27" i="9"/>
  <c r="N27" i="9"/>
  <c r="Y17" i="16"/>
  <c r="J17" i="21"/>
  <c r="M17" i="21"/>
  <c r="Z129" i="16"/>
  <c r="AF129" i="16"/>
  <c r="N241" i="21"/>
  <c r="K241" i="21"/>
  <c r="AF21" i="16"/>
  <c r="AF203" i="16"/>
  <c r="Z203" i="16"/>
  <c r="AM24" i="9"/>
  <c r="T24" i="9"/>
  <c r="N24" i="9"/>
  <c r="AF6" i="9"/>
  <c r="AP6" i="9"/>
  <c r="N8" i="8"/>
  <c r="T8" i="8"/>
  <c r="AM8" i="8"/>
  <c r="AF26" i="9"/>
  <c r="AP26" i="9"/>
  <c r="AL40" i="9"/>
  <c r="AJ40" i="9"/>
  <c r="AB67" i="23"/>
  <c r="AB15" i="23"/>
  <c r="AE259" i="17"/>
  <c r="Z259" i="17"/>
  <c r="AU12" i="16"/>
  <c r="AJ11" i="17"/>
  <c r="AJ2" i="17"/>
  <c r="AD74" i="17"/>
  <c r="Y74" i="17"/>
  <c r="AE211" i="16"/>
  <c r="Y211" i="16"/>
  <c r="AC86" i="23"/>
  <c r="AC34" i="23"/>
  <c r="AF34" i="8"/>
  <c r="AP34" i="8"/>
  <c r="AF376" i="16"/>
  <c r="Z376" i="16"/>
  <c r="N128" i="21"/>
  <c r="K128" i="21"/>
  <c r="AF346" i="16"/>
  <c r="Z346" i="16"/>
  <c r="AK47" i="8"/>
  <c r="AK47" i="6"/>
  <c r="AK47" i="7"/>
  <c r="AK47" i="9"/>
  <c r="AG13" i="8"/>
  <c r="AE89" i="17"/>
  <c r="Z89" i="17"/>
  <c r="AG46" i="9"/>
  <c r="AE46" i="9"/>
  <c r="AO46" i="9"/>
  <c r="U8" i="28"/>
  <c r="AM25" i="7"/>
  <c r="R8" i="28"/>
  <c r="AL39" i="9"/>
  <c r="AJ39" i="9"/>
  <c r="Y62" i="16"/>
  <c r="AE62" i="16"/>
  <c r="AB97" i="23"/>
  <c r="AB45" i="23"/>
  <c r="AF464" i="16"/>
  <c r="Z464" i="16"/>
  <c r="AC75" i="23"/>
  <c r="AC23" i="23"/>
  <c r="AF23" i="8"/>
  <c r="AP23" i="8"/>
  <c r="AG91" i="23"/>
  <c r="AG39" i="23"/>
  <c r="AF258" i="16"/>
  <c r="Z258" i="16"/>
  <c r="AF351" i="16"/>
  <c r="Z351" i="16"/>
  <c r="AE30" i="16"/>
  <c r="Z21" i="16"/>
  <c r="K21" i="21"/>
  <c r="N21" i="21"/>
  <c r="N269" i="21"/>
  <c r="K269" i="21"/>
  <c r="AE100" i="17"/>
  <c r="Z100" i="17"/>
  <c r="AM36" i="9"/>
  <c r="T36" i="9"/>
  <c r="N36" i="9"/>
  <c r="N297" i="21"/>
  <c r="K297" i="21"/>
  <c r="AG17" i="9"/>
  <c r="AE17" i="9"/>
  <c r="AO17" i="9"/>
  <c r="AE163" i="16"/>
  <c r="N393" i="21"/>
  <c r="K393" i="21"/>
  <c r="AG9" i="21"/>
  <c r="Y9" i="21"/>
  <c r="S9" i="21"/>
  <c r="N433" i="21"/>
  <c r="K433" i="21"/>
  <c r="N23" i="21"/>
  <c r="K23" i="21"/>
  <c r="N346" i="21"/>
  <c r="K346" i="21"/>
  <c r="AB81" i="23"/>
  <c r="AB29" i="23"/>
  <c r="AF7" i="21"/>
  <c r="X7" i="21"/>
  <c r="R7" i="21"/>
  <c r="AD20" i="17"/>
  <c r="Y20" i="17"/>
  <c r="AL34" i="9"/>
  <c r="AJ34" i="9"/>
  <c r="AL31" i="8"/>
  <c r="AJ31" i="8"/>
  <c r="AB85" i="23"/>
  <c r="AB33" i="23"/>
  <c r="Z128" i="16"/>
  <c r="AF128" i="16"/>
  <c r="AF349" i="16"/>
  <c r="Z349" i="16"/>
  <c r="AF10" i="9"/>
  <c r="AP10" i="9"/>
  <c r="AE132" i="17"/>
  <c r="Z132" i="17"/>
  <c r="AG51" i="9"/>
  <c r="AE51" i="9"/>
  <c r="AO51" i="9"/>
  <c r="N285" i="21"/>
  <c r="K285" i="21"/>
  <c r="Y3" i="16"/>
  <c r="AE3" i="16"/>
  <c r="AG8" i="8"/>
  <c r="M58" i="21"/>
  <c r="J58" i="21"/>
  <c r="AF14" i="16"/>
  <c r="N303" i="21"/>
  <c r="K303" i="21"/>
  <c r="AO45" i="8"/>
  <c r="AE45" i="8"/>
  <c r="AG45" i="8"/>
  <c r="AM29" i="9"/>
  <c r="T29" i="9"/>
  <c r="N29" i="9"/>
  <c r="Z480" i="16"/>
  <c r="AF480" i="16"/>
  <c r="AK11" i="9"/>
  <c r="AK11" i="6"/>
  <c r="AK11" i="7"/>
  <c r="AK11" i="8"/>
  <c r="R29" i="28"/>
  <c r="AM47" i="7"/>
  <c r="U29" i="28"/>
  <c r="AF423" i="16"/>
  <c r="AL7" i="16"/>
  <c r="AK7" i="16"/>
  <c r="AO8" i="8"/>
  <c r="AE8" i="8"/>
  <c r="AB8" i="23"/>
  <c r="AB60" i="23"/>
  <c r="AG58" i="23"/>
  <c r="AG6" i="23"/>
  <c r="AK39" i="9"/>
  <c r="AK39" i="6"/>
  <c r="AK39" i="7"/>
  <c r="AK39" i="8"/>
  <c r="AE104" i="17"/>
  <c r="Z104" i="17"/>
  <c r="M106" i="21"/>
  <c r="J106" i="21"/>
  <c r="M6" i="21"/>
  <c r="J6" i="21"/>
  <c r="Z229" i="16"/>
  <c r="AF229" i="16"/>
  <c r="N273" i="21"/>
  <c r="K273" i="21"/>
  <c r="AF445" i="16"/>
  <c r="Y163" i="16"/>
  <c r="J163" i="21"/>
  <c r="M163" i="21"/>
  <c r="AE80" i="16"/>
  <c r="AG28" i="8"/>
  <c r="AF30" i="9"/>
  <c r="AP30" i="9"/>
  <c r="AO28" i="8"/>
  <c r="AE28" i="8"/>
  <c r="AB28" i="23"/>
  <c r="AB80" i="23"/>
  <c r="N252" i="21"/>
  <c r="K252" i="21"/>
  <c r="AE149" i="17"/>
  <c r="Z149" i="17"/>
  <c r="N59" i="23"/>
  <c r="N7" i="23"/>
  <c r="AE69" i="17"/>
  <c r="Z69" i="17"/>
  <c r="AO33" i="8"/>
  <c r="AE33" i="8"/>
  <c r="AG33" i="8"/>
  <c r="Y164" i="16"/>
  <c r="AE164" i="16"/>
  <c r="AK34" i="6"/>
  <c r="AK34" i="7"/>
  <c r="AG34" i="23"/>
  <c r="AG86" i="23"/>
  <c r="Z241" i="16"/>
  <c r="AF241" i="16"/>
  <c r="AE251" i="17"/>
  <c r="Z251" i="17"/>
  <c r="AE95" i="17"/>
  <c r="Z95" i="17"/>
  <c r="N14" i="9"/>
  <c r="T14" i="9"/>
  <c r="AM14" i="9"/>
  <c r="AD77" i="17"/>
  <c r="Y77" i="17"/>
  <c r="AK8" i="8"/>
  <c r="AK8" i="6"/>
  <c r="AK8" i="7"/>
  <c r="AK8" i="9"/>
  <c r="Z243" i="16"/>
  <c r="AF243" i="16"/>
  <c r="AK15" i="7"/>
  <c r="AG15" i="23"/>
  <c r="AG67" i="23"/>
  <c r="Z125" i="16"/>
  <c r="AF125" i="16"/>
  <c r="AK30" i="8"/>
  <c r="AK30" i="6"/>
  <c r="AK30" i="7"/>
  <c r="AK30" i="9"/>
  <c r="AL32" i="9"/>
  <c r="AJ32" i="9"/>
  <c r="Z423" i="16"/>
  <c r="K423" i="21"/>
  <c r="N423" i="21"/>
  <c r="AK2" i="16"/>
  <c r="AL2" i="16"/>
  <c r="AK6" i="9"/>
  <c r="AK6" i="7"/>
  <c r="AK6" i="8"/>
  <c r="N110" i="21"/>
  <c r="K110" i="21"/>
  <c r="Q34" i="28"/>
  <c r="AM15" i="7"/>
  <c r="T34" i="28"/>
  <c r="AL45" i="9"/>
  <c r="AJ45" i="9"/>
  <c r="M51" i="21"/>
  <c r="J51" i="21"/>
  <c r="Y6" i="16"/>
  <c r="AE6" i="16"/>
  <c r="Z110" i="16"/>
  <c r="AF110" i="16"/>
  <c r="N8" i="9"/>
  <c r="T8" i="9"/>
  <c r="AM8" i="9"/>
  <c r="V13" i="25"/>
  <c r="V7" i="25"/>
  <c r="Y58" i="16"/>
  <c r="AE58" i="16"/>
  <c r="Z445" i="16"/>
  <c r="K445" i="21"/>
  <c r="N445" i="21"/>
  <c r="AF280" i="16"/>
  <c r="Z280" i="16"/>
  <c r="AE87" i="17"/>
  <c r="Z87" i="17"/>
  <c r="AC88" i="23"/>
  <c r="AP36" i="8"/>
  <c r="AF36" i="8"/>
  <c r="AC36" i="23"/>
  <c r="Y80" i="16"/>
  <c r="J80" i="21"/>
  <c r="M80" i="21"/>
  <c r="AD22" i="17"/>
  <c r="Y22" i="17"/>
  <c r="AF181" i="16"/>
  <c r="AL37" i="9"/>
  <c r="AJ37" i="9"/>
  <c r="N34" i="9"/>
  <c r="T34" i="9"/>
  <c r="AM34" i="9"/>
  <c r="AL51" i="9"/>
  <c r="AJ51" i="9"/>
  <c r="AM35" i="8"/>
  <c r="T35" i="8"/>
  <c r="N35" i="8"/>
  <c r="AF48" i="9"/>
  <c r="AP48" i="9"/>
  <c r="N471" i="21"/>
  <c r="K471" i="21"/>
  <c r="AG97" i="23"/>
  <c r="AG45" i="23"/>
  <c r="N337" i="21"/>
  <c r="K337" i="21"/>
  <c r="S14" i="25"/>
  <c r="S9" i="25"/>
  <c r="S15" i="25"/>
  <c r="N4" i="21"/>
  <c r="K4" i="21"/>
  <c r="AG9" i="9"/>
  <c r="AE9" i="9"/>
  <c r="AO9" i="9"/>
  <c r="Z393" i="16"/>
  <c r="AF393" i="16"/>
  <c r="AE169" i="17"/>
  <c r="Z169" i="17"/>
  <c r="AL53" i="9"/>
  <c r="AE238" i="17"/>
  <c r="Z238" i="17"/>
  <c r="AE66" i="17"/>
  <c r="Z66" i="17"/>
  <c r="AL38" i="9"/>
  <c r="AJ38" i="9"/>
  <c r="N326" i="21"/>
  <c r="K326" i="21"/>
  <c r="N404" i="21"/>
  <c r="K404" i="21"/>
  <c r="AC74" i="23"/>
  <c r="AC22" i="23"/>
  <c r="AF22" i="8"/>
  <c r="AP22" i="8"/>
  <c r="AM45" i="8"/>
  <c r="T45" i="8"/>
  <c r="N45" i="8"/>
  <c r="AC67" i="23"/>
  <c r="AC15" i="23"/>
  <c r="AF15" i="8"/>
  <c r="AP15" i="8"/>
  <c r="AF421" i="16"/>
  <c r="AF328" i="16"/>
  <c r="Z328" i="16"/>
  <c r="AE72" i="17"/>
  <c r="Z72" i="17"/>
  <c r="AE107" i="16"/>
  <c r="N133" i="21"/>
  <c r="K133" i="21"/>
  <c r="M32" i="21"/>
  <c r="J32" i="21"/>
  <c r="AD4" i="17"/>
  <c r="Y4" i="17"/>
  <c r="AE245" i="17"/>
  <c r="Z245" i="17"/>
  <c r="N114" i="21"/>
  <c r="K114" i="21"/>
  <c r="AM9" i="8"/>
  <c r="T9" i="8"/>
  <c r="N9" i="8"/>
  <c r="AF360" i="16"/>
  <c r="Z360" i="16"/>
  <c r="AE126" i="17"/>
  <c r="Z126" i="17"/>
  <c r="AE55" i="16"/>
  <c r="AE36" i="16"/>
  <c r="AE209" i="17"/>
  <c r="Z209" i="17"/>
  <c r="AE274" i="17"/>
  <c r="Z274" i="17"/>
  <c r="Z410" i="16"/>
  <c r="AF410" i="16"/>
  <c r="N70" i="23"/>
  <c r="N18" i="23"/>
  <c r="AE230" i="17"/>
  <c r="Z230" i="17"/>
  <c r="N101" i="23"/>
  <c r="N49" i="23"/>
  <c r="Z23" i="16"/>
  <c r="AF23" i="16"/>
  <c r="AG41" i="8"/>
  <c r="AF9" i="16"/>
  <c r="N25" i="8"/>
  <c r="T25" i="8"/>
  <c r="AM25" i="8"/>
  <c r="AE27" i="16"/>
  <c r="Z421" i="16"/>
  <c r="K421" i="21"/>
  <c r="N421" i="21"/>
  <c r="AG36" i="8"/>
  <c r="AE224" i="17"/>
  <c r="Z224" i="17"/>
  <c r="AF17" i="9"/>
  <c r="AP17" i="9"/>
  <c r="N473" i="21"/>
  <c r="K473" i="21"/>
  <c r="AD21" i="17"/>
  <c r="Y21" i="17"/>
  <c r="N200" i="21"/>
  <c r="K200" i="21"/>
  <c r="N334" i="21"/>
  <c r="K334" i="21"/>
  <c r="Y106" i="16"/>
  <c r="AE106" i="16"/>
  <c r="AE13" i="16"/>
  <c r="AG47" i="8"/>
  <c r="AB95" i="23"/>
  <c r="AB43" i="23"/>
  <c r="N341" i="21"/>
  <c r="K341" i="21"/>
  <c r="N96" i="21"/>
  <c r="K96" i="21"/>
  <c r="AF47" i="9"/>
  <c r="AP47" i="9"/>
  <c r="AG22" i="9"/>
  <c r="AE22" i="9"/>
  <c r="AO22" i="9"/>
  <c r="AP55" i="8"/>
  <c r="AP53" i="8"/>
  <c r="AK41" i="8"/>
  <c r="AK41" i="9"/>
  <c r="N220" i="21"/>
  <c r="K220" i="21"/>
  <c r="AE196" i="17"/>
  <c r="Z196" i="17"/>
  <c r="AF28" i="9"/>
  <c r="AP28" i="9"/>
  <c r="AO41" i="8"/>
  <c r="AE41" i="8"/>
  <c r="AB41" i="23"/>
  <c r="AB93" i="23"/>
  <c r="AE206" i="17"/>
  <c r="Z206" i="17"/>
  <c r="N402" i="21"/>
  <c r="K402" i="21"/>
  <c r="AF101" i="23"/>
  <c r="AF49" i="23"/>
  <c r="AF272" i="16"/>
  <c r="Z272" i="16"/>
  <c r="AF377" i="16"/>
  <c r="Z377" i="16"/>
  <c r="AF40" i="9"/>
  <c r="AP40" i="9"/>
  <c r="AF177" i="16"/>
  <c r="N8" i="23"/>
  <c r="N60" i="23"/>
  <c r="Y27" i="16"/>
  <c r="J27" i="21"/>
  <c r="M27" i="21"/>
  <c r="AF122" i="16"/>
  <c r="AO15" i="8"/>
  <c r="AE15" i="8"/>
  <c r="AG15" i="8"/>
  <c r="AO36" i="8"/>
  <c r="AE36" i="8"/>
  <c r="AB36" i="23"/>
  <c r="AB88" i="23"/>
  <c r="N61" i="23"/>
  <c r="N9" i="23"/>
  <c r="N191" i="21"/>
  <c r="K191" i="21"/>
  <c r="AM37" i="9"/>
  <c r="T37" i="9"/>
  <c r="N37" i="9"/>
  <c r="N378" i="21"/>
  <c r="K378" i="21"/>
  <c r="AK53" i="8"/>
  <c r="N93" i="21"/>
  <c r="K93" i="21"/>
  <c r="N322" i="21"/>
  <c r="K322" i="21"/>
  <c r="AO47" i="8"/>
  <c r="AE47" i="8"/>
  <c r="AB47" i="23"/>
  <c r="AB99" i="23"/>
  <c r="AE153" i="17"/>
  <c r="Z153" i="17"/>
  <c r="N359" i="21"/>
  <c r="K359" i="21"/>
  <c r="N67" i="23"/>
  <c r="N15" i="23"/>
  <c r="N226" i="21"/>
  <c r="K226" i="21"/>
  <c r="AF296" i="16"/>
  <c r="Z296" i="16"/>
  <c r="N356" i="21"/>
  <c r="K356" i="21"/>
  <c r="N102" i="23"/>
  <c r="N50" i="23"/>
  <c r="AP17" i="8"/>
  <c r="AF17" i="8"/>
  <c r="AC17" i="23"/>
  <c r="AC69" i="23"/>
  <c r="AF70" i="23"/>
  <c r="AF18" i="23"/>
  <c r="Z433" i="16"/>
  <c r="AF433" i="16"/>
  <c r="N90" i="23"/>
  <c r="N38" i="23"/>
  <c r="AE209" i="16"/>
  <c r="Y209" i="16"/>
  <c r="Y48" i="16"/>
  <c r="J48" i="21"/>
  <c r="M48" i="21"/>
  <c r="AK41" i="6"/>
  <c r="AK41" i="7"/>
  <c r="AG41" i="23"/>
  <c r="AG93" i="23"/>
  <c r="Q35" i="28"/>
  <c r="AM16" i="7"/>
  <c r="T35" i="28"/>
  <c r="N467" i="21"/>
  <c r="K467" i="21"/>
  <c r="N20" i="9"/>
  <c r="T20" i="9"/>
  <c r="AM20" i="9"/>
  <c r="N432" i="21"/>
  <c r="K432" i="21"/>
  <c r="Z402" i="16"/>
  <c r="AF402" i="16"/>
  <c r="Y161" i="16"/>
  <c r="AE161" i="16"/>
  <c r="Z122" i="16"/>
  <c r="K122" i="21"/>
  <c r="N122" i="21"/>
  <c r="AE59" i="16"/>
  <c r="Z177" i="16"/>
  <c r="K177" i="21"/>
  <c r="N177" i="21"/>
  <c r="AB96" i="23"/>
  <c r="AB44" i="23"/>
  <c r="Z4" i="16"/>
  <c r="AF4" i="16"/>
  <c r="Y107" i="16"/>
  <c r="J107" i="21"/>
  <c r="M107" i="21"/>
  <c r="AG12" i="9"/>
  <c r="AE12" i="9"/>
  <c r="AO12" i="9"/>
  <c r="Y59" i="16"/>
  <c r="J59" i="21"/>
  <c r="M59" i="21"/>
  <c r="N424" i="21"/>
  <c r="K424" i="21"/>
  <c r="AE162" i="16"/>
  <c r="U28" i="28"/>
  <c r="AM46" i="7"/>
  <c r="R28" i="28"/>
  <c r="AE227" i="17"/>
  <c r="Z227" i="17"/>
  <c r="AB90" i="23"/>
  <c r="AB38" i="23"/>
  <c r="U32" i="28"/>
  <c r="AM50" i="7"/>
  <c r="R32" i="28"/>
  <c r="AM10" i="8"/>
  <c r="T10" i="8"/>
  <c r="N10" i="8"/>
  <c r="AM12" i="8"/>
  <c r="T12" i="8"/>
  <c r="N12" i="8"/>
  <c r="AC62" i="23"/>
  <c r="AC10" i="23"/>
  <c r="AF10" i="8"/>
  <c r="AP10" i="8"/>
  <c r="AC73" i="23"/>
  <c r="AC21" i="23"/>
  <c r="AF21" i="8"/>
  <c r="AP21" i="8"/>
  <c r="N121" i="21"/>
  <c r="K121" i="21"/>
  <c r="AF194" i="16"/>
  <c r="Z194" i="16"/>
  <c r="N385" i="21"/>
  <c r="K385" i="21"/>
  <c r="AG13" i="9"/>
  <c r="AE13" i="9"/>
  <c r="AO13" i="9"/>
  <c r="AL24" i="9"/>
  <c r="AJ24" i="9"/>
  <c r="N180" i="21"/>
  <c r="K180" i="21"/>
  <c r="AF380" i="16"/>
  <c r="Z380" i="16"/>
  <c r="M56" i="21"/>
  <c r="J56" i="21"/>
  <c r="AF120" i="16"/>
  <c r="AE18" i="16"/>
  <c r="Z432" i="16"/>
  <c r="AF432" i="16"/>
  <c r="AD37" i="17"/>
  <c r="Y37" i="17"/>
  <c r="N278" i="21"/>
  <c r="K278" i="21"/>
  <c r="AF315" i="16"/>
  <c r="Z315" i="16"/>
  <c r="N13" i="9"/>
  <c r="T13" i="9"/>
  <c r="AM13" i="9"/>
  <c r="N21" i="9"/>
  <c r="T21" i="9"/>
  <c r="AM21" i="9"/>
  <c r="AF325" i="16"/>
  <c r="Z325" i="16"/>
  <c r="AK45" i="8"/>
  <c r="AK45" i="6"/>
  <c r="AK45" i="7"/>
  <c r="AK45" i="9"/>
  <c r="AO36" i="9"/>
  <c r="AE36" i="9"/>
  <c r="AG36" i="9"/>
  <c r="N316" i="21"/>
  <c r="K316" i="21"/>
  <c r="AC58" i="23"/>
  <c r="AC6" i="23"/>
  <c r="AF6" i="8"/>
  <c r="AP6" i="8"/>
  <c r="AE154" i="17"/>
  <c r="Z154" i="17"/>
  <c r="AG98" i="23"/>
  <c r="AG46" i="23"/>
  <c r="N439" i="21"/>
  <c r="K439" i="21"/>
  <c r="AE250" i="17"/>
  <c r="Z250" i="17"/>
  <c r="AL6" i="16"/>
  <c r="AK6" i="16"/>
  <c r="N271" i="21"/>
  <c r="K271" i="21"/>
  <c r="M205" i="21"/>
  <c r="J205" i="21"/>
  <c r="N13" i="21"/>
  <c r="K13" i="21"/>
  <c r="AG46" i="8"/>
  <c r="AL19" i="9"/>
  <c r="AJ19" i="9"/>
  <c r="AM32" i="9"/>
  <c r="T32" i="9"/>
  <c r="N32" i="9"/>
  <c r="AF388" i="16"/>
  <c r="M12" i="21"/>
  <c r="J12" i="21"/>
  <c r="M8" i="21"/>
  <c r="J8" i="21"/>
  <c r="N305" i="21"/>
  <c r="K305" i="21"/>
  <c r="AE232" i="17"/>
  <c r="Z232" i="17"/>
  <c r="AF50" i="9"/>
  <c r="AP50" i="9"/>
  <c r="Z14" i="16"/>
  <c r="K14" i="21"/>
  <c r="N14" i="21"/>
  <c r="Z181" i="16"/>
  <c r="K181" i="21"/>
  <c r="N181" i="21"/>
  <c r="AL18" i="9"/>
  <c r="AJ18" i="9"/>
  <c r="Z248" i="16"/>
  <c r="K248" i="21"/>
  <c r="N248" i="21"/>
  <c r="Z9" i="16"/>
  <c r="K9" i="21"/>
  <c r="N9" i="21"/>
  <c r="AF415" i="16"/>
  <c r="Z252" i="16"/>
  <c r="AF252" i="16"/>
  <c r="AF223" i="16"/>
  <c r="Z223" i="16"/>
  <c r="AF199" i="16"/>
  <c r="Z199" i="16"/>
  <c r="Z404" i="16"/>
  <c r="AF404" i="16"/>
  <c r="AO29" i="8"/>
  <c r="AE29" i="8"/>
  <c r="AG29" i="8"/>
  <c r="Y30" i="16"/>
  <c r="J30" i="21"/>
  <c r="M30" i="21"/>
  <c r="AE136" i="17"/>
  <c r="Z136" i="17"/>
  <c r="AO44" i="8"/>
  <c r="AE44" i="8"/>
  <c r="AG44" i="8"/>
  <c r="N399" i="21"/>
  <c r="K399" i="21"/>
  <c r="AF22" i="9"/>
  <c r="AP22" i="9"/>
  <c r="M40" i="21"/>
  <c r="J40" i="21"/>
  <c r="AG7" i="9"/>
  <c r="AE7" i="9"/>
  <c r="AO7" i="9"/>
  <c r="AG27" i="8"/>
  <c r="AK44" i="8"/>
  <c r="AK44" i="6"/>
  <c r="AK44" i="7"/>
  <c r="AK44" i="9"/>
  <c r="N92" i="23"/>
  <c r="N40" i="23"/>
  <c r="AE233" i="17"/>
  <c r="Z233" i="17"/>
  <c r="Y13" i="16"/>
  <c r="J13" i="21"/>
  <c r="M13" i="21"/>
  <c r="N298" i="21"/>
  <c r="K298" i="21"/>
  <c r="AM48" i="8"/>
  <c r="T48" i="8"/>
  <c r="N48" i="8"/>
  <c r="AE35" i="16"/>
  <c r="AE138" i="17"/>
  <c r="Z138" i="17"/>
  <c r="AE101" i="17"/>
  <c r="Z101" i="17"/>
  <c r="Z180" i="16"/>
  <c r="AF180" i="16"/>
  <c r="Y8" i="16"/>
  <c r="AE8" i="16"/>
  <c r="AL4" i="16"/>
  <c r="AK4" i="16"/>
  <c r="Y12" i="16"/>
  <c r="AE12" i="16"/>
  <c r="N405" i="21"/>
  <c r="K405" i="21"/>
  <c r="R13" i="25"/>
  <c r="R7" i="25"/>
  <c r="AF261" i="16"/>
  <c r="Z261" i="16"/>
  <c r="AF375" i="16"/>
  <c r="Z375" i="16"/>
  <c r="AF217" i="16"/>
  <c r="Z217" i="16"/>
  <c r="N280" i="21"/>
  <c r="K280" i="21"/>
  <c r="AF63" i="23"/>
  <c r="AF11" i="23"/>
  <c r="AF418" i="16"/>
  <c r="AF350" i="16"/>
  <c r="Z350" i="16"/>
  <c r="N228" i="21"/>
  <c r="K228" i="21"/>
  <c r="AE41" i="16"/>
  <c r="AF20" i="16"/>
  <c r="N380" i="21"/>
  <c r="K380" i="21"/>
  <c r="N73" i="23"/>
  <c r="N21" i="23"/>
  <c r="AB76" i="23"/>
  <c r="AB24" i="23"/>
  <c r="N123" i="21"/>
  <c r="K123" i="21"/>
  <c r="AD8" i="17"/>
  <c r="Y8" i="17"/>
  <c r="N401" i="21"/>
  <c r="K401" i="21"/>
  <c r="AF99" i="23"/>
  <c r="AF47" i="23"/>
  <c r="AF82" i="23"/>
  <c r="AF30" i="23"/>
  <c r="N290" i="21"/>
  <c r="K290" i="21"/>
  <c r="AE52" i="16"/>
  <c r="AE195" i="17"/>
  <c r="Z195" i="17"/>
  <c r="AL26" i="8"/>
  <c r="AJ26" i="8"/>
  <c r="AB12" i="21"/>
  <c r="AF277" i="16"/>
  <c r="Z277" i="16"/>
  <c r="AM44" i="8"/>
  <c r="T44" i="8"/>
  <c r="N44" i="8"/>
  <c r="AD54" i="17"/>
  <c r="Y54" i="17"/>
  <c r="AD111" i="17"/>
  <c r="Y111" i="17"/>
  <c r="AF18" i="9"/>
  <c r="AP18" i="9"/>
  <c r="Z418" i="16"/>
  <c r="K418" i="21"/>
  <c r="N418" i="21"/>
  <c r="AF171" i="16"/>
  <c r="N38" i="9"/>
  <c r="T38" i="9"/>
  <c r="AM38" i="9"/>
  <c r="N370" i="21"/>
  <c r="K370" i="21"/>
  <c r="AF9" i="9"/>
  <c r="AP9" i="9"/>
  <c r="Y41" i="16"/>
  <c r="J41" i="21"/>
  <c r="M41" i="21"/>
  <c r="Z20" i="16"/>
  <c r="K20" i="21"/>
  <c r="N20" i="21"/>
  <c r="AG11" i="21"/>
  <c r="Y11" i="21"/>
  <c r="S11" i="21"/>
  <c r="AE119" i="17"/>
  <c r="Z119" i="17"/>
  <c r="AF36" i="9"/>
  <c r="AP36" i="9"/>
  <c r="N111" i="21"/>
  <c r="K111" i="21"/>
  <c r="N286" i="21"/>
  <c r="K286" i="21"/>
  <c r="AE216" i="17"/>
  <c r="Z216" i="17"/>
  <c r="AF59" i="23"/>
  <c r="AF7" i="23"/>
  <c r="AF477" i="16"/>
  <c r="Z129" i="17"/>
  <c r="AE129" i="17"/>
  <c r="AJ8" i="17"/>
  <c r="N462" i="21"/>
  <c r="K462" i="21"/>
  <c r="N412" i="21"/>
  <c r="K412" i="21"/>
  <c r="AM50" i="9"/>
  <c r="T50" i="9"/>
  <c r="N50" i="9"/>
  <c r="N358" i="21"/>
  <c r="K358" i="21"/>
  <c r="N306" i="21"/>
  <c r="K306" i="21"/>
  <c r="N19" i="9"/>
  <c r="T19" i="9"/>
  <c r="AM19" i="9"/>
  <c r="AO38" i="8"/>
  <c r="AE38" i="8"/>
  <c r="AG38" i="8"/>
  <c r="AO27" i="8"/>
  <c r="AE27" i="8"/>
  <c r="AB27" i="23"/>
  <c r="AB79" i="23"/>
  <c r="AG21" i="8"/>
  <c r="N317" i="21"/>
  <c r="K317" i="21"/>
  <c r="Z133" i="16"/>
  <c r="AF133" i="16"/>
  <c r="Z473" i="16"/>
  <c r="AF473" i="16"/>
  <c r="Z439" i="16"/>
  <c r="AF439" i="16"/>
  <c r="Z93" i="16"/>
  <c r="AF93" i="16"/>
  <c r="AO46" i="8"/>
  <c r="AE46" i="8"/>
  <c r="AB46" i="23"/>
  <c r="AB98" i="23"/>
  <c r="AE180" i="17"/>
  <c r="Z180" i="17"/>
  <c r="AO43" i="8"/>
  <c r="AE43" i="8"/>
  <c r="AG43" i="8"/>
  <c r="N354" i="21"/>
  <c r="K354" i="21"/>
  <c r="AE210" i="17"/>
  <c r="Z210" i="17"/>
  <c r="AF6" i="16"/>
  <c r="AL9" i="7"/>
  <c r="Y35" i="16"/>
  <c r="J35" i="21"/>
  <c r="M35" i="21"/>
  <c r="AE171" i="17"/>
  <c r="Z171" i="17"/>
  <c r="AD29" i="17"/>
  <c r="Y29" i="17"/>
  <c r="AF74" i="23"/>
  <c r="AF22" i="23"/>
  <c r="AK31" i="9"/>
  <c r="AK31" i="8"/>
  <c r="AD115" i="17"/>
  <c r="Y115" i="17"/>
  <c r="Y55" i="16"/>
  <c r="J55" i="21"/>
  <c r="M55" i="21"/>
  <c r="AF472" i="16"/>
  <c r="AU6" i="16"/>
  <c r="AV6" i="16"/>
  <c r="N329" i="21"/>
  <c r="K329" i="21"/>
  <c r="AF126" i="16"/>
  <c r="Z171" i="16"/>
  <c r="K171" i="21"/>
  <c r="N171" i="21"/>
  <c r="AF287" i="16"/>
  <c r="Z287" i="16"/>
  <c r="AL6" i="8"/>
  <c r="AJ6" i="8"/>
  <c r="AO19" i="9"/>
  <c r="AE19" i="9"/>
  <c r="AG19" i="9"/>
  <c r="AE144" i="17"/>
  <c r="Z144" i="17"/>
  <c r="Z111" i="16"/>
  <c r="AF111" i="16"/>
  <c r="AF341" i="16"/>
  <c r="Z341" i="16"/>
  <c r="AE178" i="17"/>
  <c r="Z178" i="17"/>
  <c r="AE120" i="17"/>
  <c r="Z120" i="17"/>
  <c r="AE247" i="17"/>
  <c r="Z247" i="17"/>
  <c r="M81" i="21"/>
  <c r="J81" i="21"/>
  <c r="AF321" i="16"/>
  <c r="Z321" i="16"/>
  <c r="U6" i="28"/>
  <c r="AM18" i="7"/>
  <c r="R6" i="28"/>
  <c r="N272" i="21"/>
  <c r="K272" i="21"/>
  <c r="Z477" i="16"/>
  <c r="K477" i="21"/>
  <c r="N477" i="21"/>
  <c r="AM17" i="9"/>
  <c r="T17" i="9"/>
  <c r="N17" i="9"/>
  <c r="AF285" i="16"/>
  <c r="Z285" i="16"/>
  <c r="AD59" i="17"/>
  <c r="Y59" i="17"/>
  <c r="N88" i="21"/>
  <c r="K88" i="21"/>
  <c r="Z6" i="16"/>
  <c r="K6" i="21"/>
  <c r="N6" i="21"/>
  <c r="AJ9" i="7"/>
  <c r="AJ9" i="8"/>
  <c r="AL9" i="8"/>
  <c r="Y81" i="16"/>
  <c r="AE81" i="16"/>
  <c r="AG78" i="23"/>
  <c r="AG26" i="23"/>
  <c r="AE244" i="17"/>
  <c r="Z244" i="17"/>
  <c r="AE260" i="17"/>
  <c r="Z260" i="17"/>
  <c r="AF293" i="16"/>
  <c r="Z293" i="16"/>
  <c r="AK31" i="6"/>
  <c r="AK31" i="7"/>
  <c r="AG31" i="23"/>
  <c r="AG83" i="23"/>
  <c r="M212" i="21"/>
  <c r="J212" i="21"/>
  <c r="U13" i="28"/>
  <c r="AM31" i="7"/>
  <c r="R13" i="28"/>
  <c r="AE103" i="17"/>
  <c r="Z103" i="17"/>
  <c r="AF20" i="9"/>
  <c r="AP20" i="9"/>
  <c r="AE226" i="17"/>
  <c r="Z226" i="17"/>
  <c r="Z126" i="16"/>
  <c r="K126" i="21"/>
  <c r="N126" i="21"/>
  <c r="N254" i="21"/>
  <c r="K254" i="21"/>
  <c r="AF340" i="16"/>
  <c r="Z340" i="16"/>
  <c r="AE228" i="17"/>
  <c r="Z228" i="17"/>
  <c r="Z121" i="16"/>
  <c r="AF121" i="16"/>
  <c r="AE73" i="17"/>
  <c r="Z73" i="17"/>
  <c r="N365" i="21"/>
  <c r="K365" i="21"/>
  <c r="AB75" i="23"/>
  <c r="AB23" i="23"/>
  <c r="AE124" i="17"/>
  <c r="Z124" i="17"/>
  <c r="AE204" i="16"/>
  <c r="Y204" i="16"/>
  <c r="N321" i="21"/>
  <c r="K321" i="21"/>
  <c r="AF270" i="16"/>
  <c r="Z270" i="16"/>
  <c r="AD112" i="17"/>
  <c r="Y112" i="17"/>
  <c r="N230" i="21"/>
  <c r="K230" i="21"/>
  <c r="AF269" i="16"/>
  <c r="Z269" i="16"/>
  <c r="AE4" i="16"/>
  <c r="AE99" i="17"/>
  <c r="Z99" i="17"/>
  <c r="AE272" i="17"/>
  <c r="Z272" i="17"/>
  <c r="AO24" i="8"/>
  <c r="AE24" i="8"/>
  <c r="AG24" i="8"/>
  <c r="AG38" i="9"/>
  <c r="AE38" i="9"/>
  <c r="AO38" i="9"/>
  <c r="AB89" i="23"/>
  <c r="AB37" i="23"/>
  <c r="AF78" i="23"/>
  <c r="AF26" i="23"/>
  <c r="AM22" i="8"/>
  <c r="T22" i="8"/>
  <c r="N22" i="8"/>
  <c r="AM16" i="9"/>
  <c r="T16" i="9"/>
  <c r="N16" i="9"/>
  <c r="AF466" i="16"/>
  <c r="Z466" i="16"/>
  <c r="N214" i="21"/>
  <c r="K214" i="21"/>
  <c r="AF53" i="9"/>
  <c r="N187" i="21"/>
  <c r="K187" i="21"/>
  <c r="AD76" i="17"/>
  <c r="Y76" i="17"/>
  <c r="Y4" i="16"/>
  <c r="J4" i="21"/>
  <c r="M4" i="21"/>
  <c r="AF327" i="16"/>
  <c r="Z327" i="16"/>
  <c r="N268" i="21"/>
  <c r="K268" i="21"/>
  <c r="AC80" i="23"/>
  <c r="AC28" i="23"/>
  <c r="AF28" i="8"/>
  <c r="AP28" i="8"/>
  <c r="AO55" i="9"/>
  <c r="AO53" i="9"/>
  <c r="AJ7" i="17"/>
  <c r="AE205" i="17"/>
  <c r="Z205" i="17"/>
  <c r="Y162" i="16"/>
  <c r="J162" i="21"/>
  <c r="M162" i="21"/>
  <c r="Z399" i="16"/>
  <c r="AF399" i="16"/>
  <c r="Z191" i="16"/>
  <c r="AF191" i="16"/>
  <c r="AE234" i="17"/>
  <c r="Z234" i="17"/>
  <c r="AF34" i="9"/>
  <c r="AP34" i="9"/>
  <c r="AO13" i="8"/>
  <c r="AE13" i="8"/>
  <c r="AB13" i="23"/>
  <c r="AB65" i="23"/>
  <c r="AF266" i="16"/>
  <c r="Z266" i="16"/>
  <c r="Y32" i="16"/>
  <c r="AE32" i="16"/>
  <c r="AK46" i="9"/>
  <c r="AK46" i="6"/>
  <c r="AK46" i="7"/>
  <c r="AK46" i="8"/>
  <c r="N217" i="21"/>
  <c r="K217" i="21"/>
  <c r="AL33" i="9"/>
  <c r="AJ33" i="9"/>
  <c r="AL12" i="8"/>
  <c r="AJ12" i="8"/>
  <c r="Z415" i="16"/>
  <c r="K415" i="21"/>
  <c r="N415" i="21"/>
  <c r="AK27" i="9"/>
  <c r="AK27" i="8"/>
  <c r="AK26" i="8"/>
  <c r="AK26" i="6"/>
  <c r="AK26" i="7"/>
  <c r="AK26" i="9"/>
  <c r="N398" i="21"/>
  <c r="K398" i="21"/>
  <c r="U30" i="28"/>
  <c r="AM49" i="7"/>
  <c r="R30" i="28"/>
  <c r="AE198" i="17"/>
  <c r="Z198" i="17"/>
  <c r="Y18" i="16"/>
  <c r="J18" i="21"/>
  <c r="M18" i="21"/>
  <c r="AE231" i="17"/>
  <c r="Z231" i="17"/>
  <c r="AB87" i="23"/>
  <c r="AB35" i="23"/>
  <c r="AL28" i="8"/>
  <c r="AJ28" i="8"/>
  <c r="Z388" i="16"/>
  <c r="K388" i="21"/>
  <c r="N388" i="21"/>
  <c r="AO23" i="8"/>
  <c r="AE23" i="8"/>
  <c r="AG23" i="8"/>
  <c r="N77" i="23"/>
  <c r="N25" i="23"/>
  <c r="AG30" i="8"/>
  <c r="N339" i="21"/>
  <c r="K339" i="21"/>
  <c r="Z13" i="16"/>
  <c r="AF13" i="16"/>
  <c r="Z114" i="16"/>
  <c r="AF114" i="16"/>
  <c r="Z226" i="16"/>
  <c r="AF226" i="16"/>
  <c r="AM40" i="8"/>
  <c r="T40" i="8"/>
  <c r="N40" i="8"/>
  <c r="Y56" i="16"/>
  <c r="AE56" i="16"/>
  <c r="N456" i="21"/>
  <c r="K456" i="21"/>
  <c r="N97" i="23"/>
  <c r="N45" i="23"/>
  <c r="AF281" i="16"/>
  <c r="Z281" i="16"/>
  <c r="AF96" i="23"/>
  <c r="AF44" i="23"/>
  <c r="AE160" i="17"/>
  <c r="Z160" i="17"/>
  <c r="E49" i="5"/>
  <c r="E48" i="5"/>
  <c r="AO16" i="9"/>
  <c r="AE16" i="9"/>
  <c r="AG16" i="9"/>
  <c r="AF18" i="16"/>
  <c r="Y36" i="16"/>
  <c r="J36" i="21"/>
  <c r="M36" i="21"/>
  <c r="N323" i="21"/>
  <c r="K323" i="21"/>
  <c r="AF93" i="23"/>
  <c r="AF41" i="23"/>
  <c r="Z120" i="16"/>
  <c r="K120" i="21"/>
  <c r="N120" i="21"/>
  <c r="Z18" i="16"/>
  <c r="K18" i="21"/>
  <c r="N18" i="21"/>
  <c r="AE131" i="17"/>
  <c r="Z131" i="17"/>
  <c r="AF29" i="9"/>
  <c r="AP29" i="9"/>
  <c r="N94" i="23"/>
  <c r="N42" i="23"/>
  <c r="AD55" i="17"/>
  <c r="Y55" i="17"/>
  <c r="N232" i="21"/>
  <c r="K232" i="21"/>
  <c r="AG44" i="9"/>
  <c r="AE44" i="9"/>
  <c r="AO44" i="9"/>
  <c r="N348" i="21"/>
  <c r="K348" i="21"/>
  <c r="N453" i="21"/>
  <c r="K453" i="21"/>
  <c r="M160" i="21"/>
  <c r="J160" i="21"/>
  <c r="AL17" i="9"/>
  <c r="AJ17" i="9"/>
  <c r="AD5" i="17"/>
  <c r="Y5" i="17"/>
  <c r="AF342" i="16"/>
  <c r="Z342" i="16"/>
  <c r="N203" i="21"/>
  <c r="K203" i="21"/>
  <c r="N340" i="21"/>
  <c r="K340" i="21"/>
  <c r="N24" i="21"/>
  <c r="K24" i="21"/>
  <c r="AP18" i="8"/>
  <c r="AF18" i="8"/>
  <c r="AC18" i="23"/>
  <c r="AC70" i="23"/>
  <c r="Z144" i="16"/>
  <c r="AF144" i="16"/>
  <c r="Y40" i="16"/>
  <c r="AE40" i="16"/>
  <c r="N9" i="9"/>
  <c r="T9" i="9"/>
  <c r="AM9" i="9"/>
  <c r="Z24" i="16"/>
  <c r="AF24" i="16"/>
  <c r="Y51" i="16"/>
  <c r="AE51" i="16"/>
  <c r="L68" i="6"/>
  <c r="Z424" i="16"/>
  <c r="AF424" i="16"/>
  <c r="AL14" i="9"/>
  <c r="AJ14" i="9"/>
  <c r="N15" i="9"/>
  <c r="T15" i="9"/>
  <c r="AM15" i="9"/>
  <c r="AO14" i="9"/>
  <c r="AE14" i="9"/>
  <c r="AG14" i="9"/>
  <c r="AK27" i="6"/>
  <c r="AK27" i="7"/>
  <c r="AG27" i="23"/>
  <c r="AG79" i="23"/>
  <c r="Z398" i="16"/>
  <c r="AF398" i="16"/>
  <c r="U22" i="28"/>
  <c r="AM38" i="7"/>
  <c r="R22" i="28"/>
  <c r="U19" i="28"/>
  <c r="T36" i="7"/>
  <c r="AM36" i="7"/>
  <c r="R19" i="28"/>
  <c r="AE155" i="16"/>
  <c r="AO35" i="8"/>
  <c r="AE35" i="8"/>
  <c r="AG35" i="8"/>
  <c r="AF370" i="16"/>
  <c r="Z370" i="16"/>
  <c r="AO30" i="8"/>
  <c r="AE30" i="8"/>
  <c r="AB30" i="23"/>
  <c r="AB82" i="23"/>
  <c r="AF95" i="16"/>
  <c r="Z96" i="16"/>
  <c r="AF96" i="16"/>
  <c r="N178" i="21"/>
  <c r="K178" i="21"/>
  <c r="M50" i="21"/>
  <c r="J50" i="21"/>
  <c r="AE58" i="8"/>
  <c r="AM53" i="8"/>
  <c r="AF58" i="8"/>
  <c r="Z456" i="16"/>
  <c r="AF456" i="16"/>
  <c r="AE23" i="16"/>
  <c r="AE21" i="16"/>
  <c r="AF354" i="16"/>
  <c r="Z354" i="16"/>
  <c r="N345" i="21"/>
  <c r="K345" i="21"/>
  <c r="AG17" i="8"/>
  <c r="AK16" i="8"/>
  <c r="AK16" i="9"/>
  <c r="AF323" i="16"/>
  <c r="Z323" i="16"/>
  <c r="AF25" i="9"/>
  <c r="AP25" i="9"/>
  <c r="AE127" i="17"/>
  <c r="Z127" i="17"/>
  <c r="AM53" i="9"/>
  <c r="F48" i="5"/>
  <c r="F49" i="5"/>
  <c r="AB71" i="23"/>
  <c r="AB19" i="23"/>
  <c r="AK14" i="8"/>
  <c r="AK14" i="9"/>
  <c r="AG12" i="8"/>
  <c r="N247" i="21"/>
  <c r="K247" i="21"/>
  <c r="AE222" i="17"/>
  <c r="Z222" i="17"/>
  <c r="Z453" i="16"/>
  <c r="AF453" i="16"/>
  <c r="AE91" i="17"/>
  <c r="Z91" i="17"/>
  <c r="Z187" i="16"/>
  <c r="AF187" i="16"/>
  <c r="N174" i="21"/>
  <c r="K174" i="21"/>
  <c r="N28" i="9"/>
  <c r="T28" i="9"/>
  <c r="AM28" i="9"/>
  <c r="N69" i="23"/>
  <c r="N17" i="23"/>
  <c r="N311" i="21"/>
  <c r="K311" i="21"/>
  <c r="AF140" i="16"/>
  <c r="AF136" i="16"/>
  <c r="N16" i="8"/>
  <c r="T16" i="8"/>
  <c r="AM16" i="8"/>
  <c r="AD61" i="17"/>
  <c r="Y61" i="17"/>
  <c r="AE96" i="17"/>
  <c r="Z96" i="17"/>
  <c r="Y155" i="16"/>
  <c r="J155" i="21"/>
  <c r="M155" i="21"/>
  <c r="AD31" i="17"/>
  <c r="Y31" i="17"/>
  <c r="N284" i="21"/>
  <c r="K284" i="21"/>
  <c r="Z405" i="16"/>
  <c r="AF405" i="16"/>
  <c r="AF19" i="9"/>
  <c r="AP19" i="9"/>
  <c r="AE197" i="17"/>
  <c r="Z197" i="17"/>
  <c r="N26" i="9"/>
  <c r="T26" i="9"/>
  <c r="AM26" i="9"/>
  <c r="Z95" i="16"/>
  <c r="K95" i="21"/>
  <c r="N95" i="21"/>
  <c r="AF62" i="23"/>
  <c r="AF10" i="23"/>
  <c r="Z178" i="16"/>
  <c r="AF178" i="16"/>
  <c r="Y50" i="16"/>
  <c r="AE50" i="16"/>
  <c r="AK28" i="9"/>
  <c r="AK28" i="8"/>
  <c r="N275" i="21"/>
  <c r="K275" i="21"/>
  <c r="AE88" i="17"/>
  <c r="Z88" i="17"/>
  <c r="Y21" i="16"/>
  <c r="J21" i="21"/>
  <c r="M21" i="21"/>
  <c r="AE267" i="17"/>
  <c r="Z267" i="17"/>
  <c r="Z228" i="16"/>
  <c r="AF228" i="16"/>
  <c r="AL50" i="9"/>
  <c r="AJ50" i="9"/>
  <c r="AF362" i="16"/>
  <c r="Z362" i="16"/>
  <c r="N312" i="21"/>
  <c r="K312" i="21"/>
  <c r="AO34" i="9"/>
  <c r="AE34" i="9"/>
  <c r="AG34" i="9"/>
  <c r="N363" i="21"/>
  <c r="K363" i="21"/>
  <c r="AL51" i="8"/>
  <c r="AJ51" i="8"/>
  <c r="AO17" i="8"/>
  <c r="AE17" i="8"/>
  <c r="AB17" i="23"/>
  <c r="AB69" i="23"/>
  <c r="AK16" i="7"/>
  <c r="AG16" i="23"/>
  <c r="AG68" i="23"/>
  <c r="AD46" i="17"/>
  <c r="Y46" i="17"/>
  <c r="R18" i="28"/>
  <c r="AM35" i="7"/>
  <c r="U18" i="28"/>
  <c r="AL17" i="8"/>
  <c r="AJ17" i="8"/>
  <c r="AO19" i="8"/>
  <c r="AE19" i="8"/>
  <c r="AG19" i="8"/>
  <c r="N294" i="21"/>
  <c r="K294" i="21"/>
  <c r="AE71" i="17"/>
  <c r="Z71" i="17"/>
  <c r="M5" i="21"/>
  <c r="J5" i="21"/>
  <c r="AO12" i="8"/>
  <c r="AE12" i="8"/>
  <c r="AB12" i="23"/>
  <c r="AB64" i="23"/>
  <c r="Z247" i="16"/>
  <c r="AF247" i="16"/>
  <c r="Z174" i="16"/>
  <c r="AF174" i="16"/>
  <c r="AF72" i="23"/>
  <c r="AF20" i="23"/>
  <c r="AF299" i="16"/>
  <c r="Z299" i="16"/>
  <c r="AM45" i="9"/>
  <c r="N45" i="9"/>
  <c r="T45" i="9"/>
  <c r="AF79" i="23"/>
  <c r="AF27" i="23"/>
  <c r="AE10" i="21"/>
  <c r="AE177" i="17"/>
  <c r="Z177" i="17"/>
  <c r="AD56" i="17"/>
  <c r="Y56" i="17"/>
  <c r="N377" i="21"/>
  <c r="K377" i="21"/>
  <c r="N87" i="23"/>
  <c r="N35" i="23"/>
  <c r="AB100" i="23"/>
  <c r="AB48" i="23"/>
  <c r="R5" i="28"/>
  <c r="T17" i="7"/>
  <c r="AM17" i="7"/>
  <c r="U5" i="28"/>
  <c r="Y5" i="16"/>
  <c r="AE5" i="16"/>
  <c r="AK28" i="6"/>
  <c r="AK28" i="7"/>
  <c r="AG28" i="23"/>
  <c r="AG80" i="23"/>
  <c r="AE97" i="17"/>
  <c r="Z97" i="17"/>
  <c r="AF273" i="16"/>
  <c r="Z273" i="16"/>
  <c r="N135" i="21"/>
  <c r="K135" i="21"/>
  <c r="AO53" i="8"/>
  <c r="AO55" i="8"/>
  <c r="N99" i="23"/>
  <c r="N47" i="23"/>
  <c r="AF216" i="16"/>
  <c r="Z216" i="16"/>
  <c r="AL6" i="9"/>
  <c r="AJ6" i="9"/>
  <c r="J2" i="21"/>
  <c r="M2" i="21"/>
  <c r="U7" i="21"/>
  <c r="AI7" i="21"/>
  <c r="AE122" i="17"/>
  <c r="Z122" i="17"/>
  <c r="Z140" i="16"/>
  <c r="K140" i="21"/>
  <c r="N140" i="21"/>
  <c r="Z136" i="16"/>
  <c r="K136" i="21"/>
  <c r="N136" i="21"/>
  <c r="N28" i="8"/>
  <c r="T28" i="8"/>
  <c r="AM28" i="8"/>
  <c r="N91" i="21"/>
  <c r="K91" i="21"/>
  <c r="Y23" i="16"/>
  <c r="J23" i="21"/>
  <c r="M23" i="21"/>
  <c r="AF215" i="16"/>
  <c r="Z215" i="16"/>
  <c r="AO21" i="8"/>
  <c r="AE21" i="8"/>
  <c r="AB21" i="23"/>
  <c r="AB73" i="23"/>
  <c r="AO8" i="9"/>
  <c r="AE8" i="9"/>
  <c r="AG8" i="9"/>
  <c r="AE184" i="17"/>
  <c r="Z184" i="17"/>
  <c r="AE210" i="16"/>
  <c r="Y210" i="16"/>
  <c r="Z91" i="16"/>
  <c r="AF91" i="16"/>
  <c r="AD75" i="17"/>
  <c r="Y75" i="17"/>
  <c r="N6" i="23"/>
  <c r="N58" i="23"/>
  <c r="AF374" i="16"/>
  <c r="Z374" i="16"/>
  <c r="AL5" i="16"/>
  <c r="AK5" i="16"/>
  <c r="AG87" i="23"/>
  <c r="AG35" i="23"/>
  <c r="N86" i="21"/>
  <c r="K86" i="21"/>
  <c r="AL16" i="9"/>
  <c r="AJ16" i="9"/>
  <c r="N65" i="23"/>
  <c r="N13" i="23"/>
  <c r="AL29" i="9"/>
  <c r="AJ29" i="9"/>
  <c r="N448" i="21"/>
  <c r="K448" i="21"/>
  <c r="AL7" i="8"/>
  <c r="AJ7" i="8"/>
  <c r="N464" i="21"/>
  <c r="K464" i="21"/>
  <c r="M61" i="21"/>
  <c r="J61" i="21"/>
  <c r="AF419" i="16"/>
  <c r="AG72" i="23"/>
  <c r="AG20" i="23"/>
  <c r="N16" i="21"/>
  <c r="K16" i="21"/>
  <c r="AV4" i="16"/>
  <c r="AU4" i="16"/>
  <c r="AL53" i="8"/>
  <c r="AE229" i="17"/>
  <c r="Z229" i="17"/>
  <c r="AM21" i="8"/>
  <c r="T21" i="8"/>
  <c r="N21" i="8"/>
  <c r="AL35" i="9"/>
  <c r="AJ35" i="9"/>
  <c r="AF284" i="16"/>
  <c r="Z284" i="16"/>
  <c r="AF425" i="16"/>
  <c r="AL8" i="8"/>
  <c r="AJ8" i="8"/>
  <c r="N458" i="21"/>
  <c r="K458" i="21"/>
  <c r="N342" i="21"/>
  <c r="K342" i="21"/>
  <c r="AF457" i="16"/>
  <c r="N276" i="21"/>
  <c r="K276" i="21"/>
  <c r="M85" i="21"/>
  <c r="J85" i="21"/>
  <c r="AV7" i="16"/>
  <c r="AU7" i="16"/>
  <c r="AK14" i="6"/>
  <c r="AK14" i="7"/>
  <c r="AG14" i="23"/>
  <c r="AG66" i="23"/>
  <c r="N304" i="21"/>
  <c r="K304" i="21"/>
  <c r="AJ3" i="17"/>
  <c r="Y2" i="17"/>
  <c r="AD2" i="17"/>
  <c r="AD7" i="21"/>
  <c r="AL15" i="8"/>
  <c r="AJ15" i="8"/>
  <c r="AG47" i="9"/>
  <c r="AE47" i="9"/>
  <c r="AO47" i="9"/>
  <c r="AE215" i="17"/>
  <c r="Z215" i="17"/>
  <c r="AF385" i="16"/>
  <c r="Z385" i="16"/>
  <c r="AF381" i="16"/>
  <c r="Z381" i="16"/>
  <c r="N313" i="21"/>
  <c r="K313" i="21"/>
  <c r="Z401" i="16"/>
  <c r="AF401" i="16"/>
  <c r="AF382" i="16"/>
  <c r="Z382" i="16"/>
  <c r="AF234" i="16"/>
  <c r="N400" i="21"/>
  <c r="K400" i="21"/>
  <c r="Z425" i="16"/>
  <c r="K425" i="21"/>
  <c r="N425" i="21"/>
  <c r="N266" i="21"/>
  <c r="K266" i="21"/>
  <c r="AL30" i="7"/>
  <c r="AF414" i="16"/>
  <c r="AD18" i="17"/>
  <c r="Y18" i="17"/>
  <c r="AC78" i="23"/>
  <c r="AC26" i="23"/>
  <c r="AF26" i="8"/>
  <c r="AP26" i="8"/>
  <c r="AF310" i="16"/>
  <c r="Z310" i="16"/>
  <c r="N143" i="21"/>
  <c r="K143" i="21"/>
  <c r="N84" i="23"/>
  <c r="N32" i="23"/>
  <c r="AL19" i="7"/>
  <c r="AE162" i="17"/>
  <c r="Z162" i="17"/>
  <c r="AF139" i="16"/>
  <c r="N49" i="8"/>
  <c r="T49" i="8"/>
  <c r="AM49" i="8"/>
  <c r="AL6" i="7"/>
  <c r="AO33" i="9"/>
  <c r="AE33" i="9"/>
  <c r="AG33" i="9"/>
  <c r="N325" i="21"/>
  <c r="K325" i="21"/>
  <c r="AF429" i="16"/>
  <c r="Z232" i="16"/>
  <c r="AF232" i="16"/>
  <c r="Z400" i="16"/>
  <c r="AF400" i="16"/>
  <c r="N32" i="8"/>
  <c r="T32" i="8"/>
  <c r="AM32" i="8"/>
  <c r="AF141" i="16"/>
  <c r="Z234" i="16"/>
  <c r="K234" i="21"/>
  <c r="N234" i="21"/>
  <c r="AF195" i="16"/>
  <c r="Z195" i="16"/>
  <c r="N25" i="21"/>
  <c r="K25" i="21"/>
  <c r="AF291" i="16"/>
  <c r="Z291" i="16"/>
  <c r="AE148" i="17"/>
  <c r="Z148" i="17"/>
  <c r="AE79" i="16"/>
  <c r="AE151" i="17"/>
  <c r="Z151" i="17"/>
  <c r="AE165" i="17"/>
  <c r="Z165" i="17"/>
  <c r="N291" i="21"/>
  <c r="K291" i="21"/>
  <c r="N36" i="8"/>
  <c r="T36" i="8"/>
  <c r="AM36" i="8"/>
  <c r="AE155" i="17"/>
  <c r="Z155" i="17"/>
  <c r="N300" i="21"/>
  <c r="K300" i="21"/>
  <c r="AF94" i="23"/>
  <c r="AF42" i="23"/>
  <c r="AP49" i="8"/>
  <c r="AF49" i="8"/>
  <c r="AC49" i="23"/>
  <c r="AC101" i="23"/>
  <c r="N197" i="21"/>
  <c r="K197" i="21"/>
  <c r="Z143" i="16"/>
  <c r="AF143" i="16"/>
  <c r="Z419" i="16"/>
  <c r="K419" i="21"/>
  <c r="N419" i="21"/>
  <c r="AJ19" i="7"/>
  <c r="AF19" i="23"/>
  <c r="AF71" i="23"/>
  <c r="AF361" i="16"/>
  <c r="Z361" i="16"/>
  <c r="AF317" i="16"/>
  <c r="Z317" i="16"/>
  <c r="N15" i="8"/>
  <c r="T15" i="8"/>
  <c r="AM15" i="8"/>
  <c r="AD13" i="17"/>
  <c r="Y13" i="17"/>
  <c r="Z139" i="16"/>
  <c r="K139" i="21"/>
  <c r="N139" i="21"/>
  <c r="N93" i="23"/>
  <c r="N41" i="23"/>
  <c r="AF295" i="16"/>
  <c r="Z295" i="16"/>
  <c r="AF465" i="16"/>
  <c r="Z465" i="16"/>
  <c r="N355" i="21"/>
  <c r="K355" i="21"/>
  <c r="AE269" i="17"/>
  <c r="Z269" i="17"/>
  <c r="AJ6" i="7"/>
  <c r="AF6" i="23"/>
  <c r="AF58" i="23"/>
  <c r="AE165" i="16"/>
  <c r="Z429" i="16"/>
  <c r="K429" i="21"/>
  <c r="N429" i="21"/>
  <c r="AE7" i="16"/>
  <c r="Z141" i="16"/>
  <c r="K141" i="21"/>
  <c r="N141" i="21"/>
  <c r="Y160" i="16"/>
  <c r="AE160" i="16"/>
  <c r="AL43" i="9"/>
  <c r="AJ43" i="9"/>
  <c r="Z135" i="16"/>
  <c r="AF135" i="16"/>
  <c r="AD113" i="17"/>
  <c r="Y113" i="17"/>
  <c r="AE185" i="17"/>
  <c r="Z185" i="17"/>
  <c r="Y79" i="16"/>
  <c r="J79" i="21"/>
  <c r="M79" i="21"/>
  <c r="AF276" i="16"/>
  <c r="Z276" i="16"/>
  <c r="AM11" i="8"/>
  <c r="T11" i="8"/>
  <c r="N11" i="8"/>
  <c r="AM47" i="9"/>
  <c r="T47" i="9"/>
  <c r="N47" i="9"/>
  <c r="N476" i="21"/>
  <c r="K476" i="21"/>
  <c r="AK36" i="9"/>
  <c r="AK36" i="8"/>
  <c r="AM12" i="9"/>
  <c r="T12" i="9"/>
  <c r="N12" i="9"/>
  <c r="AE213" i="17"/>
  <c r="Z213" i="17"/>
  <c r="AE240" i="17"/>
  <c r="Z240" i="17"/>
  <c r="AF142" i="16"/>
  <c r="N369" i="21"/>
  <c r="K369" i="21"/>
  <c r="AL48" i="8"/>
  <c r="AJ48" i="8"/>
  <c r="AF420" i="16"/>
  <c r="AF134" i="16"/>
  <c r="M169" i="21"/>
  <c r="J169" i="21"/>
  <c r="Y165" i="16"/>
  <c r="J165" i="21"/>
  <c r="M165" i="21"/>
  <c r="Y7" i="16"/>
  <c r="J7" i="21"/>
  <c r="M7" i="21"/>
  <c r="Z123" i="16"/>
  <c r="AF123" i="16"/>
  <c r="AE202" i="17"/>
  <c r="Z202" i="17"/>
  <c r="AL17" i="7"/>
  <c r="AF255" i="16"/>
  <c r="Z255" i="16"/>
  <c r="AE63" i="17"/>
  <c r="Z63" i="17"/>
  <c r="AF303" i="16"/>
  <c r="Z303" i="16"/>
  <c r="AF468" i="16"/>
  <c r="Z468" i="16"/>
  <c r="Z142" i="16"/>
  <c r="K142" i="21"/>
  <c r="N142" i="21"/>
  <c r="AP37" i="8"/>
  <c r="AF37" i="8"/>
  <c r="AC37" i="23"/>
  <c r="AC89" i="23"/>
  <c r="K224" i="21"/>
  <c r="N224" i="21"/>
  <c r="V9" i="21"/>
  <c r="AJ9" i="21"/>
  <c r="AF311" i="16"/>
  <c r="Z311" i="16"/>
  <c r="AK36" i="6"/>
  <c r="AK36" i="7"/>
  <c r="AG36" i="23"/>
  <c r="AG88" i="23"/>
  <c r="AG15" i="9"/>
  <c r="AE15" i="9"/>
  <c r="AO15" i="9"/>
  <c r="AF225" i="16"/>
  <c r="Y52" i="16"/>
  <c r="J52" i="21"/>
  <c r="M52" i="21"/>
  <c r="AF257" i="16"/>
  <c r="Z257" i="16"/>
  <c r="AF336" i="16"/>
  <c r="Z336" i="16"/>
  <c r="AP23" i="9"/>
  <c r="AF23" i="9"/>
  <c r="N265" i="21"/>
  <c r="K265" i="21"/>
  <c r="Z25" i="16"/>
  <c r="AF25" i="16"/>
  <c r="N353" i="21"/>
  <c r="K353" i="21"/>
  <c r="Z420" i="16"/>
  <c r="K420" i="21"/>
  <c r="N420" i="21"/>
  <c r="AO20" i="9"/>
  <c r="AE20" i="9"/>
  <c r="AG20" i="9"/>
  <c r="Z134" i="16"/>
  <c r="K134" i="21"/>
  <c r="N134" i="21"/>
  <c r="AE64" i="17"/>
  <c r="Z64" i="17"/>
  <c r="AO37" i="8"/>
  <c r="AE37" i="8"/>
  <c r="AG37" i="8"/>
  <c r="AP9" i="8"/>
  <c r="AF9" i="8"/>
  <c r="AC9" i="23"/>
  <c r="AC61" i="23"/>
  <c r="F13" i="28"/>
  <c r="AM13" i="7"/>
  <c r="I13" i="28"/>
  <c r="Z88" i="16"/>
  <c r="AF88" i="16"/>
  <c r="AG5" i="8"/>
  <c r="AE53" i="8"/>
  <c r="AJ17" i="7"/>
  <c r="AF17" i="23"/>
  <c r="AF69" i="23"/>
  <c r="N201" i="21"/>
  <c r="K201" i="21"/>
  <c r="AD58" i="17"/>
  <c r="Y58" i="17"/>
  <c r="M104" i="21"/>
  <c r="J104" i="21"/>
  <c r="AO48" i="8"/>
  <c r="AE48" i="8"/>
  <c r="AG48" i="8"/>
  <c r="N361" i="21"/>
  <c r="K361" i="21"/>
  <c r="AE31" i="16"/>
  <c r="N127" i="21"/>
  <c r="K127" i="21"/>
  <c r="AE147" i="17"/>
  <c r="Z147" i="17"/>
  <c r="N112" i="21"/>
  <c r="K112" i="21"/>
  <c r="N5" i="21"/>
  <c r="K5" i="21"/>
  <c r="M109" i="21"/>
  <c r="J109" i="21"/>
  <c r="AE149" i="16"/>
  <c r="AE71" i="16"/>
  <c r="N71" i="23"/>
  <c r="N19" i="23"/>
  <c r="AL50" i="8"/>
  <c r="AJ50" i="8"/>
  <c r="Z230" i="16"/>
  <c r="AF230" i="16"/>
  <c r="Z414" i="16"/>
  <c r="K414" i="21"/>
  <c r="N414" i="21"/>
  <c r="AL32" i="8"/>
  <c r="AJ32" i="8"/>
  <c r="AF294" i="16"/>
  <c r="Z294" i="16"/>
  <c r="Y31" i="16"/>
  <c r="J31" i="21"/>
  <c r="M31" i="21"/>
  <c r="M26" i="21"/>
  <c r="J26" i="21"/>
  <c r="N333" i="21"/>
  <c r="K333" i="21"/>
  <c r="Z16" i="16"/>
  <c r="AF16" i="16"/>
  <c r="N282" i="21"/>
  <c r="K282" i="21"/>
  <c r="N389" i="21"/>
  <c r="K389" i="21"/>
  <c r="N176" i="21"/>
  <c r="K176" i="21"/>
  <c r="AM5" i="8"/>
  <c r="T5" i="8"/>
  <c r="N5" i="8"/>
  <c r="T53" i="8"/>
  <c r="N43" i="9"/>
  <c r="T43" i="9"/>
  <c r="AM43" i="9"/>
  <c r="N260" i="21"/>
  <c r="K260" i="21"/>
  <c r="AK20" i="9"/>
  <c r="AK20" i="6"/>
  <c r="AK20" i="7"/>
  <c r="AK20" i="8"/>
  <c r="N318" i="21"/>
  <c r="K318" i="21"/>
  <c r="N190" i="21"/>
  <c r="K190" i="21"/>
  <c r="AF42" i="9"/>
  <c r="AP42" i="9"/>
  <c r="AC98" i="23"/>
  <c r="AC46" i="23"/>
  <c r="AF46" i="8"/>
  <c r="T46" i="7"/>
  <c r="AP46" i="8"/>
  <c r="AF305" i="16"/>
  <c r="Z305" i="16"/>
  <c r="Y85" i="16"/>
  <c r="AE85" i="16"/>
  <c r="Z412" i="16"/>
  <c r="AF412" i="16"/>
  <c r="AF103" i="23"/>
  <c r="AF51" i="23"/>
  <c r="M39" i="21"/>
  <c r="J39" i="21"/>
  <c r="AD80" i="17"/>
  <c r="Y80" i="17"/>
  <c r="AE86" i="17"/>
  <c r="Z86" i="17"/>
  <c r="AL27" i="8"/>
  <c r="AJ27" i="8"/>
  <c r="AF384" i="16"/>
  <c r="Z384" i="16"/>
  <c r="D49" i="5"/>
  <c r="D48" i="5"/>
  <c r="H48" i="5"/>
  <c r="M98" i="21"/>
  <c r="J98" i="21"/>
  <c r="N85" i="23"/>
  <c r="N33" i="23"/>
  <c r="AC82" i="23"/>
  <c r="AC30" i="23"/>
  <c r="AF30" i="8"/>
  <c r="AP30" i="8"/>
  <c r="N124" i="21"/>
  <c r="K124" i="21"/>
  <c r="AL35" i="8"/>
  <c r="AJ35" i="8"/>
  <c r="AB72" i="23"/>
  <c r="AB20" i="23"/>
  <c r="AF459" i="16"/>
  <c r="Z459" i="16"/>
  <c r="AC99" i="23"/>
  <c r="AC47" i="23"/>
  <c r="AF47" i="8"/>
  <c r="T47" i="7"/>
  <c r="AP47" i="8"/>
  <c r="N251" i="21"/>
  <c r="K251" i="21"/>
  <c r="M15" i="21"/>
  <c r="J15" i="21"/>
  <c r="AD17" i="17"/>
  <c r="Y17" i="17"/>
  <c r="AE168" i="16"/>
  <c r="AJ10" i="21"/>
  <c r="V10" i="21"/>
  <c r="N301" i="21"/>
  <c r="AF369" i="16"/>
  <c r="Z369" i="16"/>
  <c r="AD117" i="17"/>
  <c r="Y117" i="17"/>
  <c r="AF366" i="16"/>
  <c r="Z366" i="16"/>
  <c r="AF218" i="16"/>
  <c r="Z218" i="16"/>
  <c r="AF474" i="16"/>
  <c r="N287" i="21"/>
  <c r="K287" i="21"/>
  <c r="AE150" i="17"/>
  <c r="Z150" i="17"/>
  <c r="AF447" i="16"/>
  <c r="N82" i="23"/>
  <c r="N30" i="23"/>
  <c r="N10" i="21"/>
  <c r="K10" i="21"/>
  <c r="AF331" i="16"/>
  <c r="Z331" i="16"/>
  <c r="Z62" i="17"/>
  <c r="AE62" i="17"/>
  <c r="AE7" i="21"/>
  <c r="AF463" i="16"/>
  <c r="Z463" i="16"/>
  <c r="AE152" i="16"/>
  <c r="N383" i="21"/>
  <c r="K383" i="21"/>
  <c r="AG100" i="23"/>
  <c r="AG48" i="23"/>
  <c r="AB102" i="23"/>
  <c r="AB50" i="23"/>
  <c r="AK53" i="9"/>
  <c r="M154" i="21"/>
  <c r="J154" i="21"/>
  <c r="Z301" i="16"/>
  <c r="AF301" i="16"/>
  <c r="AB10" i="21"/>
  <c r="Y168" i="16"/>
  <c r="J168" i="21"/>
  <c r="M168" i="21"/>
  <c r="Z474" i="16"/>
  <c r="K474" i="21"/>
  <c r="N474" i="21"/>
  <c r="AL48" i="9"/>
  <c r="AJ48" i="9"/>
  <c r="Z389" i="16"/>
  <c r="AF389" i="16"/>
  <c r="AG77" i="23"/>
  <c r="AG25" i="23"/>
  <c r="Y152" i="16"/>
  <c r="J152" i="21"/>
  <c r="M152" i="21"/>
  <c r="U10" i="28"/>
  <c r="AM26" i="7"/>
  <c r="R10" i="28"/>
  <c r="AE139" i="17"/>
  <c r="Z139" i="17"/>
  <c r="N118" i="21"/>
  <c r="K118" i="21"/>
  <c r="AF77" i="23"/>
  <c r="AF25" i="23"/>
  <c r="N411" i="21"/>
  <c r="K411" i="21"/>
  <c r="N74" i="23"/>
  <c r="N22" i="23"/>
  <c r="N381" i="21"/>
  <c r="K381" i="21"/>
  <c r="AL10" i="8"/>
  <c r="AJ10" i="8"/>
  <c r="AF260" i="16"/>
  <c r="Z260" i="16"/>
  <c r="AF383" i="16"/>
  <c r="Z383" i="16"/>
  <c r="M157" i="21"/>
  <c r="J157" i="21"/>
  <c r="N375" i="21"/>
  <c r="K375" i="21"/>
  <c r="AF300" i="16"/>
  <c r="Z300" i="16"/>
  <c r="AD26" i="17"/>
  <c r="Y26" i="17"/>
  <c r="AL42" i="9"/>
  <c r="AJ42" i="9"/>
  <c r="AF15" i="9"/>
  <c r="N15" i="7"/>
  <c r="T15" i="7"/>
  <c r="AP15" i="9"/>
  <c r="AD45" i="17"/>
  <c r="Y45" i="17"/>
  <c r="AF286" i="16"/>
  <c r="Z286" i="16"/>
  <c r="N288" i="21"/>
  <c r="K288" i="21"/>
  <c r="AG75" i="23"/>
  <c r="AG23" i="23"/>
  <c r="AF386" i="16"/>
  <c r="Z386" i="16"/>
  <c r="AD9" i="17"/>
  <c r="Y9" i="17"/>
  <c r="S11" i="25"/>
  <c r="AJ30" i="8"/>
  <c r="AL30" i="8"/>
  <c r="AK35" i="9"/>
  <c r="AK35" i="6"/>
  <c r="AK35" i="7"/>
  <c r="AK35" i="8"/>
  <c r="Z448" i="16"/>
  <c r="AF448" i="16"/>
  <c r="AK25" i="8"/>
  <c r="AK25" i="6"/>
  <c r="AK25" i="7"/>
  <c r="AK25" i="9"/>
  <c r="Y104" i="16"/>
  <c r="AE104" i="16"/>
  <c r="Z457" i="16"/>
  <c r="K457" i="21"/>
  <c r="N457" i="21"/>
  <c r="AE214" i="17"/>
  <c r="Z214" i="17"/>
  <c r="Z86" i="16"/>
  <c r="AF86" i="16"/>
  <c r="Y61" i="16"/>
  <c r="AE61" i="16"/>
  <c r="Z5" i="16"/>
  <c r="AF5" i="16"/>
  <c r="Z127" i="16"/>
  <c r="AF127" i="16"/>
  <c r="AE166" i="16"/>
  <c r="Y149" i="16"/>
  <c r="J149" i="21"/>
  <c r="M149" i="21"/>
  <c r="M103" i="21"/>
  <c r="J103" i="21"/>
  <c r="AD23" i="17"/>
  <c r="Y23" i="17"/>
  <c r="Y71" i="16"/>
  <c r="J71" i="21"/>
  <c r="M71" i="21"/>
  <c r="AF353" i="16"/>
  <c r="Z353" i="16"/>
  <c r="W11" i="25"/>
  <c r="AE186" i="17"/>
  <c r="Z186" i="17"/>
  <c r="AB59" i="23"/>
  <c r="AB7" i="23"/>
  <c r="N441" i="21"/>
  <c r="K441" i="21"/>
  <c r="F7" i="28"/>
  <c r="I7" i="28"/>
  <c r="F8" i="28"/>
  <c r="AM8" i="7"/>
  <c r="I8" i="28"/>
  <c r="AF438" i="16"/>
  <c r="AF356" i="16"/>
  <c r="Z356" i="16"/>
  <c r="AF437" i="16"/>
  <c r="AM28" i="7"/>
  <c r="AD36" i="17"/>
  <c r="Y36" i="17"/>
  <c r="AE147" i="16"/>
  <c r="AF288" i="16"/>
  <c r="Z288" i="16"/>
  <c r="Z225" i="16"/>
  <c r="K225" i="21"/>
  <c r="N225" i="21"/>
  <c r="N16" i="23"/>
  <c r="N68" i="23"/>
  <c r="N17" i="21"/>
  <c r="K17" i="21"/>
  <c r="AF24" i="9"/>
  <c r="AP24" i="9"/>
  <c r="AE187" i="17"/>
  <c r="Z187" i="17"/>
  <c r="AF379" i="16"/>
  <c r="Z379" i="16"/>
  <c r="AL26" i="7"/>
  <c r="AG49" i="8"/>
  <c r="N80" i="23"/>
  <c r="N28" i="23"/>
  <c r="AF446" i="16"/>
  <c r="N184" i="21"/>
  <c r="K184" i="21"/>
  <c r="AE266" i="17"/>
  <c r="Z266" i="17"/>
  <c r="Z112" i="16"/>
  <c r="AF112" i="16"/>
  <c r="Z411" i="16"/>
  <c r="AF411" i="16"/>
  <c r="AF60" i="23"/>
  <c r="AF8" i="23"/>
  <c r="AK29" i="8"/>
  <c r="AK29" i="9"/>
  <c r="Y166" i="16"/>
  <c r="J166" i="21"/>
  <c r="M166" i="21"/>
  <c r="AE68" i="17"/>
  <c r="Z68" i="17"/>
  <c r="Y103" i="16"/>
  <c r="AE103" i="16"/>
  <c r="N459" i="21"/>
  <c r="K459" i="21"/>
  <c r="AL32" i="7"/>
  <c r="AF235" i="16"/>
  <c r="AF309" i="16"/>
  <c r="Z309" i="16"/>
  <c r="AE42" i="16"/>
  <c r="N309" i="21"/>
  <c r="K309" i="21"/>
  <c r="Z476" i="16"/>
  <c r="AF476" i="16"/>
  <c r="W7" i="25"/>
  <c r="W13" i="25"/>
  <c r="AD84" i="17"/>
  <c r="Y84" i="17"/>
  <c r="AF334" i="16"/>
  <c r="Z334" i="16"/>
  <c r="Z441" i="16"/>
  <c r="AF441" i="16"/>
  <c r="N240" i="21"/>
  <c r="K240" i="21"/>
  <c r="AE241" i="17"/>
  <c r="Z241" i="17"/>
  <c r="Z438" i="16"/>
  <c r="K438" i="21"/>
  <c r="N438" i="21"/>
  <c r="N76" i="23"/>
  <c r="N24" i="23"/>
  <c r="Z437" i="16"/>
  <c r="K437" i="21"/>
  <c r="N437" i="21"/>
  <c r="AF66" i="23"/>
  <c r="AF14" i="23"/>
  <c r="AG37" i="9"/>
  <c r="AE37" i="9"/>
  <c r="AO37" i="9"/>
  <c r="Y147" i="16"/>
  <c r="J147" i="21"/>
  <c r="M147" i="21"/>
  <c r="AM22" i="9"/>
  <c r="T22" i="9"/>
  <c r="N22" i="9"/>
  <c r="AE100" i="16"/>
  <c r="AK48" i="8"/>
  <c r="AK48" i="6"/>
  <c r="AK48" i="7"/>
  <c r="AK48" i="9"/>
  <c r="AA7" i="21"/>
  <c r="AB74" i="23"/>
  <c r="AB22" i="23"/>
  <c r="AF352" i="16"/>
  <c r="Z352" i="16"/>
  <c r="N132" i="21"/>
  <c r="K132" i="21"/>
  <c r="AE107" i="17"/>
  <c r="Z107" i="17"/>
  <c r="AE44" i="16"/>
  <c r="AB92" i="23"/>
  <c r="AB40" i="23"/>
  <c r="AC91" i="23"/>
  <c r="AC39" i="23"/>
  <c r="AF39" i="8"/>
  <c r="AP39" i="8"/>
  <c r="AJ26" i="7"/>
  <c r="AJ26" i="9"/>
  <c r="AL26" i="9"/>
  <c r="AE221" i="17"/>
  <c r="Z221" i="17"/>
  <c r="Y98" i="16"/>
  <c r="AE98" i="16"/>
  <c r="Y109" i="16"/>
  <c r="AE109" i="16"/>
  <c r="AJ30" i="7"/>
  <c r="AJ30" i="9"/>
  <c r="AL30" i="9"/>
  <c r="AE146" i="17"/>
  <c r="Z146" i="17"/>
  <c r="AE239" i="17"/>
  <c r="Z239" i="17"/>
  <c r="Z446" i="16"/>
  <c r="K446" i="21"/>
  <c r="N446" i="21"/>
  <c r="AF265" i="16"/>
  <c r="Z265" i="16"/>
  <c r="N53" i="8"/>
  <c r="AL37" i="8"/>
  <c r="AJ37" i="8"/>
  <c r="Y26" i="16"/>
  <c r="AE26" i="16"/>
  <c r="AK29" i="6"/>
  <c r="AK29" i="7"/>
  <c r="AG29" i="23"/>
  <c r="AG81" i="23"/>
  <c r="W15" i="25"/>
  <c r="AG5" i="23"/>
  <c r="AG57" i="23"/>
  <c r="W9" i="25"/>
  <c r="W14" i="25"/>
  <c r="AL28" i="9"/>
  <c r="AJ28" i="9"/>
  <c r="M209" i="21"/>
  <c r="J209" i="21"/>
  <c r="AJ32" i="7"/>
  <c r="AF32" i="23"/>
  <c r="AF84" i="23"/>
  <c r="Y42" i="16"/>
  <c r="J42" i="21"/>
  <c r="M42" i="21"/>
  <c r="AL25" i="9"/>
  <c r="AJ25" i="9"/>
  <c r="AE60" i="16"/>
  <c r="AF358" i="16"/>
  <c r="Z358" i="16"/>
  <c r="AO21" i="9"/>
  <c r="AE21" i="9"/>
  <c r="AG21" i="9"/>
  <c r="AG53" i="9"/>
  <c r="AE268" i="17"/>
  <c r="Z268" i="17"/>
  <c r="AE54" i="16"/>
  <c r="N28" i="6"/>
  <c r="N28" i="7"/>
  <c r="T28" i="7"/>
  <c r="AO28" i="9"/>
  <c r="AE28" i="9"/>
  <c r="AG28" i="9"/>
  <c r="Z240" i="16"/>
  <c r="AF240" i="16"/>
  <c r="AK17" i="8"/>
  <c r="AK17" i="9"/>
  <c r="Y100" i="16"/>
  <c r="J100" i="21"/>
  <c r="M100" i="21"/>
  <c r="N173" i="21"/>
  <c r="K173" i="21"/>
  <c r="AL5" i="8"/>
  <c r="AJ5" i="8"/>
  <c r="AJ53" i="8"/>
  <c r="AK17" i="6"/>
  <c r="AK17" i="7"/>
  <c r="AG17" i="23"/>
  <c r="AG69" i="23"/>
  <c r="N92" i="21"/>
  <c r="K92" i="21"/>
  <c r="AO11" i="9"/>
  <c r="AE11" i="9"/>
  <c r="AG11" i="9"/>
  <c r="R24" i="28"/>
  <c r="AM40" i="7"/>
  <c r="U24" i="28"/>
  <c r="AL11" i="9"/>
  <c r="AJ11" i="9"/>
  <c r="AF427" i="16"/>
  <c r="AL20" i="7"/>
  <c r="AB66" i="23"/>
  <c r="AB14" i="23"/>
  <c r="AD51" i="17"/>
  <c r="Y51" i="17"/>
  <c r="N376" i="21"/>
  <c r="K376" i="21"/>
  <c r="AE106" i="17"/>
  <c r="Z106" i="17"/>
  <c r="Y60" i="16"/>
  <c r="J60" i="21"/>
  <c r="M60" i="21"/>
  <c r="AJ51" i="7"/>
  <c r="AL51" i="7"/>
  <c r="AF324" i="16"/>
  <c r="Z324" i="16"/>
  <c r="Y15" i="16"/>
  <c r="AE15" i="16"/>
  <c r="AE182" i="17"/>
  <c r="Z182" i="17"/>
  <c r="M213" i="21"/>
  <c r="J213" i="21"/>
  <c r="I14" i="28"/>
  <c r="AM14" i="7"/>
  <c r="F14" i="28"/>
  <c r="AK23" i="9"/>
  <c r="AK23" i="6"/>
  <c r="AK23" i="7"/>
  <c r="AK23" i="8"/>
  <c r="AF37" i="9"/>
  <c r="AP37" i="9"/>
  <c r="Y54" i="16"/>
  <c r="J54" i="21"/>
  <c r="M54" i="21"/>
  <c r="AE207" i="16"/>
  <c r="Y207" i="16"/>
  <c r="T37" i="7"/>
  <c r="AM37" i="7"/>
  <c r="AB70" i="23"/>
  <c r="AB18" i="23"/>
  <c r="AL47" i="9"/>
  <c r="AJ47" i="9"/>
  <c r="Z173" i="16"/>
  <c r="AF173" i="16"/>
  <c r="N137" i="21"/>
  <c r="K137" i="21"/>
  <c r="AE273" i="17"/>
  <c r="Z273" i="17"/>
  <c r="AG26" i="9"/>
  <c r="AE26" i="9"/>
  <c r="AO26" i="9"/>
  <c r="AO49" i="9"/>
  <c r="AE49" i="9"/>
  <c r="AG49" i="9"/>
  <c r="Z92" i="16"/>
  <c r="AF92" i="16"/>
  <c r="AF460" i="16"/>
  <c r="Z460" i="16"/>
  <c r="V11" i="25"/>
  <c r="AJ35" i="7"/>
  <c r="AL35" i="7"/>
  <c r="AG16" i="8"/>
  <c r="Z427" i="16"/>
  <c r="K427" i="21"/>
  <c r="N427" i="21"/>
  <c r="AJ20" i="7"/>
  <c r="AJ20" i="8"/>
  <c r="AL20" i="8"/>
  <c r="AB84" i="23"/>
  <c r="AB32" i="23"/>
  <c r="N261" i="21"/>
  <c r="K261" i="21"/>
  <c r="Y157" i="16"/>
  <c r="AE157" i="16"/>
  <c r="M167" i="21"/>
  <c r="J167" i="21"/>
  <c r="N483" i="21"/>
  <c r="K483" i="21"/>
  <c r="AE67" i="17"/>
  <c r="Z67" i="17"/>
  <c r="AM31" i="8"/>
  <c r="T31" i="8"/>
  <c r="N31" i="8"/>
  <c r="AM43" i="7"/>
  <c r="AG29" i="9"/>
  <c r="AE29" i="9"/>
  <c r="AO29" i="9"/>
  <c r="AD82" i="17"/>
  <c r="Y82" i="17"/>
  <c r="N183" i="21"/>
  <c r="K183" i="21"/>
  <c r="N367" i="21"/>
  <c r="K367" i="21"/>
  <c r="AM7" i="9"/>
  <c r="T7" i="9"/>
  <c r="N7" i="9"/>
  <c r="AF264" i="16"/>
  <c r="Z264" i="16"/>
  <c r="AM18" i="8"/>
  <c r="T18" i="8"/>
  <c r="N18" i="8"/>
  <c r="R11" i="25"/>
  <c r="AO16" i="8"/>
  <c r="AE16" i="8"/>
  <c r="AB16" i="23"/>
  <c r="AB68" i="23"/>
  <c r="AO22" i="8"/>
  <c r="AE22" i="8"/>
  <c r="AG22" i="8"/>
  <c r="AF435" i="16"/>
  <c r="X11" i="25"/>
  <c r="D11" i="25"/>
  <c r="AF53" i="8"/>
  <c r="K387" i="21"/>
  <c r="N387" i="21"/>
  <c r="V11" i="21"/>
  <c r="AJ11" i="21"/>
  <c r="AF347" i="16"/>
  <c r="Z347" i="16"/>
  <c r="AF119" i="16"/>
  <c r="N116" i="21"/>
  <c r="K116" i="21"/>
  <c r="N371" i="21"/>
  <c r="K371" i="21"/>
  <c r="Z176" i="16"/>
  <c r="AF176" i="16"/>
  <c r="AL42" i="7"/>
  <c r="Z118" i="16"/>
  <c r="AF118" i="16"/>
  <c r="AE183" i="17"/>
  <c r="Z183" i="17"/>
  <c r="N469" i="21"/>
  <c r="K469" i="21"/>
  <c r="N350" i="21"/>
  <c r="K350" i="21"/>
  <c r="N65" i="6"/>
  <c r="AL41" i="8"/>
  <c r="AJ41" i="8"/>
  <c r="N396" i="21"/>
  <c r="K396" i="21"/>
  <c r="AF308" i="16"/>
  <c r="Z308" i="16"/>
  <c r="AF479" i="16"/>
  <c r="AP49" i="9"/>
  <c r="AF49" i="9"/>
  <c r="Z190" i="16"/>
  <c r="AF190" i="16"/>
  <c r="AD38" i="17"/>
  <c r="Y38" i="17"/>
  <c r="N470" i="21"/>
  <c r="K470" i="21"/>
  <c r="AE146" i="16"/>
  <c r="AF237" i="16"/>
  <c r="V14" i="25"/>
  <c r="AF5" i="23"/>
  <c r="AF57" i="23"/>
  <c r="V9" i="25"/>
  <c r="V15" i="25"/>
  <c r="Z235" i="16"/>
  <c r="K235" i="21"/>
  <c r="N235" i="21"/>
  <c r="AD50" i="17"/>
  <c r="Y50" i="17"/>
  <c r="Z447" i="16"/>
  <c r="K447" i="21"/>
  <c r="N447" i="21"/>
  <c r="N23" i="9"/>
  <c r="T23" i="9"/>
  <c r="AM23" i="9"/>
  <c r="AL22" i="9"/>
  <c r="AJ22" i="9"/>
  <c r="R15" i="25"/>
  <c r="AO5" i="8"/>
  <c r="AE5" i="8"/>
  <c r="AB5" i="23"/>
  <c r="AB57" i="23"/>
  <c r="R9" i="25"/>
  <c r="R14" i="25"/>
  <c r="N131" i="21"/>
  <c r="K131" i="21"/>
  <c r="AD41" i="17"/>
  <c r="Y41" i="17"/>
  <c r="AL29" i="8"/>
  <c r="AJ29" i="8"/>
  <c r="AL36" i="8"/>
  <c r="AJ36" i="8"/>
  <c r="AL21" i="8"/>
  <c r="AJ21" i="8"/>
  <c r="D15" i="25"/>
  <c r="D14" i="25"/>
  <c r="AK13" i="9"/>
  <c r="AK13" i="8"/>
  <c r="Z119" i="16"/>
  <c r="K119" i="21"/>
  <c r="N119" i="21"/>
  <c r="AF313" i="16"/>
  <c r="Z313" i="16"/>
  <c r="AM23" i="8"/>
  <c r="T23" i="8"/>
  <c r="N23" i="8"/>
  <c r="AE237" i="17"/>
  <c r="Z237" i="17"/>
  <c r="AE200" i="17"/>
  <c r="Z200" i="17"/>
  <c r="N384" i="21"/>
  <c r="K384" i="21"/>
  <c r="AE262" i="17"/>
  <c r="Z262" i="17"/>
  <c r="AF113" i="16"/>
  <c r="AJ42" i="7"/>
  <c r="AJ42" i="8"/>
  <c r="AL42" i="8"/>
  <c r="AF440" i="16"/>
  <c r="AF329" i="16"/>
  <c r="Z329" i="16"/>
  <c r="N434" i="21"/>
  <c r="K434" i="21"/>
  <c r="AM30" i="9"/>
  <c r="T30" i="9"/>
  <c r="N30" i="9"/>
  <c r="AL43" i="7"/>
  <c r="AE9" i="16"/>
  <c r="N428" i="21"/>
  <c r="K428" i="21"/>
  <c r="AF413" i="16"/>
  <c r="AM20" i="8"/>
  <c r="T20" i="8"/>
  <c r="N20" i="8"/>
  <c r="N88" i="23"/>
  <c r="N36" i="6"/>
  <c r="N36" i="7"/>
  <c r="N36" i="23"/>
  <c r="AL10" i="9"/>
  <c r="AJ10" i="9"/>
  <c r="AF58" i="7"/>
  <c r="AM53" i="7"/>
  <c r="AE58" i="7"/>
  <c r="U17" i="28"/>
  <c r="AM34" i="7"/>
  <c r="R17" i="28"/>
  <c r="AG74" i="23"/>
  <c r="AG22" i="23"/>
  <c r="Z479" i="16"/>
  <c r="K479" i="21"/>
  <c r="N479" i="21"/>
  <c r="N343" i="21"/>
  <c r="K343" i="21"/>
  <c r="AO40" i="8"/>
  <c r="AE40" i="8"/>
  <c r="AG40" i="8"/>
  <c r="AG103" i="23"/>
  <c r="AG51" i="23"/>
  <c r="Y146" i="16"/>
  <c r="J146" i="21"/>
  <c r="M146" i="21"/>
  <c r="AF394" i="16"/>
  <c r="AO32" i="8"/>
  <c r="AE32" i="8"/>
  <c r="AG32" i="8"/>
  <c r="N444" i="21"/>
  <c r="K444" i="21"/>
  <c r="AF94" i="16"/>
  <c r="N357" i="21"/>
  <c r="K357" i="21"/>
  <c r="N222" i="21"/>
  <c r="K222" i="21"/>
  <c r="AF320" i="16"/>
  <c r="Z320" i="16"/>
  <c r="AD49" i="17"/>
  <c r="Y49" i="17"/>
  <c r="M69" i="21"/>
  <c r="J69" i="21"/>
  <c r="AF197" i="16"/>
  <c r="Z197" i="16"/>
  <c r="AP11" i="8"/>
  <c r="AF11" i="8"/>
  <c r="AC11" i="23"/>
  <c r="AC63" i="23"/>
  <c r="N39" i="8"/>
  <c r="T39" i="8"/>
  <c r="AM39" i="8"/>
  <c r="AK13" i="6"/>
  <c r="AK13" i="7"/>
  <c r="AG13" i="23"/>
  <c r="AG65" i="23"/>
  <c r="AE265" i="17"/>
  <c r="Z265" i="17"/>
  <c r="Y39" i="16"/>
  <c r="AE39" i="16"/>
  <c r="AE68" i="16"/>
  <c r="Z113" i="16"/>
  <c r="K113" i="21"/>
  <c r="N113" i="21"/>
  <c r="AF279" i="16"/>
  <c r="Z279" i="16"/>
  <c r="AD19" i="17"/>
  <c r="Y19" i="17"/>
  <c r="Z440" i="16"/>
  <c r="K440" i="21"/>
  <c r="N440" i="21"/>
  <c r="AE207" i="17"/>
  <c r="Z207" i="17"/>
  <c r="AE219" i="17"/>
  <c r="Z219" i="17"/>
  <c r="AE123" i="17"/>
  <c r="Z123" i="17"/>
  <c r="L67" i="6"/>
  <c r="AF185" i="16"/>
  <c r="AF430" i="16"/>
  <c r="N408" i="21"/>
  <c r="K408" i="21"/>
  <c r="AC77" i="23"/>
  <c r="AC25" i="23"/>
  <c r="AF25" i="8"/>
  <c r="AP25" i="8"/>
  <c r="M158" i="21"/>
  <c r="J158" i="21"/>
  <c r="AF254" i="16"/>
  <c r="Z254" i="16"/>
  <c r="AP33" i="9"/>
  <c r="AF33" i="9"/>
  <c r="AO50" i="8"/>
  <c r="AE50" i="8"/>
  <c r="AG50" i="8"/>
  <c r="AD109" i="17"/>
  <c r="Y109" i="17"/>
  <c r="N328" i="21"/>
  <c r="K328" i="21"/>
  <c r="AD14" i="17"/>
  <c r="Y14" i="17"/>
  <c r="AF192" i="16"/>
  <c r="N138" i="21"/>
  <c r="K138" i="21"/>
  <c r="AK51" i="8"/>
  <c r="AK51" i="6"/>
  <c r="AK51" i="7"/>
  <c r="AK51" i="9"/>
  <c r="AL46" i="8"/>
  <c r="AJ46" i="8"/>
  <c r="AK18" i="9"/>
  <c r="AK18" i="8"/>
  <c r="AB103" i="23"/>
  <c r="AB51" i="23"/>
  <c r="AE212" i="17"/>
  <c r="Z212" i="17"/>
  <c r="N443" i="21"/>
  <c r="K443" i="21"/>
  <c r="Z394" i="16"/>
  <c r="K394" i="21"/>
  <c r="N394" i="21"/>
  <c r="AO41" i="9"/>
  <c r="AE41" i="9"/>
  <c r="AG41" i="9"/>
  <c r="Z444" i="16"/>
  <c r="AF444" i="16"/>
  <c r="Z94" i="16"/>
  <c r="K94" i="21"/>
  <c r="N94" i="21"/>
  <c r="AF395" i="16"/>
  <c r="AE49" i="16"/>
  <c r="AC68" i="23"/>
  <c r="AC16" i="23"/>
  <c r="N16" i="7"/>
  <c r="T16" i="7"/>
  <c r="AP16" i="8"/>
  <c r="AF16" i="8"/>
  <c r="AE161" i="17"/>
  <c r="Z161" i="17"/>
  <c r="AO18" i="8"/>
  <c r="AE18" i="8"/>
  <c r="AG18" i="8"/>
  <c r="AO7" i="8"/>
  <c r="AE7" i="8"/>
  <c r="AG7" i="8"/>
  <c r="AD15" i="17"/>
  <c r="Y15" i="17"/>
  <c r="Y69" i="16"/>
  <c r="AE69" i="16"/>
  <c r="X14" i="25"/>
  <c r="D9" i="25"/>
  <c r="X9" i="25"/>
  <c r="X15" i="25"/>
  <c r="AM50" i="8"/>
  <c r="T50" i="8"/>
  <c r="N50" i="8"/>
  <c r="AL23" i="8"/>
  <c r="AJ23" i="8"/>
  <c r="N63" i="23"/>
  <c r="N11" i="23"/>
  <c r="AP13" i="8"/>
  <c r="AF13" i="8"/>
  <c r="AC13" i="23"/>
  <c r="AC65" i="23"/>
  <c r="Y68" i="16"/>
  <c r="J68" i="21"/>
  <c r="M68" i="21"/>
  <c r="N295" i="21"/>
  <c r="K295" i="21"/>
  <c r="AF319" i="16"/>
  <c r="Z319" i="16"/>
  <c r="N296" i="21"/>
  <c r="K296" i="21"/>
  <c r="M45" i="21"/>
  <c r="J45" i="21"/>
  <c r="N397" i="21"/>
  <c r="K397" i="21"/>
  <c r="AM10" i="9"/>
  <c r="T10" i="9"/>
  <c r="N10" i="9"/>
  <c r="AF98" i="23"/>
  <c r="AF46" i="23"/>
  <c r="AF391" i="16"/>
  <c r="N373" i="21"/>
  <c r="K373" i="21"/>
  <c r="U12" i="28"/>
  <c r="AM30" i="7"/>
  <c r="R12" i="28"/>
  <c r="AE192" i="17"/>
  <c r="Z192" i="17"/>
  <c r="AE212" i="16"/>
  <c r="Y212" i="16"/>
  <c r="AF371" i="16"/>
  <c r="Z371" i="16"/>
  <c r="AE236" i="17"/>
  <c r="Z236" i="17"/>
  <c r="AF198" i="16"/>
  <c r="Z198" i="16"/>
  <c r="M156" i="21"/>
  <c r="J156" i="21"/>
  <c r="AF12" i="9"/>
  <c r="AP12" i="9"/>
  <c r="AF115" i="16"/>
  <c r="M43" i="21"/>
  <c r="J43" i="21"/>
  <c r="AL46" i="9"/>
  <c r="AJ46" i="9"/>
  <c r="Z192" i="16"/>
  <c r="K192" i="21"/>
  <c r="N192" i="21"/>
  <c r="N97" i="21"/>
  <c r="K97" i="21"/>
  <c r="AO51" i="8"/>
  <c r="AE51" i="8"/>
  <c r="AG51" i="8"/>
  <c r="AF244" i="16"/>
  <c r="Z124" i="16"/>
  <c r="AF124" i="16"/>
  <c r="Z138" i="16"/>
  <c r="AF138" i="16"/>
  <c r="Z395" i="16"/>
  <c r="K395" i="21"/>
  <c r="N395" i="21"/>
  <c r="AF263" i="16"/>
  <c r="Z263" i="16"/>
  <c r="AP20" i="8"/>
  <c r="AF20" i="8"/>
  <c r="AC20" i="23"/>
  <c r="AC72" i="23"/>
  <c r="N352" i="21"/>
  <c r="K352" i="21"/>
  <c r="AM44" i="7"/>
  <c r="AE243" i="17"/>
  <c r="Z243" i="17"/>
  <c r="AE14" i="16"/>
  <c r="AE157" i="17"/>
  <c r="Z157" i="17"/>
  <c r="AF12" i="16"/>
  <c r="AL23" i="7"/>
  <c r="N19" i="8"/>
  <c r="T19" i="8"/>
  <c r="AM19" i="8"/>
  <c r="AE118" i="17"/>
  <c r="Z118" i="17"/>
  <c r="N98" i="23"/>
  <c r="N46" i="23"/>
  <c r="AF470" i="16"/>
  <c r="Z470" i="16"/>
  <c r="U23" i="28"/>
  <c r="AM39" i="7"/>
  <c r="R23" i="28"/>
  <c r="N196" i="21"/>
  <c r="K196" i="21"/>
  <c r="AF365" i="16"/>
  <c r="Z365" i="16"/>
  <c r="N231" i="21"/>
  <c r="K231" i="21"/>
  <c r="AM44" i="9"/>
  <c r="T44" i="9"/>
  <c r="N44" i="9"/>
  <c r="AF19" i="16"/>
  <c r="AD52" i="17"/>
  <c r="Y52" i="17"/>
  <c r="AD6" i="17"/>
  <c r="Y6" i="17"/>
  <c r="AF8" i="16"/>
  <c r="AM26" i="8"/>
  <c r="T26" i="8"/>
  <c r="N26" i="8"/>
  <c r="AJ5" i="17"/>
  <c r="Z263" i="17"/>
  <c r="AE263" i="17"/>
  <c r="AE11" i="21"/>
  <c r="AE189" i="17"/>
  <c r="Z189" i="17"/>
  <c r="Y44" i="16"/>
  <c r="J44" i="21"/>
  <c r="M44" i="21"/>
  <c r="T18" i="7"/>
  <c r="AO18" i="9"/>
  <c r="AE18" i="9"/>
  <c r="AG18" i="9"/>
  <c r="AE258" i="17"/>
  <c r="Z258" i="17"/>
  <c r="Y2" i="16"/>
  <c r="AE2" i="16"/>
  <c r="AU2" i="16"/>
  <c r="AV2" i="16"/>
  <c r="N199" i="21"/>
  <c r="K199" i="21"/>
  <c r="Z443" i="16"/>
  <c r="AF443" i="16"/>
  <c r="Z115" i="16"/>
  <c r="K115" i="21"/>
  <c r="N115" i="21"/>
  <c r="Y43" i="16"/>
  <c r="AE43" i="16"/>
  <c r="AK22" i="9"/>
  <c r="AK22" i="6"/>
  <c r="AK22" i="7"/>
  <c r="AK22" i="8"/>
  <c r="M84" i="21"/>
  <c r="J84" i="21"/>
  <c r="Z97" i="16"/>
  <c r="AF97" i="16"/>
  <c r="Z244" i="16"/>
  <c r="K244" i="21"/>
  <c r="N244" i="21"/>
  <c r="Z435" i="16"/>
  <c r="K435" i="21"/>
  <c r="N435" i="21"/>
  <c r="U7" i="28"/>
  <c r="AM19" i="7"/>
  <c r="R7" i="28"/>
  <c r="N145" i="21"/>
  <c r="K145" i="21"/>
  <c r="Y84" i="16"/>
  <c r="AE84" i="16"/>
  <c r="AF467" i="16"/>
  <c r="Z467" i="16"/>
  <c r="AL21" i="9"/>
  <c r="AJ21" i="9"/>
  <c r="AO20" i="8"/>
  <c r="AE20" i="8"/>
  <c r="AG20" i="8"/>
  <c r="N49" i="6"/>
  <c r="N49" i="7"/>
  <c r="T49" i="7"/>
  <c r="AO49" i="8"/>
  <c r="AE49" i="8"/>
  <c r="AB49" i="23"/>
  <c r="AB101" i="23"/>
  <c r="N463" i="21"/>
  <c r="K463" i="21"/>
  <c r="AE170" i="17"/>
  <c r="Z170" i="17"/>
  <c r="AE134" i="17"/>
  <c r="Z134" i="17"/>
  <c r="AP44" i="9"/>
  <c r="AF44" i="9"/>
  <c r="Z116" i="16"/>
  <c r="AF116" i="16"/>
  <c r="Y14" i="16"/>
  <c r="J14" i="21"/>
  <c r="M14" i="21"/>
  <c r="L69" i="6"/>
  <c r="N221" i="21"/>
  <c r="K221" i="21"/>
  <c r="AP21" i="9"/>
  <c r="AF21" i="9"/>
  <c r="AF368" i="16"/>
  <c r="Z368" i="16"/>
  <c r="Z12" i="16"/>
  <c r="K12" i="21"/>
  <c r="N12" i="21"/>
  <c r="N18" i="6"/>
  <c r="N18" i="7"/>
  <c r="N18" i="9"/>
  <c r="T18" i="9"/>
  <c r="AM18" i="9"/>
  <c r="AJ23" i="7"/>
  <c r="AF23" i="23"/>
  <c r="AF75" i="23"/>
  <c r="AD16" i="17"/>
  <c r="Y16" i="17"/>
  <c r="AF318" i="16"/>
  <c r="Z318" i="16"/>
  <c r="AE159" i="17"/>
  <c r="Z159" i="17"/>
  <c r="AO14" i="8"/>
  <c r="AE14" i="8"/>
  <c r="AG14" i="8"/>
  <c r="AO35" i="9"/>
  <c r="AE35" i="9"/>
  <c r="AG35" i="9"/>
  <c r="Z131" i="16"/>
  <c r="AF131" i="16"/>
  <c r="AE133" i="17"/>
  <c r="Z133" i="17"/>
  <c r="M83" i="21"/>
  <c r="J83" i="21"/>
  <c r="AL14" i="8"/>
  <c r="AJ14" i="8"/>
  <c r="AF13" i="9"/>
  <c r="T13" i="7"/>
  <c r="AP13" i="9"/>
  <c r="AD116" i="17"/>
  <c r="Y116" i="17"/>
  <c r="AL44" i="9"/>
  <c r="AJ44" i="9"/>
  <c r="N461" i="21"/>
  <c r="K461" i="21"/>
  <c r="AL18" i="7"/>
  <c r="AF214" i="16"/>
  <c r="Z214" i="16"/>
  <c r="M70" i="21"/>
  <c r="J70" i="21"/>
  <c r="N283" i="21"/>
  <c r="K283" i="21"/>
  <c r="AE163" i="17"/>
  <c r="Z163" i="17"/>
  <c r="Y45" i="16"/>
  <c r="AE45" i="16"/>
  <c r="N7" i="21"/>
  <c r="K7" i="21"/>
  <c r="AP7" i="8"/>
  <c r="AF7" i="8"/>
  <c r="AC7" i="23"/>
  <c r="AC59" i="23"/>
  <c r="AF39" i="9"/>
  <c r="AP39" i="9"/>
  <c r="N89" i="21"/>
  <c r="K89" i="21"/>
  <c r="AF454" i="16"/>
  <c r="Y9" i="16"/>
  <c r="J9" i="21"/>
  <c r="M9" i="21"/>
  <c r="Z430" i="16"/>
  <c r="K430" i="21"/>
  <c r="N430" i="21"/>
  <c r="AE135" i="17"/>
  <c r="Z135" i="17"/>
  <c r="Z89" i="16"/>
  <c r="AF89" i="16"/>
  <c r="N51" i="8"/>
  <c r="T51" i="8"/>
  <c r="AM51" i="8"/>
  <c r="N31" i="9"/>
  <c r="T31" i="9"/>
  <c r="AM31" i="9"/>
  <c r="AL9" i="16"/>
  <c r="AK9" i="16"/>
  <c r="AE208" i="16"/>
  <c r="Y208" i="16"/>
  <c r="AE181" i="17"/>
  <c r="Z181" i="17"/>
  <c r="M37" i="21"/>
  <c r="J37" i="21"/>
  <c r="AF201" i="16"/>
  <c r="Z201" i="16"/>
  <c r="AJ41" i="7"/>
  <c r="AL41" i="7"/>
  <c r="N7" i="8"/>
  <c r="T7" i="8"/>
  <c r="AM7" i="8"/>
  <c r="Z183" i="16"/>
  <c r="AF183" i="16"/>
  <c r="N42" i="9"/>
  <c r="T42" i="9"/>
  <c r="AM42" i="9"/>
  <c r="AE140" i="17"/>
  <c r="Z140" i="17"/>
  <c r="AE255" i="17"/>
  <c r="Z255" i="17"/>
  <c r="AF83" i="23"/>
  <c r="AF31" i="23"/>
  <c r="AD34" i="17"/>
  <c r="Y34" i="17"/>
  <c r="N475" i="21"/>
  <c r="K475" i="21"/>
  <c r="Z396" i="16"/>
  <c r="AF396" i="16"/>
  <c r="AG48" i="9"/>
  <c r="AE48" i="9"/>
  <c r="AO48" i="9"/>
  <c r="N259" i="21"/>
  <c r="K259" i="21"/>
  <c r="N466" i="21"/>
  <c r="K466" i="21"/>
  <c r="N35" i="9"/>
  <c r="T35" i="9"/>
  <c r="AM35" i="9"/>
  <c r="AJ18" i="7"/>
  <c r="AJ18" i="8"/>
  <c r="AL18" i="8"/>
  <c r="N270" i="21"/>
  <c r="K270" i="21"/>
  <c r="N62" i="23"/>
  <c r="N10" i="23"/>
  <c r="AF282" i="16"/>
  <c r="Z282" i="16"/>
  <c r="AE175" i="17"/>
  <c r="Z175" i="17"/>
  <c r="N242" i="21"/>
  <c r="K242" i="21"/>
  <c r="AJ5" i="7"/>
  <c r="AL5" i="7"/>
  <c r="Y70" i="16"/>
  <c r="AE70" i="16"/>
  <c r="M38" i="21"/>
  <c r="J38" i="21"/>
  <c r="AJ43" i="7"/>
  <c r="AF43" i="23"/>
  <c r="AF95" i="23"/>
  <c r="Z397" i="16"/>
  <c r="AF397" i="16"/>
  <c r="Y154" i="16"/>
  <c r="AE154" i="16"/>
  <c r="Z185" i="16"/>
  <c r="K185" i="21"/>
  <c r="N185" i="21"/>
  <c r="Z251" i="16"/>
  <c r="AF251" i="16"/>
  <c r="N13" i="6"/>
  <c r="N13" i="7"/>
  <c r="N13" i="8"/>
  <c r="T13" i="8"/>
  <c r="AM13" i="8"/>
  <c r="Z391" i="16"/>
  <c r="K391" i="21"/>
  <c r="N391" i="21"/>
  <c r="AE166" i="17"/>
  <c r="Z166" i="17"/>
  <c r="AG64" i="23"/>
  <c r="AG12" i="23"/>
  <c r="Z483" i="16"/>
  <c r="AF483" i="16"/>
  <c r="AF471" i="16"/>
  <c r="Z471" i="16"/>
  <c r="AF307" i="16"/>
  <c r="Z307" i="16"/>
  <c r="AG6" i="8"/>
  <c r="AF416" i="16"/>
  <c r="N465" i="21"/>
  <c r="K465" i="21"/>
  <c r="N218" i="21"/>
  <c r="K218" i="21"/>
  <c r="Z454" i="16"/>
  <c r="K454" i="21"/>
  <c r="N454" i="21"/>
  <c r="AL38" i="8"/>
  <c r="AJ38" i="8"/>
  <c r="Z8" i="16"/>
  <c r="K8" i="21"/>
  <c r="N8" i="21"/>
  <c r="AP5" i="8"/>
  <c r="AF5" i="8"/>
  <c r="AC5" i="23"/>
  <c r="AC57" i="23"/>
  <c r="S7" i="25"/>
  <c r="S13" i="25"/>
  <c r="AB78" i="23"/>
  <c r="AB26" i="23"/>
  <c r="AF367" i="16"/>
  <c r="Z367" i="16"/>
  <c r="AL47" i="8"/>
  <c r="AJ47" i="8"/>
  <c r="AL16" i="7"/>
  <c r="N407" i="21"/>
  <c r="K407" i="21"/>
  <c r="AL3" i="16"/>
  <c r="AF16" i="23"/>
  <c r="AF68" i="23"/>
  <c r="AF32" i="9"/>
  <c r="AP32" i="9"/>
  <c r="AM51" i="9"/>
  <c r="T51" i="9"/>
  <c r="N51" i="9"/>
  <c r="AD7" i="17"/>
  <c r="Y7" i="17"/>
  <c r="AG101" i="23"/>
  <c r="AG49" i="23"/>
  <c r="AL31" i="9"/>
  <c r="AJ31" i="9"/>
  <c r="AG73" i="23"/>
  <c r="AG21" i="23"/>
  <c r="N314" i="21"/>
  <c r="K314" i="21"/>
  <c r="M64" i="21"/>
  <c r="J64" i="21"/>
  <c r="N374" i="21"/>
  <c r="K374" i="21"/>
  <c r="M210" i="21"/>
  <c r="J210" i="21"/>
  <c r="N274" i="21"/>
  <c r="K274" i="21"/>
  <c r="AF304" i="16"/>
  <c r="Z304" i="16"/>
  <c r="AM11" i="9"/>
  <c r="T11" i="9"/>
  <c r="N11" i="9"/>
  <c r="AE270" i="17"/>
  <c r="Z270" i="17"/>
  <c r="AF339" i="16"/>
  <c r="Z339" i="16"/>
  <c r="AE121" i="17"/>
  <c r="Z121" i="17"/>
  <c r="AE137" i="17"/>
  <c r="Z137" i="17"/>
  <c r="Y49" i="16"/>
  <c r="J49" i="21"/>
  <c r="M49" i="21"/>
  <c r="N8" i="6"/>
  <c r="N8" i="7"/>
  <c r="T8" i="7"/>
  <c r="AP8" i="9"/>
  <c r="AF8" i="9"/>
  <c r="AM34" i="8"/>
  <c r="T34" i="8"/>
  <c r="N34" i="8"/>
  <c r="N451" i="21"/>
  <c r="K451" i="21"/>
  <c r="AL8" i="7"/>
  <c r="N468" i="21"/>
  <c r="K468" i="21"/>
  <c r="N281" i="21"/>
  <c r="K281" i="21"/>
  <c r="Y83" i="16"/>
  <c r="AE83" i="16"/>
  <c r="N262" i="21"/>
  <c r="K262" i="21"/>
  <c r="N14" i="23"/>
  <c r="N66" i="23"/>
  <c r="Z17" i="16"/>
  <c r="AF17" i="16"/>
  <c r="Z428" i="16"/>
  <c r="AF428" i="16"/>
  <c r="Z19" i="16"/>
  <c r="K19" i="21"/>
  <c r="N19" i="21"/>
  <c r="N223" i="21"/>
  <c r="K223" i="21"/>
  <c r="AC79" i="23"/>
  <c r="AC27" i="23"/>
  <c r="AF27" i="8"/>
  <c r="AP27" i="8"/>
  <c r="AD53" i="17"/>
  <c r="Y53" i="17"/>
  <c r="AJ16" i="7"/>
  <c r="AJ16" i="8"/>
  <c r="AL16" i="8"/>
  <c r="Z407" i="16"/>
  <c r="AF407" i="16"/>
  <c r="AK43" i="9"/>
  <c r="AK43" i="8"/>
  <c r="Z10" i="16"/>
  <c r="AF10" i="16"/>
  <c r="N455" i="21"/>
  <c r="K455" i="21"/>
  <c r="N299" i="21"/>
  <c r="K299" i="21"/>
  <c r="N188" i="21"/>
  <c r="K188" i="21"/>
  <c r="AF449" i="16"/>
  <c r="AF202" i="16"/>
  <c r="Z202" i="16"/>
  <c r="N58" i="7"/>
  <c r="N53" i="7"/>
  <c r="AC100" i="23"/>
  <c r="AP48" i="8"/>
  <c r="AF48" i="8"/>
  <c r="AC48" i="23"/>
  <c r="AL33" i="7"/>
  <c r="AD44" i="17"/>
  <c r="Y44" i="17"/>
  <c r="AF90" i="23"/>
  <c r="AF38" i="23"/>
  <c r="M82" i="21"/>
  <c r="J82" i="21"/>
  <c r="AM39" i="9"/>
  <c r="T39" i="9"/>
  <c r="N39" i="9"/>
  <c r="AK5" i="8"/>
  <c r="AK5" i="7"/>
  <c r="AK5" i="9"/>
  <c r="N37" i="6"/>
  <c r="N37" i="7"/>
  <c r="N37" i="23"/>
  <c r="N89" i="23"/>
  <c r="Z451" i="16"/>
  <c r="AF451" i="16"/>
  <c r="AJ8" i="6"/>
  <c r="AJ8" i="7"/>
  <c r="AJ8" i="9"/>
  <c r="AL8" i="9"/>
  <c r="AC93" i="23"/>
  <c r="AP41" i="8"/>
  <c r="AF41" i="8"/>
  <c r="AC41" i="23"/>
  <c r="AC66" i="23"/>
  <c r="AP14" i="8"/>
  <c r="AF14" i="8"/>
  <c r="AC14" i="23"/>
  <c r="AE25" i="16"/>
  <c r="AF326" i="16"/>
  <c r="Z326" i="16"/>
  <c r="N30" i="8"/>
  <c r="T30" i="8"/>
  <c r="AM30" i="8"/>
  <c r="Z231" i="16"/>
  <c r="AF231" i="16"/>
  <c r="AK49" i="8"/>
  <c r="AK49" i="6"/>
  <c r="AK49" i="7"/>
  <c r="AK49" i="9"/>
  <c r="AO6" i="9"/>
  <c r="AE6" i="9"/>
  <c r="AG6" i="9"/>
  <c r="AE188" i="17"/>
  <c r="Z188" i="17"/>
  <c r="AD12" i="17"/>
  <c r="Y12" i="17"/>
  <c r="N256" i="21"/>
  <c r="K256" i="21"/>
  <c r="AE208" i="17"/>
  <c r="Z208" i="17"/>
  <c r="AL27" i="7"/>
  <c r="Z449" i="16"/>
  <c r="K449" i="21"/>
  <c r="N449" i="21"/>
  <c r="AF372" i="16"/>
  <c r="Z372" i="16"/>
  <c r="AG7" i="21"/>
  <c r="Y7" i="21"/>
  <c r="S7" i="21"/>
  <c r="N219" i="21"/>
  <c r="K219" i="21"/>
  <c r="AM17" i="8"/>
  <c r="T17" i="8"/>
  <c r="N17" i="8"/>
  <c r="N366" i="21"/>
  <c r="K366" i="21"/>
  <c r="AJ33" i="7"/>
  <c r="AJ33" i="8"/>
  <c r="AL33" i="8"/>
  <c r="N100" i="23"/>
  <c r="N48" i="23"/>
  <c r="AK42" i="8"/>
  <c r="AK42" i="9"/>
  <c r="AE218" i="17"/>
  <c r="Z218" i="17"/>
  <c r="AE9" i="21"/>
  <c r="AE128" i="17"/>
  <c r="Z128" i="17"/>
  <c r="Z184" i="16"/>
  <c r="AF184" i="16"/>
  <c r="M73" i="21"/>
  <c r="J73" i="21"/>
  <c r="N19" i="6"/>
  <c r="N19" i="7"/>
  <c r="T19" i="7"/>
  <c r="AP19" i="8"/>
  <c r="AF19" i="8"/>
  <c r="AC19" i="23"/>
  <c r="AC71" i="23"/>
  <c r="AF469" i="16"/>
  <c r="Z469" i="16"/>
  <c r="Y73" i="16"/>
  <c r="AE73" i="16"/>
  <c r="AJ18" i="6"/>
  <c r="AK18" i="6"/>
  <c r="AK18" i="7"/>
  <c r="AG18" i="23"/>
  <c r="AG70" i="23"/>
  <c r="AE253" i="17"/>
  <c r="Z253" i="17"/>
  <c r="AF271" i="16"/>
  <c r="Z271" i="16"/>
  <c r="N310" i="21"/>
  <c r="K310" i="21"/>
  <c r="AK53" i="7"/>
  <c r="AK58" i="7"/>
  <c r="Y167" i="16"/>
  <c r="AE167" i="16"/>
  <c r="AF45" i="9"/>
  <c r="AP45" i="9"/>
  <c r="N43" i="6"/>
  <c r="N43" i="7"/>
  <c r="T43" i="7"/>
  <c r="AP43" i="8"/>
  <c r="AF43" i="8"/>
  <c r="AC43" i="23"/>
  <c r="AC95" i="23"/>
  <c r="AO50" i="9"/>
  <c r="AE50" i="9"/>
  <c r="AG50" i="9"/>
  <c r="AP51" i="9"/>
  <c r="AF51" i="9"/>
  <c r="Y25" i="16"/>
  <c r="J25" i="21"/>
  <c r="M25" i="21"/>
  <c r="N47" i="6"/>
  <c r="N47" i="7"/>
  <c r="N47" i="8"/>
  <c r="T47" i="8"/>
  <c r="AM47" i="8"/>
  <c r="AJ14" i="7"/>
  <c r="AL14" i="7"/>
  <c r="Z413" i="16"/>
  <c r="K413" i="21"/>
  <c r="N413" i="21"/>
  <c r="AJ46" i="7"/>
  <c r="AL46" i="7"/>
  <c r="Z132" i="16"/>
  <c r="AF132" i="16"/>
  <c r="N344" i="21"/>
  <c r="K344" i="21"/>
  <c r="AE70" i="17"/>
  <c r="Z70" i="17"/>
  <c r="Z434" i="16"/>
  <c r="AF434" i="16"/>
  <c r="Y38" i="16"/>
  <c r="AE38" i="16"/>
  <c r="AE92" i="17"/>
  <c r="Z92" i="17"/>
  <c r="N25" i="9"/>
  <c r="T25" i="9"/>
  <c r="AM25" i="9"/>
  <c r="N362" i="21"/>
  <c r="K362" i="21"/>
  <c r="N216" i="21"/>
  <c r="K216" i="21"/>
  <c r="N258" i="21"/>
  <c r="K258" i="21"/>
  <c r="AJ27" i="7"/>
  <c r="AJ27" i="9"/>
  <c r="AL27" i="9"/>
  <c r="AJ44" i="7"/>
  <c r="AL44" i="7"/>
  <c r="AG61" i="23"/>
  <c r="AG9" i="23"/>
  <c r="N249" i="21"/>
  <c r="K249" i="21"/>
  <c r="M46" i="21"/>
  <c r="J46" i="21"/>
  <c r="AF38" i="9"/>
  <c r="AP38" i="9"/>
  <c r="AE193" i="17"/>
  <c r="Z193" i="17"/>
  <c r="AE257" i="17"/>
  <c r="Z257" i="17"/>
  <c r="AK42" i="6"/>
  <c r="AK42" i="7"/>
  <c r="AG42" i="23"/>
  <c r="AG94" i="23"/>
  <c r="N175" i="21"/>
  <c r="K175" i="21"/>
  <c r="N386" i="21"/>
  <c r="K386" i="21"/>
  <c r="AL21" i="7"/>
  <c r="AF359" i="16"/>
  <c r="Z359" i="16"/>
  <c r="AL53" i="7"/>
  <c r="AE261" i="17"/>
  <c r="Z261" i="17"/>
  <c r="AF220" i="16"/>
  <c r="Z220" i="16"/>
  <c r="AE101" i="16"/>
  <c r="AB9" i="21"/>
  <c r="AL12" i="7"/>
  <c r="AF145" i="16"/>
  <c r="AF335" i="16"/>
  <c r="Z335" i="16"/>
  <c r="N364" i="21"/>
  <c r="K364" i="21"/>
  <c r="M204" i="21"/>
  <c r="J204" i="21"/>
  <c r="AJ21" i="7"/>
  <c r="AF21" i="23"/>
  <c r="AF73" i="23"/>
  <c r="AL22" i="8"/>
  <c r="AJ22" i="8"/>
  <c r="M47" i="21"/>
  <c r="J47" i="21"/>
  <c r="AJ53" i="7"/>
  <c r="AJ58" i="7"/>
  <c r="K195" i="21"/>
  <c r="N195" i="21"/>
  <c r="AF256" i="16"/>
  <c r="Z256" i="16"/>
  <c r="AK12" i="9"/>
  <c r="AK12" i="6"/>
  <c r="AK12" i="7"/>
  <c r="AK12" i="8"/>
  <c r="AJ43" i="6"/>
  <c r="AK43" i="6"/>
  <c r="AK43" i="7"/>
  <c r="AG43" i="23"/>
  <c r="AG95" i="23"/>
  <c r="N20" i="23"/>
  <c r="N72" i="23"/>
  <c r="AO6" i="8"/>
  <c r="AE6" i="8"/>
  <c r="AB6" i="23"/>
  <c r="AB58" i="23"/>
  <c r="AG39" i="8"/>
  <c r="Y37" i="16"/>
  <c r="AE37" i="16"/>
  <c r="Z7" i="16"/>
  <c r="AF7" i="16"/>
  <c r="AK21" i="8"/>
  <c r="AK21" i="6"/>
  <c r="AK21" i="7"/>
  <c r="AK21" i="9"/>
  <c r="AF246" i="16"/>
  <c r="AF239" i="16"/>
  <c r="AF22" i="16"/>
  <c r="AB62" i="23"/>
  <c r="AB10" i="23"/>
  <c r="AG12" i="21"/>
  <c r="Y12" i="21"/>
  <c r="S12" i="21"/>
  <c r="AD43" i="17"/>
  <c r="Y43" i="17"/>
  <c r="AF482" i="16"/>
  <c r="AF250" i="16"/>
  <c r="AF117" i="16"/>
  <c r="N336" i="21"/>
  <c r="K336" i="21"/>
  <c r="AE249" i="17"/>
  <c r="Z249" i="17"/>
  <c r="AE173" i="17"/>
  <c r="Z173" i="17"/>
  <c r="N267" i="21"/>
  <c r="K267" i="21"/>
  <c r="AE174" i="17"/>
  <c r="Z174" i="17"/>
  <c r="AE105" i="16"/>
  <c r="AB94" i="23"/>
  <c r="AB42" i="23"/>
  <c r="AG59" i="23"/>
  <c r="AG7" i="23"/>
  <c r="R27" i="28"/>
  <c r="AM45" i="7"/>
  <c r="U27" i="28"/>
  <c r="AF196" i="16"/>
  <c r="Z196" i="16"/>
  <c r="AE141" i="17"/>
  <c r="Z141" i="17"/>
  <c r="K194" i="21"/>
  <c r="N194" i="21"/>
  <c r="AE264" i="17"/>
  <c r="Z264" i="17"/>
  <c r="AJ12" i="9"/>
  <c r="AL12" i="9"/>
  <c r="X13" i="25"/>
  <c r="X7" i="25"/>
  <c r="AE24" i="16"/>
  <c r="AJ12" i="7"/>
  <c r="AF12" i="23"/>
  <c r="AF64" i="23"/>
  <c r="AC64" i="23"/>
  <c r="AC12" i="23"/>
  <c r="AF12" i="8"/>
  <c r="AP12" i="8"/>
  <c r="Z145" i="16"/>
  <c r="K198" i="21"/>
  <c r="N198" i="21"/>
  <c r="M153" i="21"/>
  <c r="J153" i="21"/>
  <c r="N15" i="21"/>
  <c r="K15" i="21"/>
  <c r="AE78" i="16"/>
  <c r="AF312" i="16"/>
  <c r="Z312" i="16"/>
  <c r="N460" i="21"/>
  <c r="K460" i="21"/>
  <c r="M72" i="21"/>
  <c r="J72" i="21"/>
  <c r="N12" i="23"/>
  <c r="N64" i="23"/>
  <c r="AE145" i="17"/>
  <c r="Z145" i="17"/>
  <c r="Z137" i="16"/>
  <c r="AF137" i="16"/>
  <c r="Y64" i="16"/>
  <c r="AE64" i="16"/>
  <c r="N39" i="6"/>
  <c r="N39" i="7"/>
  <c r="T39" i="7"/>
  <c r="AO39" i="8"/>
  <c r="AE39" i="8"/>
  <c r="AB39" i="23"/>
  <c r="AB91" i="23"/>
  <c r="Z416" i="16"/>
  <c r="K416" i="21"/>
  <c r="N416" i="21"/>
  <c r="N5" i="23"/>
  <c r="N57" i="23"/>
  <c r="D7" i="25"/>
  <c r="D13" i="25"/>
  <c r="Z246" i="16"/>
  <c r="K246" i="21"/>
  <c r="N246" i="21"/>
  <c r="AD35" i="17"/>
  <c r="Y35" i="17"/>
  <c r="N289" i="21"/>
  <c r="K289" i="21"/>
  <c r="AE105" i="17"/>
  <c r="Z105" i="17"/>
  <c r="Z239" i="16"/>
  <c r="K239" i="21"/>
  <c r="N239" i="21"/>
  <c r="Z22" i="16"/>
  <c r="K22" i="21"/>
  <c r="N22" i="21"/>
  <c r="AF316" i="16"/>
  <c r="Z316" i="16"/>
  <c r="AO10" i="8"/>
  <c r="AE10" i="8"/>
  <c r="AG10" i="8"/>
  <c r="AB83" i="23"/>
  <c r="AB31" i="23"/>
  <c r="AG10" i="9"/>
  <c r="AO10" i="9"/>
  <c r="AE10" i="9"/>
  <c r="AL45" i="8"/>
  <c r="AJ45" i="8"/>
  <c r="N34" i="23"/>
  <c r="N86" i="23"/>
  <c r="Z250" i="16"/>
  <c r="K250" i="21"/>
  <c r="N250" i="21"/>
  <c r="Z249" i="16"/>
  <c r="AF249" i="16"/>
  <c r="N478" i="21"/>
  <c r="K478" i="21"/>
  <c r="AE28" i="16"/>
  <c r="AF426" i="16"/>
  <c r="T44" i="7"/>
  <c r="AP44" i="8"/>
  <c r="AF44" i="8"/>
  <c r="AC44" i="23"/>
  <c r="AC96" i="23"/>
  <c r="AE168" i="17"/>
  <c r="Z168" i="17"/>
  <c r="Y105" i="16"/>
  <c r="J105" i="21"/>
  <c r="M105" i="21"/>
  <c r="AK7" i="9"/>
  <c r="AK7" i="7"/>
  <c r="AK7" i="8"/>
  <c r="AG9" i="8"/>
  <c r="AL11" i="7"/>
  <c r="AF431" i="16"/>
  <c r="AO9" i="8"/>
  <c r="AE9" i="8"/>
  <c r="AB9" i="23"/>
  <c r="AB61" i="23"/>
  <c r="N130" i="21"/>
  <c r="K130" i="21"/>
  <c r="Y24" i="16"/>
  <c r="J24" i="21"/>
  <c r="M24" i="21"/>
  <c r="AE108" i="16"/>
  <c r="N46" i="9"/>
  <c r="T46" i="9"/>
  <c r="AM46" i="9"/>
  <c r="AD32" i="17"/>
  <c r="Y32" i="17"/>
  <c r="AJ7" i="21"/>
  <c r="V7" i="21"/>
  <c r="K2" i="21"/>
  <c r="N2" i="21"/>
  <c r="AF462" i="16"/>
  <c r="Z462" i="16"/>
  <c r="M29" i="21"/>
  <c r="J29" i="21"/>
  <c r="AF344" i="16"/>
  <c r="Z344" i="16"/>
  <c r="N308" i="21"/>
  <c r="K308" i="21"/>
  <c r="AL40" i="7"/>
  <c r="M20" i="21"/>
  <c r="J20" i="21"/>
  <c r="N11" i="21"/>
  <c r="K11" i="21"/>
  <c r="AC83" i="23"/>
  <c r="AC31" i="23"/>
  <c r="AF31" i="8"/>
  <c r="AP31" i="8"/>
  <c r="AE205" i="16"/>
  <c r="Y205" i="16"/>
  <c r="AE63" i="16"/>
  <c r="AE204" i="17"/>
  <c r="Z204" i="17"/>
  <c r="AD81" i="17"/>
  <c r="Y81" i="17"/>
  <c r="AJ10" i="7"/>
  <c r="AL10" i="7"/>
  <c r="Z478" i="16"/>
  <c r="AF478" i="16"/>
  <c r="Y28" i="16"/>
  <c r="J28" i="21"/>
  <c r="M28" i="21"/>
  <c r="AF40" i="23"/>
  <c r="AF92" i="23"/>
  <c r="N23" i="23"/>
  <c r="N75" i="23"/>
  <c r="Z426" i="16"/>
  <c r="K426" i="21"/>
  <c r="N426" i="21"/>
  <c r="AJ11" i="7"/>
  <c r="AJ11" i="8"/>
  <c r="AL11" i="8"/>
  <c r="AO42" i="8"/>
  <c r="AE42" i="8"/>
  <c r="AG42" i="8"/>
  <c r="AL45" i="7"/>
  <c r="M74" i="21"/>
  <c r="J74" i="21"/>
  <c r="Y108" i="16"/>
  <c r="J108" i="21"/>
  <c r="M108" i="21"/>
  <c r="AL7" i="7"/>
  <c r="N379" i="21"/>
  <c r="K379" i="21"/>
  <c r="AE254" i="17"/>
  <c r="Z254" i="17"/>
  <c r="N193" i="21"/>
  <c r="K193" i="21"/>
  <c r="AF14" i="9"/>
  <c r="AJ14" i="6"/>
  <c r="N14" i="6"/>
  <c r="N14" i="7"/>
  <c r="T14" i="7"/>
  <c r="AP14" i="9"/>
  <c r="AL37" i="7"/>
  <c r="AV5" i="16"/>
  <c r="AU5" i="16"/>
  <c r="N417" i="21"/>
  <c r="K417" i="21"/>
  <c r="AC94" i="23"/>
  <c r="AP42" i="8"/>
  <c r="AF42" i="8"/>
  <c r="AC42" i="23"/>
  <c r="AM41" i="7"/>
  <c r="AJ45" i="7"/>
  <c r="AF45" i="23"/>
  <c r="AF97" i="23"/>
  <c r="AV3" i="16"/>
  <c r="AG24" i="9"/>
  <c r="AE24" i="9"/>
  <c r="AO24" i="9"/>
  <c r="AF268" i="16"/>
  <c r="Z268" i="16"/>
  <c r="N372" i="21"/>
  <c r="K372" i="21"/>
  <c r="AJ44" i="6"/>
  <c r="N44" i="6"/>
  <c r="N44" i="7"/>
  <c r="N44" i="23"/>
  <c r="N96" i="23"/>
  <c r="AO31" i="9"/>
  <c r="AE31" i="9"/>
  <c r="AG31" i="9"/>
  <c r="AF274" i="16"/>
  <c r="Z274" i="16"/>
  <c r="AK3" i="16"/>
  <c r="AK8" i="16"/>
  <c r="AL8" i="16"/>
  <c r="Z455" i="16"/>
  <c r="AF455" i="16"/>
  <c r="Z408" i="16"/>
  <c r="AF408" i="16"/>
  <c r="Z188" i="16"/>
  <c r="AF188" i="16"/>
  <c r="M57" i="21"/>
  <c r="J57" i="21"/>
  <c r="AF373" i="16"/>
  <c r="Z373" i="16"/>
  <c r="U11" i="28"/>
  <c r="R11" i="28"/>
  <c r="AK9" i="8"/>
  <c r="AK9" i="7"/>
  <c r="AK9" i="9"/>
  <c r="Z117" i="16"/>
  <c r="K117" i="21"/>
  <c r="N117" i="21"/>
  <c r="Y46" i="16"/>
  <c r="AE46" i="16"/>
  <c r="N38" i="8"/>
  <c r="T38" i="8"/>
  <c r="AM38" i="8"/>
  <c r="AJ31" i="7"/>
  <c r="AL31" i="7"/>
  <c r="Y57" i="16"/>
  <c r="AE57" i="16"/>
  <c r="N50" i="6"/>
  <c r="N50" i="7"/>
  <c r="T50" i="7"/>
  <c r="AP50" i="8"/>
  <c r="AF50" i="8"/>
  <c r="AC50" i="23"/>
  <c r="AC102" i="23"/>
  <c r="L63" i="6"/>
  <c r="Z475" i="16"/>
  <c r="AF475" i="16"/>
  <c r="AO31" i="8"/>
  <c r="AE31" i="8"/>
  <c r="AG31" i="8"/>
  <c r="AD48" i="17"/>
  <c r="Y48" i="17"/>
  <c r="Z237" i="16"/>
  <c r="K237" i="21"/>
  <c r="N237" i="21"/>
  <c r="Z482" i="16"/>
  <c r="K482" i="21"/>
  <c r="N482" i="21"/>
  <c r="N25" i="6"/>
  <c r="N25" i="7"/>
  <c r="T25" i="7"/>
  <c r="AO25" i="9"/>
  <c r="AE25" i="9"/>
  <c r="AG25" i="9"/>
  <c r="AJ38" i="7"/>
  <c r="AL38" i="7"/>
  <c r="U15" i="28"/>
  <c r="R25" i="28"/>
  <c r="R15" i="28"/>
  <c r="U25" i="28"/>
  <c r="U20" i="28"/>
  <c r="AM42" i="7"/>
  <c r="R20" i="28"/>
  <c r="AJ42" i="6"/>
  <c r="N42" i="6"/>
  <c r="N42" i="7"/>
  <c r="T42" i="7"/>
  <c r="AO42" i="9"/>
  <c r="AE42" i="9"/>
  <c r="AG42" i="9"/>
  <c r="AE125" i="17"/>
  <c r="Z125" i="17"/>
  <c r="M11" i="21"/>
  <c r="J11" i="21"/>
  <c r="Z417" i="16"/>
  <c r="AF417" i="16"/>
  <c r="AJ12" i="21"/>
  <c r="Z472" i="16"/>
  <c r="K472" i="21"/>
  <c r="N472" i="21"/>
  <c r="V12" i="21"/>
  <c r="T53" i="7"/>
  <c r="AJ45" i="6"/>
  <c r="N45" i="6"/>
  <c r="N45" i="7"/>
  <c r="T45" i="7"/>
  <c r="AO45" i="9"/>
  <c r="AE45" i="9"/>
  <c r="AG45" i="9"/>
  <c r="AE16" i="16"/>
  <c r="AD83" i="17"/>
  <c r="Y83" i="17"/>
  <c r="AF76" i="23"/>
  <c r="AF24" i="23"/>
  <c r="N48" i="9"/>
  <c r="T48" i="9"/>
  <c r="AM48" i="9"/>
  <c r="N406" i="21"/>
  <c r="K406" i="21"/>
  <c r="AL15" i="7"/>
  <c r="AF245" i="16"/>
  <c r="AF337" i="16"/>
  <c r="Z337" i="16"/>
  <c r="AL36" i="9"/>
  <c r="AJ36" i="9"/>
  <c r="H7" i="28"/>
  <c r="E5" i="28"/>
  <c r="E7" i="28"/>
  <c r="H5" i="28"/>
  <c r="N87" i="21"/>
  <c r="K87" i="21"/>
  <c r="AF189" i="16"/>
  <c r="AE67" i="16"/>
  <c r="AG30" i="9"/>
  <c r="AE30" i="9"/>
  <c r="AJ30" i="6"/>
  <c r="N30" i="6"/>
  <c r="N30" i="7"/>
  <c r="T30" i="7"/>
  <c r="AO30" i="9"/>
  <c r="AD39" i="17"/>
  <c r="Y39" i="17"/>
  <c r="Y108" i="17"/>
  <c r="AD108" i="17"/>
  <c r="AJ6" i="17"/>
  <c r="Z130" i="16"/>
  <c r="AF130" i="16"/>
  <c r="AJ55" i="6"/>
  <c r="AJ60" i="6"/>
  <c r="AJ15" i="7"/>
  <c r="AF15" i="23"/>
  <c r="AF67" i="23"/>
  <c r="Z245" i="16"/>
  <c r="K245" i="21"/>
  <c r="N245" i="21"/>
  <c r="AD25" i="17"/>
  <c r="Y25" i="17"/>
  <c r="N179" i="21"/>
  <c r="K179" i="21"/>
  <c r="AB86" i="23"/>
  <c r="AB34" i="23"/>
  <c r="AE99" i="16"/>
  <c r="AL39" i="7"/>
  <c r="Z189" i="16"/>
  <c r="K189" i="21"/>
  <c r="N189" i="21"/>
  <c r="Y67" i="16"/>
  <c r="J67" i="21"/>
  <c r="M67" i="21"/>
  <c r="Z15" i="16"/>
  <c r="AF15" i="16"/>
  <c r="N382" i="21"/>
  <c r="K382" i="21"/>
  <c r="Y78" i="16"/>
  <c r="J78" i="21"/>
  <c r="M78" i="21"/>
  <c r="AF348" i="16"/>
  <c r="Z348" i="16"/>
  <c r="AL34" i="8"/>
  <c r="AJ34" i="8"/>
  <c r="AD3" i="17"/>
  <c r="Y3" i="17"/>
  <c r="AJ47" i="6"/>
  <c r="AJ47" i="7"/>
  <c r="AL47" i="7"/>
  <c r="Z11" i="16"/>
  <c r="AF11" i="16"/>
  <c r="AE19" i="16"/>
  <c r="AJ22" i="7"/>
  <c r="AL22" i="7"/>
  <c r="N257" i="21"/>
  <c r="K257" i="21"/>
  <c r="AF302" i="16"/>
  <c r="Z302" i="16"/>
  <c r="N90" i="21"/>
  <c r="K90" i="21"/>
  <c r="M151" i="21"/>
  <c r="J151" i="21"/>
  <c r="AG76" i="23"/>
  <c r="AG24" i="23"/>
  <c r="Y19" i="16"/>
  <c r="J19" i="21"/>
  <c r="M19" i="21"/>
  <c r="AJ37" i="7"/>
  <c r="AF37" i="23"/>
  <c r="AF89" i="23"/>
  <c r="AF355" i="16"/>
  <c r="Z355" i="16"/>
  <c r="AD27" i="17"/>
  <c r="Y27" i="17"/>
  <c r="Y63" i="16"/>
  <c r="J63" i="21"/>
  <c r="M63" i="21"/>
  <c r="AF227" i="16"/>
  <c r="AM27" i="7"/>
  <c r="N29" i="8"/>
  <c r="T29" i="8"/>
  <c r="AM29" i="8"/>
  <c r="AF236" i="16"/>
  <c r="AM29" i="7"/>
  <c r="AL28" i="7"/>
  <c r="N279" i="21"/>
  <c r="K279" i="21"/>
  <c r="Y20" i="16"/>
  <c r="AE20" i="16"/>
  <c r="AL13" i="7"/>
  <c r="AF233" i="16"/>
  <c r="Z227" i="16"/>
  <c r="K227" i="21"/>
  <c r="N227" i="21"/>
  <c r="AP55" i="9"/>
  <c r="AP53" i="9"/>
  <c r="AP27" i="9"/>
  <c r="AF27" i="9"/>
  <c r="Z236" i="16"/>
  <c r="K236" i="21"/>
  <c r="N236" i="21"/>
  <c r="N51" i="23"/>
  <c r="N103" i="23"/>
  <c r="AJ28" i="6"/>
  <c r="AJ28" i="7"/>
  <c r="AF28" i="23"/>
  <c r="AF80" i="23"/>
  <c r="M53" i="21"/>
  <c r="J53" i="21"/>
  <c r="T26" i="7"/>
  <c r="AO26" i="8"/>
  <c r="AE26" i="8"/>
  <c r="AG26" i="8"/>
  <c r="AD11" i="17"/>
  <c r="Y11" i="17"/>
  <c r="AF3" i="16"/>
  <c r="AF332" i="16"/>
  <c r="Z332" i="16"/>
  <c r="AD33" i="17"/>
  <c r="Y33" i="17"/>
  <c r="Z406" i="16"/>
  <c r="AF406" i="16"/>
  <c r="T41" i="7"/>
  <c r="AP41" i="9"/>
  <c r="AF41" i="9"/>
  <c r="AE53" i="9"/>
  <c r="AO5" i="9"/>
  <c r="AE5" i="9"/>
  <c r="AG5" i="9"/>
  <c r="Y101" i="16"/>
  <c r="J101" i="21"/>
  <c r="M101" i="21"/>
  <c r="Y16" i="16"/>
  <c r="J16" i="21"/>
  <c r="M16" i="21"/>
  <c r="AL24" i="7"/>
  <c r="M34" i="21"/>
  <c r="J34" i="21"/>
  <c r="AF403" i="16"/>
  <c r="AE158" i="17"/>
  <c r="Z158" i="17"/>
  <c r="AE65" i="17"/>
  <c r="Z65" i="17"/>
  <c r="AJ7" i="7"/>
  <c r="AJ7" i="9"/>
  <c r="AL7" i="9"/>
  <c r="AL49" i="7"/>
  <c r="AE150" i="16"/>
  <c r="I6" i="28"/>
  <c r="I5" i="28"/>
  <c r="F6" i="28"/>
  <c r="F5" i="28"/>
  <c r="AK37" i="9"/>
  <c r="AK37" i="8"/>
  <c r="AE190" i="17"/>
  <c r="Z190" i="17"/>
  <c r="AF297" i="16"/>
  <c r="Z297" i="16"/>
  <c r="AE179" i="17"/>
  <c r="Z179" i="17"/>
  <c r="M75" i="21"/>
  <c r="J75" i="21"/>
  <c r="AJ40" i="7"/>
  <c r="AJ40" i="8"/>
  <c r="AL40" i="8"/>
  <c r="R9" i="28"/>
  <c r="U9" i="28"/>
  <c r="AE217" i="17"/>
  <c r="Z217" i="17"/>
  <c r="N293" i="21"/>
  <c r="K293" i="21"/>
  <c r="AF31" i="9"/>
  <c r="AJ31" i="6"/>
  <c r="N31" i="6"/>
  <c r="N31" i="7"/>
  <c r="T31" i="7"/>
  <c r="AP31" i="9"/>
  <c r="AD57" i="17"/>
  <c r="Y57" i="17"/>
  <c r="AM24" i="8"/>
  <c r="T24" i="8"/>
  <c r="N24" i="8"/>
  <c r="AJ21" i="6"/>
  <c r="N21" i="6"/>
  <c r="N21" i="7"/>
  <c r="T21" i="7"/>
  <c r="AM21" i="7"/>
  <c r="Z130" i="17"/>
  <c r="AE130" i="17"/>
  <c r="Y99" i="16"/>
  <c r="J99" i="21"/>
  <c r="M99" i="21"/>
  <c r="AF267" i="16"/>
  <c r="Z267" i="16"/>
  <c r="AU13" i="16"/>
  <c r="AU11" i="16"/>
  <c r="N38" i="6"/>
  <c r="N38" i="7"/>
  <c r="T38" i="7"/>
  <c r="AP38" i="8"/>
  <c r="AF38" i="8"/>
  <c r="AC38" i="23"/>
  <c r="AC90" i="23"/>
  <c r="AJ39" i="6"/>
  <c r="AJ39" i="7"/>
  <c r="AF39" i="23"/>
  <c r="AF91" i="23"/>
  <c r="AD47" i="17"/>
  <c r="Y47" i="17"/>
  <c r="AE94" i="17"/>
  <c r="Z94" i="17"/>
  <c r="AJ13" i="6"/>
  <c r="AJ13" i="7"/>
  <c r="AJ13" i="9"/>
  <c r="AL13" i="9"/>
  <c r="AL50" i="7"/>
  <c r="AE164" i="17"/>
  <c r="Z164" i="17"/>
  <c r="AE22" i="16"/>
  <c r="AF436" i="16"/>
  <c r="AF422" i="16"/>
  <c r="Z3" i="16"/>
  <c r="K3" i="21"/>
  <c r="N3" i="21"/>
  <c r="Y156" i="16"/>
  <c r="AE156" i="16"/>
  <c r="E6" i="28"/>
  <c r="E8" i="28"/>
  <c r="H6" i="28"/>
  <c r="H8" i="28"/>
  <c r="AF378" i="16"/>
  <c r="Z378" i="16"/>
  <c r="Y34" i="16"/>
  <c r="AE34" i="16"/>
  <c r="Y151" i="16"/>
  <c r="AE151" i="16"/>
  <c r="Y11" i="16"/>
  <c r="AE11" i="16"/>
  <c r="AP5" i="9"/>
  <c r="AF5" i="9"/>
  <c r="Z233" i="16"/>
  <c r="K233" i="21"/>
  <c r="N233" i="21"/>
  <c r="Z90" i="16"/>
  <c r="AF90" i="16"/>
  <c r="N29" i="23"/>
  <c r="N81" i="23"/>
  <c r="N292" i="21"/>
  <c r="K292" i="21"/>
  <c r="AF289" i="16"/>
  <c r="AL48" i="7"/>
  <c r="AO32" i="9"/>
  <c r="AE32" i="9"/>
  <c r="AG32" i="9"/>
  <c r="AJ24" i="7"/>
  <c r="AJ24" i="8"/>
  <c r="AL24" i="8"/>
  <c r="N186" i="21"/>
  <c r="K186" i="21"/>
  <c r="U14" i="28"/>
  <c r="AM32" i="7"/>
  <c r="R14" i="28"/>
  <c r="Z403" i="16"/>
  <c r="K403" i="21"/>
  <c r="N403" i="21"/>
  <c r="N320" i="21"/>
  <c r="K320" i="21"/>
  <c r="AM46" i="8"/>
  <c r="T46" i="8"/>
  <c r="AJ46" i="6"/>
  <c r="N46" i="6"/>
  <c r="N46" i="7"/>
  <c r="N46" i="8"/>
  <c r="AK24" i="9"/>
  <c r="AK24" i="6"/>
  <c r="AK24" i="7"/>
  <c r="AK24" i="8"/>
  <c r="AK19" i="9"/>
  <c r="AK19" i="8"/>
  <c r="Y29" i="16"/>
  <c r="AE29" i="16"/>
  <c r="AJ49" i="6"/>
  <c r="AJ49" i="7"/>
  <c r="AJ49" i="9"/>
  <c r="AL49" i="9"/>
  <c r="Y150" i="16"/>
  <c r="J150" i="21"/>
  <c r="M150" i="21"/>
  <c r="AE256" i="17"/>
  <c r="Z256" i="17"/>
  <c r="AF481" i="16"/>
  <c r="AJ37" i="6"/>
  <c r="AK37" i="6"/>
  <c r="AK37" i="7"/>
  <c r="AG37" i="23"/>
  <c r="AG89" i="23"/>
  <c r="AE225" i="17"/>
  <c r="Z225" i="17"/>
  <c r="N319" i="21"/>
  <c r="K319" i="21"/>
  <c r="AJ27" i="6"/>
  <c r="N27" i="6"/>
  <c r="N27" i="7"/>
  <c r="T27" i="7"/>
  <c r="AO27" i="9"/>
  <c r="AE27" i="9"/>
  <c r="AG27" i="9"/>
  <c r="K255" i="21"/>
  <c r="N255" i="21"/>
  <c r="Z481" i="16"/>
  <c r="K481" i="21"/>
  <c r="N481" i="21"/>
  <c r="AK50" i="8"/>
  <c r="AK50" i="9"/>
  <c r="AU9" i="16"/>
  <c r="AV9" i="16"/>
  <c r="AF450" i="16"/>
  <c r="AF390" i="16"/>
  <c r="N327" i="21"/>
  <c r="K327" i="21"/>
  <c r="AC92" i="23"/>
  <c r="AC40" i="23"/>
  <c r="AJ40" i="6"/>
  <c r="N40" i="6"/>
  <c r="N40" i="7"/>
  <c r="T40" i="7"/>
  <c r="AP40" i="8"/>
  <c r="AF40" i="8"/>
  <c r="M159" i="21"/>
  <c r="J159" i="21"/>
  <c r="AD79" i="17"/>
  <c r="Y79" i="17"/>
  <c r="AJ26" i="6"/>
  <c r="N26" i="6"/>
  <c r="N26" i="7"/>
  <c r="N26" i="23"/>
  <c r="N78" i="23"/>
  <c r="AE211" i="17"/>
  <c r="Z211" i="17"/>
  <c r="N324" i="21"/>
  <c r="K324" i="21"/>
  <c r="AF182" i="16"/>
  <c r="AE172" i="17"/>
  <c r="Z172" i="17"/>
  <c r="AF221" i="16"/>
  <c r="Z221" i="16"/>
  <c r="AK38" i="9"/>
  <c r="AK38" i="8"/>
  <c r="AG62" i="23"/>
  <c r="AG10" i="23"/>
  <c r="AJ50" i="7"/>
  <c r="AF50" i="23"/>
  <c r="AF102" i="23"/>
  <c r="AE220" i="17"/>
  <c r="Z220" i="17"/>
  <c r="AE213" i="16"/>
  <c r="Y213" i="16"/>
  <c r="AF170" i="16"/>
  <c r="T5" i="7"/>
  <c r="AM5" i="7"/>
  <c r="Y22" i="16"/>
  <c r="J22" i="21"/>
  <c r="M22" i="21"/>
  <c r="N29" i="6"/>
  <c r="N29" i="7"/>
  <c r="T29" i="7"/>
  <c r="AP29" i="8"/>
  <c r="AF29" i="8"/>
  <c r="AC29" i="23"/>
  <c r="AC81" i="23"/>
  <c r="Z436" i="16"/>
  <c r="K436" i="21"/>
  <c r="N436" i="21"/>
  <c r="AE248" i="17"/>
  <c r="Z248" i="17"/>
  <c r="AJ23" i="6"/>
  <c r="N23" i="6"/>
  <c r="N23" i="7"/>
  <c r="T23" i="7"/>
  <c r="AM23" i="7"/>
  <c r="Z278" i="16"/>
  <c r="AF278" i="16"/>
  <c r="Z422" i="16"/>
  <c r="K422" i="21"/>
  <c r="N422" i="21"/>
  <c r="Z390" i="16"/>
  <c r="K390" i="21"/>
  <c r="N390" i="21"/>
  <c r="Y82" i="16"/>
  <c r="AE82" i="16"/>
  <c r="F11" i="28"/>
  <c r="I11" i="28"/>
  <c r="Z431" i="16"/>
  <c r="K431" i="21"/>
  <c r="N431" i="21"/>
  <c r="AD40" i="17"/>
  <c r="Y40" i="17"/>
  <c r="Z289" i="16"/>
  <c r="K253" i="21"/>
  <c r="N253" i="21"/>
  <c r="AJ48" i="7"/>
  <c r="AF48" i="23"/>
  <c r="AF100" i="23"/>
  <c r="Y74" i="16"/>
  <c r="AE74" i="16"/>
  <c r="N332" i="21"/>
  <c r="K332" i="21"/>
  <c r="Z186" i="16"/>
  <c r="AF186" i="16"/>
  <c r="AE142" i="17"/>
  <c r="AJ22" i="6"/>
  <c r="N22" i="6"/>
  <c r="N22" i="7"/>
  <c r="T22" i="7"/>
  <c r="AM22" i="7"/>
  <c r="Z142" i="17"/>
  <c r="AF172" i="16"/>
  <c r="AJ19" i="6"/>
  <c r="AK19" i="6"/>
  <c r="AK19" i="7"/>
  <c r="AG19" i="23"/>
  <c r="AG71" i="23"/>
  <c r="AL25" i="7"/>
  <c r="AE77" i="16"/>
  <c r="N307" i="21"/>
  <c r="K307" i="21"/>
  <c r="AD114" i="17"/>
  <c r="Y114" i="17"/>
  <c r="U33" i="28"/>
  <c r="AJ51" i="6"/>
  <c r="N51" i="6"/>
  <c r="N51" i="7"/>
  <c r="T51" i="7"/>
  <c r="AM51" i="7"/>
  <c r="R33" i="28"/>
  <c r="N53" i="9"/>
  <c r="N34" i="6"/>
  <c r="N34" i="7"/>
  <c r="T34" i="7"/>
  <c r="AO34" i="8"/>
  <c r="AE34" i="8"/>
  <c r="AG34" i="8"/>
  <c r="AF322" i="16"/>
  <c r="Z322" i="16"/>
  <c r="AE102" i="16"/>
  <c r="AJ50" i="6"/>
  <c r="AK50" i="6"/>
  <c r="AK50" i="7"/>
  <c r="AG50" i="23"/>
  <c r="AG102" i="23"/>
  <c r="Z450" i="16"/>
  <c r="K450" i="21"/>
  <c r="N450" i="21"/>
  <c r="N330" i="21"/>
  <c r="K330" i="21"/>
  <c r="N392" i="21"/>
  <c r="K392" i="21"/>
  <c r="Z167" i="17"/>
  <c r="AE167" i="17"/>
  <c r="AL34" i="7"/>
  <c r="E15" i="28"/>
  <c r="H15" i="28"/>
  <c r="AE93" i="17"/>
  <c r="Z93" i="17"/>
  <c r="AF343" i="16"/>
  <c r="Z343" i="16"/>
  <c r="AK10" i="9"/>
  <c r="AK7" i="6"/>
  <c r="AK55" i="6"/>
  <c r="AK60" i="6"/>
  <c r="AK10" i="7"/>
  <c r="AK10" i="8"/>
  <c r="N351" i="21"/>
  <c r="K351" i="21"/>
  <c r="Z182" i="16"/>
  <c r="K182" i="21"/>
  <c r="N182" i="21"/>
  <c r="Z175" i="16"/>
  <c r="AF175" i="16"/>
  <c r="AG10" i="21"/>
  <c r="K301" i="21"/>
  <c r="S10" i="21"/>
  <c r="Y10" i="21"/>
  <c r="Z176" i="17"/>
  <c r="AE176" i="17"/>
  <c r="AE252" i="17"/>
  <c r="Z252" i="17"/>
  <c r="AJ38" i="6"/>
  <c r="AK38" i="6"/>
  <c r="AK38" i="7"/>
  <c r="AG38" i="23"/>
  <c r="AG90" i="23"/>
  <c r="Y30" i="17"/>
  <c r="AD30" i="17"/>
  <c r="AP24" i="8"/>
  <c r="AF24" i="8"/>
  <c r="AC24" i="23"/>
  <c r="AC76" i="23"/>
  <c r="AK32" i="8"/>
  <c r="AK32" i="9"/>
  <c r="Z170" i="16"/>
  <c r="K170" i="21"/>
  <c r="N170" i="21"/>
  <c r="AL29" i="7"/>
  <c r="AF238" i="16"/>
  <c r="AE10" i="16"/>
  <c r="AF409" i="16"/>
  <c r="T53" i="9"/>
  <c r="N5" i="7"/>
  <c r="N5" i="9"/>
  <c r="T5" i="9"/>
  <c r="AM5" i="9"/>
  <c r="AF224" i="16"/>
  <c r="AU3" i="16"/>
  <c r="AU8" i="16"/>
  <c r="AV8" i="16"/>
  <c r="I10" i="28"/>
  <c r="F10" i="28"/>
  <c r="AJ35" i="6"/>
  <c r="N35" i="6"/>
  <c r="N35" i="7"/>
  <c r="T35" i="7"/>
  <c r="AP35" i="9"/>
  <c r="AF35" i="9"/>
  <c r="AJ24" i="6"/>
  <c r="N24" i="6"/>
  <c r="N24" i="7"/>
  <c r="T24" i="7"/>
  <c r="AM24" i="7"/>
  <c r="Z290" i="16"/>
  <c r="AF290" i="16"/>
  <c r="Y24" i="17"/>
  <c r="AD24" i="17"/>
  <c r="Y153" i="16"/>
  <c r="AE153" i="16"/>
  <c r="Z172" i="16"/>
  <c r="K172" i="21"/>
  <c r="N172" i="21"/>
  <c r="Y75" i="16"/>
  <c r="AE75" i="16"/>
  <c r="AJ25" i="6"/>
  <c r="AJ25" i="7"/>
  <c r="AJ25" i="8"/>
  <c r="AL25" i="8"/>
  <c r="AF345" i="16"/>
  <c r="Z345" i="16"/>
  <c r="AF314" i="16"/>
  <c r="Z314" i="16"/>
  <c r="Y77" i="16"/>
  <c r="J77" i="21"/>
  <c r="M77" i="21"/>
  <c r="Y102" i="16"/>
  <c r="J102" i="21"/>
  <c r="M102" i="21"/>
  <c r="Z219" i="16"/>
  <c r="AF219" i="16"/>
  <c r="Y169" i="16"/>
  <c r="AE169" i="16"/>
  <c r="Z222" i="16"/>
  <c r="AF222" i="16"/>
  <c r="AE191" i="17"/>
  <c r="Z191" i="17"/>
  <c r="AJ36" i="6"/>
  <c r="AJ36" i="7"/>
  <c r="AL36" i="7"/>
  <c r="Y47" i="16"/>
  <c r="AE47" i="16"/>
  <c r="Z179" i="16"/>
  <c r="AF179" i="16"/>
  <c r="U26" i="28"/>
  <c r="R26" i="28"/>
  <c r="U16" i="28"/>
  <c r="R21" i="28"/>
  <c r="U21" i="28"/>
  <c r="AJ33" i="6"/>
  <c r="N33" i="6"/>
  <c r="N33" i="7"/>
  <c r="T33" i="7"/>
  <c r="AM33" i="7"/>
  <c r="R16" i="28"/>
  <c r="Z242" i="16"/>
  <c r="AF242" i="16"/>
  <c r="AJ34" i="6"/>
  <c r="AJ34" i="7"/>
  <c r="AF34" i="23"/>
  <c r="AF86" i="23"/>
  <c r="N215" i="21"/>
  <c r="K215" i="21"/>
  <c r="Y10" i="17"/>
  <c r="AD10" i="17"/>
  <c r="Z458" i="16"/>
  <c r="AF458" i="16"/>
  <c r="AJ12" i="6"/>
  <c r="N12" i="6"/>
  <c r="N12" i="7"/>
  <c r="T12" i="7"/>
  <c r="AM12" i="7"/>
  <c r="Z87" i="16"/>
  <c r="AF87" i="16"/>
  <c r="AJ11" i="6"/>
  <c r="N11" i="6"/>
  <c r="N11" i="7"/>
  <c r="T11" i="7"/>
  <c r="AM11" i="7"/>
  <c r="Z193" i="16"/>
  <c r="AF193" i="16"/>
  <c r="Z392" i="16"/>
  <c r="AF392" i="16"/>
  <c r="Y159" i="16"/>
  <c r="AE159" i="16"/>
  <c r="Y158" i="16"/>
  <c r="AE158" i="16"/>
  <c r="E12" i="28"/>
  <c r="H12" i="28"/>
  <c r="E9" i="28"/>
  <c r="N10" i="7"/>
  <c r="T10" i="7"/>
  <c r="AM10" i="7"/>
  <c r="H9" i="28"/>
  <c r="Y53" i="16"/>
  <c r="AE53" i="16"/>
  <c r="N9" i="7"/>
  <c r="T9" i="7"/>
  <c r="AM9" i="7"/>
  <c r="Y72" i="16"/>
  <c r="AE72" i="16"/>
  <c r="R31" i="28"/>
  <c r="U31" i="28"/>
  <c r="AK32" i="6"/>
  <c r="AK32" i="7"/>
  <c r="AG32" i="23"/>
  <c r="AG84" i="23"/>
  <c r="Z224" i="16"/>
  <c r="K349" i="21"/>
  <c r="N349" i="21"/>
  <c r="N7" i="7"/>
  <c r="T7" i="7"/>
  <c r="AM7" i="7"/>
  <c r="Z2" i="16"/>
  <c r="AF2" i="16"/>
  <c r="AB7" i="21"/>
  <c r="AJ29" i="6"/>
  <c r="AJ29" i="7"/>
  <c r="AF29" i="23"/>
  <c r="AF81" i="23"/>
  <c r="AJ20" i="6"/>
  <c r="N20" i="6"/>
  <c r="N20" i="7"/>
  <c r="T20" i="7"/>
  <c r="AM20" i="7"/>
  <c r="Z238" i="16"/>
  <c r="K238" i="21"/>
  <c r="N238" i="21"/>
  <c r="N63" i="6"/>
  <c r="AJ7" i="6"/>
  <c r="N7" i="6"/>
  <c r="N55" i="6"/>
  <c r="N60" i="6"/>
  <c r="N6" i="7"/>
  <c r="T6" i="7"/>
  <c r="AM6" i="7"/>
  <c r="Y10" i="16"/>
  <c r="J10" i="21"/>
  <c r="M10" i="21"/>
  <c r="Z461" i="16"/>
  <c r="AF461" i="16"/>
  <c r="Z409" i="16"/>
  <c r="K409" i="21"/>
  <c r="N409" i="21"/>
  <c r="AJ32" i="6"/>
  <c r="N32" i="6"/>
  <c r="N32" i="7"/>
  <c r="T32" i="7"/>
  <c r="AP32" i="8"/>
  <c r="AF32" i="8"/>
  <c r="AC32" i="23"/>
  <c r="AC84" i="23"/>
  <c r="AJ41" i="6"/>
  <c r="N41" i="6"/>
  <c r="N41" i="7"/>
  <c r="N41" i="8"/>
  <c r="T41" i="8"/>
  <c r="AM41" i="8"/>
  <c r="AJ17" i="6"/>
  <c r="N17" i="6"/>
  <c r="N17" i="7"/>
  <c r="L66" i="6"/>
  <c r="L64" i="6"/>
  <c r="L70" i="6"/>
  <c r="N64" i="6"/>
  <c r="AJ48" i="6"/>
  <c r="N48" i="6"/>
  <c r="N48" i="7"/>
  <c r="T48" i="7"/>
  <c r="AM48" i="7"/>
  <c r="Z387" i="16"/>
  <c r="AF387" i="16"/>
  <c r="AB11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8B95CD53-C9E9-47A8-85E1-A29D46488DD6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31BC7C-0698-4647-98D7-A48B0AFA96F8}" name="Conexão" type="7" refreshedVersion="8" background="1" saveData="1"/>
  <connection id="2" xr16:uid="{A4B7D151-BAC7-4DFA-9422-E1F671455AB3}" name="Conexão1" type="7" refreshedVersion="8" background="1" saveData="1"/>
  <connection id="3" xr16:uid="{5951C869-7C19-4347-A224-A79E9E341773}" name="Conexão2" type="7" refreshedVersion="8" background="1" saveData="1"/>
</connections>
</file>

<file path=xl/sharedStrings.xml><?xml version="1.0" encoding="utf-8"?>
<sst xmlns="http://schemas.openxmlformats.org/spreadsheetml/2006/main" count="23562" uniqueCount="1076">
  <si>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</si>
  <si>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</si>
  <si>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</si>
  <si>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</si>
  <si>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</si>
  <si>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</si>
  <si>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</si>
  <si>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</si>
  <si>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</si>
  <si>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</si>
  <si>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</si>
  <si>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</si>
  <si>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</si>
  <si>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</si>
  <si>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</si>
  <si>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</si>
  <si>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</si>
  <si>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</si>
  <si>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</si>
  <si>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</si>
  <si>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</si>
  <si>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</si>
  <si>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</si>
  <si>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</si>
  <si>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</si>
  <si>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</si>
  <si>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</si>
  <si>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</si>
  <si>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</si>
  <si>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</si>
  <si>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</si>
  <si>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</si>
  <si>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</si>
  <si>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</si>
  <si>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</si>
  <si>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Azul</t>
  </si>
  <si>
    <t>Ponta</t>
  </si>
  <si>
    <t>Fora ponta</t>
  </si>
  <si>
    <t>Verde</t>
  </si>
  <si>
    <t>Comercial</t>
  </si>
  <si>
    <t>B2</t>
  </si>
  <si>
    <t>Rural</t>
  </si>
  <si>
    <t>Poder público</t>
  </si>
  <si>
    <t>B4</t>
  </si>
  <si>
    <t>Iluminação pública</t>
  </si>
  <si>
    <t>Iluminação pública – B4b</t>
  </si>
  <si>
    <t>Serviço público</t>
  </si>
  <si>
    <t>Água, esgoto e saneamento</t>
  </si>
  <si>
    <t>Refaturamento - Regular</t>
  </si>
  <si>
    <t>Consumo próprio</t>
  </si>
  <si>
    <t>Aquicultura</t>
  </si>
  <si>
    <t>IRRIG./AQUIC.</t>
  </si>
  <si>
    <t>IRRIG./AQUIC. PR</t>
  </si>
  <si>
    <t>PROJETADO</t>
  </si>
  <si>
    <t>Fonte incentivada</t>
  </si>
  <si>
    <t>LIVRE</t>
  </si>
  <si>
    <t>Geração</t>
  </si>
  <si>
    <t>PCH CAPIVARI</t>
  </si>
  <si>
    <t>GERAÇÃO</t>
  </si>
  <si>
    <t>Rio do Poncho II</t>
  </si>
  <si>
    <t>Rio do Poncho I</t>
  </si>
  <si>
    <t>CGH VOLTA GRANDE</t>
  </si>
  <si>
    <t>SANTA MARIA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</si>
  <si>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</si>
  <si>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</si>
  <si>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</si>
  <si>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</si>
  <si>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</si>
  <si>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</si>
  <si>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</si>
  <si>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</si>
  <si>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</si>
  <si>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</si>
  <si>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</si>
  <si>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</si>
  <si>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</si>
  <si>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</si>
  <si>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</si>
  <si>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</si>
  <si>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</si>
  <si>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</si>
  <si>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</si>
  <si>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Energia convencional</t>
  </si>
  <si>
    <t>E</t>
  </si>
  <si>
    <t>kW</t>
  </si>
  <si>
    <t>DP</t>
  </si>
  <si>
    <t>DFP</t>
  </si>
  <si>
    <t>APE</t>
  </si>
  <si>
    <t>B</t>
  </si>
  <si>
    <t>TIPO 01</t>
  </si>
  <si>
    <t>TIPO 02</t>
  </si>
  <si>
    <t>EINT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</si>
  <si>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</si>
  <si>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</si>
  <si>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</si>
  <si>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</si>
  <si>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</si>
  <si>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B4a</t>
  </si>
  <si>
    <t>CHAVE TUSD</t>
  </si>
  <si>
    <t>44440A4AzulNão se aplicaNão se aplicaNão se aplicaNão se aplicaFora ponta</t>
  </si>
  <si>
    <t>44470A4AzulNão se aplicaNão se aplicaNão se aplicaNão se aplicaFora ponta</t>
  </si>
  <si>
    <t>44501A4AzulNão se aplicaNão se aplicaNão se aplicaNão se aplicaFora ponta</t>
  </si>
  <si>
    <t>44531A4AzulNão se aplicaNão se aplicaNão se aplicaNão se aplicaFora ponta</t>
  </si>
  <si>
    <t>44562A4AzulNão se aplicaNão se aplicaNão se aplicaNão se aplicaFora ponta</t>
  </si>
  <si>
    <t>44593A4AzulNão se aplicaNão se aplicaNão se aplicaNão se aplicaFora ponta</t>
  </si>
  <si>
    <t>44621A4AzulNão se aplicaNão se aplicaNão se aplicaNão se aplicaFora ponta</t>
  </si>
  <si>
    <t>44652A4AzulNão se aplicaNão se aplicaNão se aplicaNão se aplicaFora ponta</t>
  </si>
  <si>
    <t>44682A4AzulNão se aplicaNão se aplicaNão se aplicaNão se aplicaFora ponta</t>
  </si>
  <si>
    <t>44713A4AzulNão se aplicaNão se aplicaNão se aplicaNão se aplicaFora ponta</t>
  </si>
  <si>
    <t>44743A4AzulNão se aplicaNão se aplicaNão se aplicaNão se aplicaFora ponta</t>
  </si>
  <si>
    <t>44774A4AzulNão se aplicaNão se aplicaNão se aplicaNão se aplicaFora ponta</t>
  </si>
  <si>
    <t>44440A4AzulNão se aplicaNão se aplicaNão se aplicaNão se aplicaPonta</t>
  </si>
  <si>
    <t>44470A4AzulNão se aplicaNão se aplicaNão se aplicaNão se aplicaPonta</t>
  </si>
  <si>
    <t>44501A4AzulNão se aplicaNão se aplicaNão se aplicaNão se aplicaPonta</t>
  </si>
  <si>
    <t>44531A4AzulNão se aplicaNão se aplicaNão se aplicaNão se aplicaPonta</t>
  </si>
  <si>
    <t>44562A4AzulNão se aplicaNão se aplicaNão se aplicaNão se aplicaPonta</t>
  </si>
  <si>
    <t>44593A4AzulNão se aplicaNão se aplicaNão se aplicaNão se aplicaPonta</t>
  </si>
  <si>
    <t>44621A4AzulNão se aplicaNão se aplicaNão se aplicaNão se aplicaPonta</t>
  </si>
  <si>
    <t>44652A4AzulNão se aplicaNão se aplicaNão se aplicaNão se aplicaPonta</t>
  </si>
  <si>
    <t>44682A4AzulNão se aplicaNão se aplicaNão se aplicaNão se aplicaPonta</t>
  </si>
  <si>
    <t>44713A4AzulNão se aplicaNão se aplicaNão se aplicaNão se aplicaPonta</t>
  </si>
  <si>
    <t>44743A4AzulNão se aplicaNão se aplicaNão se aplicaNão se aplicaPonta</t>
  </si>
  <si>
    <t>44774A4AzulNão se aplicaNão se aplicaNão se aplicaNão se aplicaPonta</t>
  </si>
  <si>
    <t>44440A4GeraçãoNão se aplicaNão se aplicaNão se aplicaNão se aplicaNão se aplica</t>
  </si>
  <si>
    <t>44470A4GeraçãoNão se aplicaNão se aplicaNão se aplicaNão se aplicaNão se aplica</t>
  </si>
  <si>
    <t>44501A4GeraçãoNão se aplicaNão se aplicaNão se aplicaNão se aplicaNão se aplica</t>
  </si>
  <si>
    <t>44531A4GeraçãoNão se aplicaNão se aplicaNão se aplicaNão se aplicaNão se aplica</t>
  </si>
  <si>
    <t>44562A4GeraçãoNão se aplicaNão se aplicaNão se aplicaNão se aplicaNão se aplica</t>
  </si>
  <si>
    <t>44593A4GeraçãoNão se aplicaNão se aplicaNão se aplicaNão se aplicaNão se aplica</t>
  </si>
  <si>
    <t>44621A4GeraçãoNão se aplicaNão se aplicaNão se aplicaNão se aplicaNão se aplica</t>
  </si>
  <si>
    <t>44652A4GeraçãoNão se aplicaNão se aplicaNão se aplicaNão se aplicaNão se aplica</t>
  </si>
  <si>
    <t>44682A4GeraçãoNão se aplicaNão se aplicaNão se aplicaNão se aplicaNão se aplica</t>
  </si>
  <si>
    <t>44713A4GeraçãoNão se aplicaNão se aplicaNão se aplicaNão se aplicaNão se aplica</t>
  </si>
  <si>
    <t>44743A4GeraçãoNão se aplicaNão se aplicaNão se aplicaNão se aplicaNão se aplica</t>
  </si>
  <si>
    <t>44774A4GeraçãoNão se aplicaNão se aplicaNão se aplicaNão se aplicaNão se aplica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</si>
  <si>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</si>
  <si>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</si>
  <si>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</si>
  <si>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</si>
  <si>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</si>
  <si>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</si>
  <si>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</si>
  <si>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</si>
  <si>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</si>
  <si>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</si>
  <si>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</si>
  <si>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</si>
  <si>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</si>
  <si>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</si>
  <si>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</si>
  <si>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</si>
  <si>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</si>
  <si>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</si>
  <si>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</si>
  <si>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</si>
  <si>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</si>
  <si>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</si>
  <si>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</si>
  <si>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</si>
  <si>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</si>
  <si>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</si>
  <si>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</si>
  <si>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</si>
  <si>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</si>
  <si>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</si>
  <si>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</si>
  <si>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</si>
  <si>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</si>
  <si>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</si>
  <si>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</si>
  <si>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</si>
  <si>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</si>
  <si>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</si>
  <si>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</si>
  <si>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</si>
  <si>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</si>
  <si>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</si>
  <si>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</si>
  <si>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</si>
  <si>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</si>
  <si>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</si>
  <si>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</si>
  <si>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</si>
  <si>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</si>
  <si>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</si>
  <si>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</si>
  <si>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</si>
  <si>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</si>
  <si>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</si>
  <si>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</si>
  <si>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</si>
  <si>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</si>
  <si>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</si>
  <si>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</si>
  <si>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</si>
  <si>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</si>
  <si>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</si>
  <si>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</si>
  <si>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</si>
  <si>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</si>
  <si>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</si>
  <si>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</si>
  <si>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</si>
  <si>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</si>
  <si>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</si>
  <si>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</si>
  <si>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</si>
  <si>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</si>
  <si>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</si>
  <si>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</si>
  <si>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</si>
  <si>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</si>
  <si>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</si>
  <si>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</si>
  <si>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</si>
  <si>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</si>
  <si>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</si>
  <si>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</si>
  <si>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</si>
  <si>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</si>
  <si>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</si>
  <si>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</si>
  <si>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</si>
  <si>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</si>
  <si>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</si>
  <si>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</si>
  <si>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</si>
  <si>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</si>
  <si>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</si>
  <si>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</si>
  <si>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</si>
  <si>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</si>
  <si>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</si>
  <si>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</si>
  <si>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</si>
  <si>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</si>
  <si>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</si>
  <si>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</si>
  <si>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</si>
  <si>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</si>
  <si>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</si>
  <si>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</si>
  <si>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</si>
  <si>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</si>
  <si>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</si>
  <si>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</si>
  <si>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</si>
  <si>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</si>
  <si>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</si>
  <si>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</si>
  <si>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</si>
  <si>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</si>
  <si>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</si>
  <si>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</si>
  <si>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</si>
  <si>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B4bNão se aplicaNão se aplicaNão se aplica</t>
  </si>
  <si>
    <t>44470B4ConvencionalIluminação públicaIluminação pública – B4bNão se aplicaNão se aplicaNão se aplica</t>
  </si>
  <si>
    <t>44501B4ConvencionalIluminação públicaIluminação pública – B4bNão se aplicaNão se aplicaNão se aplica</t>
  </si>
  <si>
    <t>44531B4ConvencionalIluminação públicaIluminação pública – B4bNão se aplicaNão se aplicaNão se aplica</t>
  </si>
  <si>
    <t>44562B4ConvencionalIluminação públicaIluminação pública – B4bNão se aplicaNão se aplicaNão se aplica</t>
  </si>
  <si>
    <t>44593B4ConvencionalIluminação públicaIluminação pública – B4bNão se aplicaNão se aplicaNão se aplica</t>
  </si>
  <si>
    <t>44621B4ConvencionalIluminação públicaIluminação pública – B4bNão se aplicaNão se aplicaNão se aplica</t>
  </si>
  <si>
    <t>44652B4ConvencionalIluminação públicaIluminação pública – B4bNão se aplicaNão se aplicaNão se aplica</t>
  </si>
  <si>
    <t>44682B4ConvencionalIluminação públicaIluminação pública – B4bNão se aplicaNão se aplicaNão se aplica</t>
  </si>
  <si>
    <t>44713B4ConvencionalIluminação públicaIluminação pública – B4bNão se aplicaNão se aplicaNão se aplica</t>
  </si>
  <si>
    <t>44743B4ConvencionalIluminação públicaIluminação pública – B4bNão se aplicaNão se aplicaNão se aplica</t>
  </si>
  <si>
    <t>44774B4ConvencionalIluminação públicaIluminação pública – B4bNão se aplicaNão se aplicaNão se aplica</t>
  </si>
  <si>
    <t>CHAVE TE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</si>
  <si>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</si>
  <si>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</si>
  <si>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</si>
  <si>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</si>
  <si>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</si>
  <si>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</si>
  <si>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</si>
  <si>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</si>
  <si>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</si>
  <si>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</si>
  <si>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</si>
  <si>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</si>
  <si>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</si>
  <si>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</si>
  <si>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</si>
  <si>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</si>
  <si>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</si>
  <si>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</si>
  <si>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</si>
  <si>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</si>
  <si>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</si>
  <si>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</si>
  <si>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</si>
  <si>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</si>
  <si>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</si>
  <si>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</si>
  <si>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</si>
  <si>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</si>
  <si>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</si>
  <si>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</si>
  <si>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</si>
  <si>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</si>
  <si>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</si>
  <si>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</si>
  <si>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</si>
  <si>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</si>
  <si>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</si>
  <si>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</si>
  <si>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</si>
  <si>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</si>
  <si>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</si>
  <si>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</si>
  <si>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</si>
  <si>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</si>
  <si>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</si>
  <si>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</si>
  <si>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</si>
  <si>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</si>
  <si>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</si>
  <si>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</si>
  <si>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</si>
  <si>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</si>
  <si>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</si>
  <si>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</si>
  <si>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</si>
  <si>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</si>
  <si>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</si>
  <si>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</si>
  <si>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</si>
  <si>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</si>
  <si>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</si>
  <si>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</si>
  <si>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</si>
  <si>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</si>
  <si>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</si>
  <si>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</si>
  <si>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</si>
  <si>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</si>
  <si>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</si>
  <si>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</si>
  <si>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</si>
  <si>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</si>
  <si>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</si>
  <si>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</si>
  <si>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</si>
  <si>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</si>
  <si>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</si>
  <si>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</si>
  <si>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</si>
  <si>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</si>
  <si>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</si>
  <si>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</si>
  <si>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</si>
  <si>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</si>
  <si>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</si>
  <si>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</si>
  <si>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</si>
  <si>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</si>
  <si>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</si>
  <si>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</si>
  <si>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</si>
  <si>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</si>
  <si>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</si>
  <si>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</si>
  <si>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</si>
  <si>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</si>
  <si>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</si>
  <si>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</si>
  <si>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</si>
  <si>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</si>
  <si>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</si>
  <si>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</si>
  <si>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</si>
  <si>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</si>
  <si>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</si>
  <si>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</si>
  <si>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</si>
  <si>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</si>
  <si>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</si>
  <si>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</si>
  <si>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</si>
  <si>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</si>
  <si>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B4bNão se aplicaNão se aplicaNão se aplica</t>
  </si>
  <si>
    <t>44470B4Energia convencionalIluminação públicaIluminação pública – B4bNão se aplicaNão se aplicaNão se aplica</t>
  </si>
  <si>
    <t>44501B4Energia convencionalIluminação públicaIluminação pública – B4bNão se aplicaNão se aplicaNão se aplica</t>
  </si>
  <si>
    <t>44531B4Energia convencionalIluminação públicaIluminação pública – B4bNão se aplicaNão se aplicaNão se aplica</t>
  </si>
  <si>
    <t>44562B4Energia convencionalIluminação públicaIluminação pública – B4bNão se aplicaNão se aplicaNão se aplica</t>
  </si>
  <si>
    <t>44593B4Energia convencionalIluminação públicaIluminação pública – B4bNão se aplicaNão se aplicaNão se aplica</t>
  </si>
  <si>
    <t>44621B4Energia convencionalIluminação públicaIluminação pública – B4bNão se aplicaNão se aplicaNão se aplica</t>
  </si>
  <si>
    <t>44652B4Energia convencionalIluminação públicaIluminação pública – B4bNão se aplicaNão se aplicaNão se aplica</t>
  </si>
  <si>
    <t>44682B4Energia convencionalIluminação públicaIluminação pública – B4bNão se aplicaNão se aplicaNão se aplica</t>
  </si>
  <si>
    <t>44713B4Energia convencionalIluminação públicaIluminação pública – B4bNão se aplicaNão se aplicaNão se aplica</t>
  </si>
  <si>
    <t>44743B4Energia convencionalIluminação públicaIluminação pública – B4bNão se aplicaNão se aplicaNão se aplica</t>
  </si>
  <si>
    <t>44774B4Energia convencionalIluminação públicaIluminação pública – B4bNão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</si>
  <si>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</si>
  <si>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</si>
  <si>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</si>
  <si>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</si>
  <si>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</si>
  <si>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</si>
  <si>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</si>
  <si>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</si>
  <si>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</si>
  <si>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</si>
  <si>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</si>
  <si>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</si>
  <si>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</si>
  <si>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</si>
  <si>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</si>
  <si>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</si>
  <si>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</si>
  <si>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</si>
  <si>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</si>
  <si>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</si>
  <si>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</si>
  <si>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</si>
  <si>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</si>
  <si>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</si>
  <si>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</si>
  <si>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</si>
  <si>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</si>
  <si>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</si>
  <si>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</si>
  <si>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</si>
  <si>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</si>
  <si>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</si>
  <si>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</si>
  <si>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</si>
  <si>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</si>
  <si>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</si>
  <si>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</si>
  <si>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</si>
  <si>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</si>
  <si>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</si>
  <si>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</si>
  <si>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</si>
  <si>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</si>
  <si>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</si>
  <si>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</si>
  <si>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</si>
  <si>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</si>
  <si>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</si>
  <si>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</si>
  <si>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</si>
  <si>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</si>
  <si>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</si>
  <si>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</si>
  <si>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</si>
  <si>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</si>
  <si>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</si>
  <si>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</si>
  <si>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</si>
  <si>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</si>
  <si>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</si>
  <si>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</si>
  <si>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</si>
  <si>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</si>
  <si>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</si>
  <si>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</si>
  <si>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</si>
  <si>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</si>
  <si>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</si>
  <si>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</si>
  <si>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</si>
  <si>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</si>
  <si>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</si>
  <si>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</si>
  <si>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</si>
  <si>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</si>
  <si>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</si>
  <si>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</si>
  <si>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</si>
  <si>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</si>
  <si>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</si>
  <si>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</si>
  <si>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</si>
  <si>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</si>
  <si>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</si>
  <si>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</si>
  <si>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</si>
  <si>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</si>
  <si>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</si>
  <si>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</si>
  <si>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</si>
  <si>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</si>
  <si>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</si>
  <si>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</si>
  <si>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</si>
  <si>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</si>
  <si>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</si>
  <si>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</si>
  <si>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</si>
  <si>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</si>
  <si>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</si>
  <si>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</si>
  <si>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2.955, DE 28 DE SETEMBRO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</si>
  <si>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</si>
  <si>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</si>
  <si>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</si>
  <si>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</si>
  <si>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</si>
  <si>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</si>
  <si>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</si>
  <si>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</si>
  <si>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</si>
  <si>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</si>
  <si>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</si>
  <si>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</si>
  <si>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</si>
  <si>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</si>
  <si>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</si>
  <si>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</si>
  <si>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</si>
  <si>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</si>
  <si>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</si>
  <si>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</si>
  <si>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</si>
  <si>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</si>
  <si>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</si>
  <si>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</si>
  <si>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</si>
  <si>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</si>
  <si>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</si>
  <si>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</si>
  <si>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</si>
  <si>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</si>
  <si>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</si>
  <si>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</si>
  <si>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</si>
  <si>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</si>
  <si>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</si>
  <si>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</si>
  <si>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</si>
  <si>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</si>
  <si>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</si>
  <si>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</si>
  <si>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</si>
  <si>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</si>
  <si>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</si>
  <si>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</si>
  <si>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Potência</t>
  </si>
  <si>
    <t>Ativa</t>
  </si>
  <si>
    <t>Energia</t>
  </si>
  <si>
    <t>Intermediário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</si>
  <si>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</si>
  <si>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</si>
  <si>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</si>
  <si>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</si>
  <si>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</si>
  <si>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</si>
  <si>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</si>
  <si>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</si>
  <si>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</si>
  <si>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</si>
  <si>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</si>
  <si>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</si>
  <si>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</si>
  <si>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</si>
  <si>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</si>
  <si>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</si>
  <si>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</si>
  <si>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</si>
  <si>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</si>
  <si>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Planilha Custo</t>
  </si>
  <si>
    <t>Planilha CUSTO</t>
  </si>
  <si>
    <t xml:space="preserve">Branca </t>
  </si>
  <si>
    <t xml:space="preserve">Convencional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</si>
  <si>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</si>
  <si>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</si>
  <si>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</si>
  <si>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</si>
  <si>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</si>
  <si>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</si>
  <si>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</si>
  <si>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</si>
  <si>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</si>
  <si>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</si>
  <si>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</si>
  <si>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</si>
  <si>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</si>
  <si>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</si>
  <si>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</si>
  <si>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</si>
  <si>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</si>
  <si>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</si>
  <si>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</si>
  <si>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</si>
  <si>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</si>
  <si>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</si>
  <si>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</si>
  <si>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</si>
  <si>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</si>
  <si>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</si>
  <si>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</si>
  <si>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</si>
  <si>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</si>
  <si>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</si>
  <si>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GERAÇÃO FONTE INCENTIVADA</t>
  </si>
  <si>
    <t>SUBSIDIO CARGA FONTE INCENTIVADA</t>
  </si>
  <si>
    <t>SUBSIDIO RURAL</t>
  </si>
  <si>
    <t>SUBSIDIO BAIXA RENDA</t>
  </si>
  <si>
    <t>SUBSIDIO IRRIGANTE/AQUICULTOR</t>
  </si>
  <si>
    <t>SUBSIDIO ÁGUA, ESGOTO E SANEAMENTO</t>
  </si>
  <si>
    <t>R$ (TV)</t>
  </si>
  <si>
    <t>R$ (TN)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</si>
  <si>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</si>
  <si>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</si>
  <si>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</si>
  <si>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</si>
  <si>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</si>
  <si>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</si>
  <si>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</si>
  <si>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</si>
  <si>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</si>
  <si>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</si>
  <si>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</si>
  <si>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Azul1RuralNão se aplicaPlanilha CustoA4</t>
  </si>
  <si>
    <t>Verde1RuralNão se aplicaPlanilha CustoA4</t>
  </si>
  <si>
    <t>Convencional1RuralNão se aplicaPlanilha CustoA4</t>
  </si>
  <si>
    <t>Azul1Serviço públicoÁgua, esgoto e saneamentoPlanilha CUSTOA4</t>
  </si>
  <si>
    <t>Verde1Serviço públicoÁgua, esgoto e saneamentoPlanilha CUSTOA4</t>
  </si>
  <si>
    <t>Convencional 1Serviço públicoÁgua, esgoto e saneamentoPlanilha CUSTOA4</t>
  </si>
  <si>
    <t>Branca1RuralNão se aplicaRuralB2</t>
  </si>
  <si>
    <t>Convencional1RuralCooperativa de eletrificação ruralPlanilha CUSTOB2</t>
  </si>
  <si>
    <t>Branca 1RuralCooperativa de eletrificação ruralPlanilha CUSTOB2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</si>
  <si>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</si>
  <si>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</si>
  <si>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</si>
  <si>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</si>
  <si>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</si>
  <si>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</si>
  <si>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</si>
  <si>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</si>
  <si>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</si>
  <si>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</si>
  <si>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</si>
  <si>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</si>
  <si>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</si>
  <si>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</si>
  <si>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</si>
  <si>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</si>
  <si>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</si>
  <si>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</si>
  <si>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</si>
  <si>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</si>
  <si>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</si>
  <si>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</si>
  <si>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</si>
  <si>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</si>
  <si>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</si>
  <si>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</si>
  <si>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</si>
  <si>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</si>
  <si>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</si>
  <si>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</si>
  <si>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</si>
  <si>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</si>
  <si>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</si>
  <si>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</si>
  <si>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</si>
  <si>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</si>
  <si>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</si>
  <si>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</si>
  <si>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</si>
  <si>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</si>
  <si>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</si>
  <si>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</si>
  <si>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</si>
  <si>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</si>
  <si>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</si>
  <si>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</si>
  <si>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</si>
  <si>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</si>
  <si>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</si>
  <si>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</si>
  <si>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</si>
  <si>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</si>
  <si>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</si>
  <si>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</si>
  <si>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</si>
  <si>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</si>
  <si>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</si>
  <si>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</si>
  <si>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</si>
  <si>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</si>
  <si>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</si>
  <si>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</si>
  <si>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</si>
  <si>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</si>
  <si>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</si>
  <si>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</si>
  <si>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</si>
  <si>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</si>
  <si>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</si>
  <si>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</si>
  <si>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</si>
  <si>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</si>
  <si>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</si>
  <si>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</si>
  <si>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</si>
  <si>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</si>
  <si>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</si>
  <si>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</si>
  <si>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</si>
  <si>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</si>
  <si>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</si>
  <si>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</si>
  <si>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</si>
  <si>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</si>
  <si>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</si>
  <si>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</si>
  <si>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</si>
  <si>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</si>
  <si>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</si>
  <si>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</si>
  <si>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</si>
  <si>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</si>
  <si>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</si>
  <si>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</si>
  <si>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</si>
  <si>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</si>
  <si>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</si>
  <si>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</si>
  <si>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</si>
  <si>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</si>
  <si>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</si>
  <si>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</si>
  <si>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</si>
  <si>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</si>
  <si>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</si>
  <si>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</si>
  <si>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</si>
  <si>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</si>
  <si>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</si>
  <si>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</si>
  <si>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</si>
  <si>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</si>
  <si>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</si>
  <si>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</si>
  <si>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</si>
  <si>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</si>
  <si>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</si>
  <si>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</si>
  <si>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</si>
  <si>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</si>
  <si>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</si>
  <si>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</si>
  <si>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</si>
  <si>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</si>
  <si>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</si>
  <si>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</si>
  <si>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</si>
  <si>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</si>
  <si>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</si>
  <si>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</si>
  <si>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</si>
  <si>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</si>
  <si>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</si>
  <si>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</si>
  <si>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</si>
  <si>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</si>
  <si>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</si>
  <si>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</si>
  <si>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</si>
  <si>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</si>
  <si>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</si>
  <si>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</si>
  <si>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</si>
  <si>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</si>
  <si>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</si>
  <si>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</si>
  <si>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</si>
  <si>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</si>
  <si>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</si>
  <si>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</si>
  <si>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</si>
  <si>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</si>
  <si>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</si>
  <si>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</si>
  <si>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</si>
  <si>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</si>
  <si>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</si>
  <si>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</si>
  <si>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</si>
  <si>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</si>
  <si>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</si>
  <si>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</si>
  <si>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</si>
  <si>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</si>
  <si>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</si>
  <si>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</si>
  <si>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</si>
  <si>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</si>
  <si>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</si>
  <si>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</si>
  <si>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</si>
  <si>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</si>
  <si>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</si>
  <si>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</si>
  <si>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</si>
  <si>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</si>
  <si>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</si>
  <si>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</si>
  <si>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</si>
  <si>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</si>
  <si>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</si>
  <si>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</si>
  <si>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</si>
  <si>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</si>
  <si>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</si>
  <si>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</si>
  <si>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</si>
  <si>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</si>
  <si>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</si>
  <si>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</si>
  <si>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</si>
  <si>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</si>
  <si>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</si>
  <si>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</si>
  <si>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</si>
  <si>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</si>
  <si>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</si>
  <si>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</si>
  <si>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</si>
  <si>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</si>
  <si>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</si>
  <si>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</si>
  <si>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</si>
  <si>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</si>
  <si>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</si>
  <si>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</si>
  <si>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</si>
  <si>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</si>
  <si>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</si>
  <si>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</si>
  <si>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</si>
  <si>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</si>
  <si>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</si>
  <si>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</si>
  <si>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</si>
  <si>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</si>
  <si>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</si>
  <si>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</si>
  <si>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</si>
  <si>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</si>
  <si>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</si>
  <si>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</si>
  <si>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</si>
  <si>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</si>
  <si>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</si>
  <si>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</si>
  <si>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</si>
  <si>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</si>
  <si>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</si>
  <si>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</si>
  <si>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</si>
  <si>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</si>
  <si>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</si>
  <si>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</si>
  <si>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</si>
  <si>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</si>
  <si>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</si>
  <si>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</si>
  <si>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</si>
  <si>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</si>
  <si>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</si>
  <si>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</si>
  <si>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</si>
  <si>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</si>
  <si>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</si>
  <si>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</si>
  <si>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</si>
  <si>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</si>
  <si>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</si>
  <si>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</si>
  <si>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</si>
  <si>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A4Energia convencional</t>
  </si>
  <si>
    <t>A4Energia convencionalNão se aplica</t>
  </si>
  <si>
    <t>A4Energia convencionalNão se aplicaNão se aplica</t>
  </si>
  <si>
    <t>A4Energia convencionalNão se aplicaNão se aplicaNão se aplica</t>
  </si>
  <si>
    <t>A4Energia convencionalNão se aplicaNão se aplicaNão se aplicaNão se aplica</t>
  </si>
  <si>
    <t>A4Energia convencionalNão se aplicaNão se aplicaNão se aplicaNão se aplicaE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</si>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</sst>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0%_);[Red]\(#,##0.00%\)"/>
    <numFmt numFmtId="166" formatCode="#0.00%;[Red]#0.00%"/>
    <numFmt numFmtId="167" formatCode="0.00%_);[Red]\(0.00%\)"/>
    <numFmt numFmtId="168" formatCode="#,##0.00_ ;[Red]\-#,##0.00\ "/>
    <numFmt numFmtId="169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24">
    <xf numFmtId="0" fontId="0" fillId="0" borderId="0" xfId="0"/>
    <xf numFmtId="0" fontId="2" fillId="0" borderId="0" xfId="0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5" fontId="3" fillId="0" borderId="0" xfId="0" applyNumberFormat="1" applyFont="1"/>
    <xf numFmtId="0" fontId="3" fillId="0" borderId="13" xfId="0" applyFont="1" applyBorder="1" applyAlignment="1">
      <alignment vertical="center"/>
    </xf>
    <xf numFmtId="164" fontId="3" fillId="0" borderId="0" xfId="1" applyFont="1"/>
    <xf numFmtId="168" fontId="3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165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10" fontId="3" fillId="0" borderId="0" xfId="0" applyNumberFormat="1" applyFont="1"/>
    <xf numFmtId="2" fontId="8" fillId="3" borderId="15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6" xfId="0" applyFont="1" applyFill="1" applyBorder="1" applyAlignment="1">
      <alignment horizontal="center" vertical="center"/>
    </xf>
    <xf numFmtId="40" fontId="8" fillId="3" borderId="15" xfId="0" applyNumberFormat="1" applyFont="1" applyFill="1" applyBorder="1" applyAlignment="1">
      <alignment horizontal="center" vertical="center"/>
    </xf>
    <xf numFmtId="169" fontId="8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1" fillId="6" borderId="18" xfId="0" applyNumberFormat="1" applyFont="1" applyFill="1" applyBorder="1"/>
    <xf numFmtId="4" fontId="11" fillId="6" borderId="12" xfId="0" applyNumberFormat="1" applyFont="1" applyFill="1" applyBorder="1"/>
    <xf numFmtId="4" fontId="11" fillId="6" borderId="19" xfId="0" applyNumberFormat="1" applyFont="1" applyFill="1" applyBorder="1"/>
    <xf numFmtId="4" fontId="11" fillId="6" borderId="6" xfId="0" applyNumberFormat="1" applyFont="1" applyFill="1" applyBorder="1"/>
    <xf numFmtId="4" fontId="11" fillId="6" borderId="13" xfId="0" applyNumberFormat="1" applyFont="1" applyFill="1" applyBorder="1"/>
    <xf numFmtId="4" fontId="11" fillId="6" borderId="5" xfId="0" applyNumberFormat="1" applyFont="1" applyFill="1" applyBorder="1"/>
    <xf numFmtId="4" fontId="11" fillId="6" borderId="20" xfId="0" applyNumberFormat="1" applyFont="1" applyFill="1" applyBorder="1"/>
    <xf numFmtId="4" fontId="11" fillId="6" borderId="10" xfId="0" applyNumberFormat="1" applyFont="1" applyFill="1" applyBorder="1"/>
    <xf numFmtId="4" fontId="11" fillId="6" borderId="17" xfId="0" applyNumberFormat="1" applyFont="1" applyFill="1" applyBorder="1"/>
    <xf numFmtId="4" fontId="11" fillId="6" borderId="13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945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70" formatCode="#,##0.00_);[Red]\(#,##0.00\)"/>
    </dxf>
    <dxf>
      <numFmt numFmtId="170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7" formatCode="0.00%_);[Red]\(0.00%\)"/>
    </dxf>
    <dxf>
      <numFmt numFmtId="167" formatCode="0.00%_);[Red]\(0.00%\)"/>
    </dxf>
    <dxf>
      <numFmt numFmtId="170" formatCode="#,##0.00_);[Red]\(#,##0.00\)"/>
    </dxf>
    <dxf>
      <numFmt numFmtId="170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7.8302744016557656E-4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9.547639596277803E-2</c:v>
                </c:pt>
                <c:pt idx="6">
                  <c:v>1.6241800035715303E-2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2.5283112657749421E-2</c:v>
                </c:pt>
                <c:pt idx="13">
                  <c:v>0</c:v>
                </c:pt>
                <c:pt idx="14">
                  <c:v>0</c:v>
                </c:pt>
                <c:pt idx="15">
                  <c:v>7.7811791153135343E-2</c:v>
                </c:pt>
                <c:pt idx="16">
                  <c:v>0</c:v>
                </c:pt>
                <c:pt idx="17">
                  <c:v>0</c:v>
                </c:pt>
                <c:pt idx="18">
                  <c:v>-3.5637670281748787E-2</c:v>
                </c:pt>
                <c:pt idx="19">
                  <c:v>0</c:v>
                </c:pt>
                <c:pt idx="20">
                  <c:v>3.2015116173279719E-3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9-465B-A72A-B16DCE607437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4.2038900658911349E-4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8.475687140709294E-2</c:v>
                </c:pt>
                <c:pt idx="6">
                  <c:v>1.718505364962155E-2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4.915133412866908E-2</c:v>
                </c:pt>
                <c:pt idx="13">
                  <c:v>0</c:v>
                </c:pt>
                <c:pt idx="14">
                  <c:v>0</c:v>
                </c:pt>
                <c:pt idx="15">
                  <c:v>2.3296299021629666E-2</c:v>
                </c:pt>
                <c:pt idx="16">
                  <c:v>0</c:v>
                </c:pt>
                <c:pt idx="17">
                  <c:v>0</c:v>
                </c:pt>
                <c:pt idx="18">
                  <c:v>-9.1153369688729974E-3</c:v>
                </c:pt>
                <c:pt idx="19">
                  <c:v>0</c:v>
                </c:pt>
                <c:pt idx="20">
                  <c:v>2.722514431248834E-3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F9-465B-A72A-B16DCE607437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4.2038900658911349E-4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8.475687140709294E-2</c:v>
                </c:pt>
                <c:pt idx="6">
                  <c:v>1.718505364962155E-2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4.915133412866908E-2</c:v>
                </c:pt>
                <c:pt idx="13">
                  <c:v>0</c:v>
                </c:pt>
                <c:pt idx="14">
                  <c:v>0</c:v>
                </c:pt>
                <c:pt idx="15">
                  <c:v>2.3296299021629666E-2</c:v>
                </c:pt>
                <c:pt idx="16">
                  <c:v>0</c:v>
                </c:pt>
                <c:pt idx="17">
                  <c:v>0</c:v>
                </c:pt>
                <c:pt idx="18">
                  <c:v>-9.1153369688729974E-3</c:v>
                </c:pt>
                <c:pt idx="19">
                  <c:v>0</c:v>
                </c:pt>
                <c:pt idx="20">
                  <c:v>2.722514431248834E-3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F9-465B-A72A-B16DCE607437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63F9-465B-A72A-B16DCE607437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63F9-465B-A72A-B16DCE607437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63F9-465B-A72A-B16DCE607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436192"/>
        <c:axId val="657436520"/>
      </c:radarChart>
      <c:catAx>
        <c:axId val="6574361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657436520"/>
        <c:crosses val="autoZero"/>
        <c:auto val="1"/>
        <c:lblAlgn val="ctr"/>
        <c:lblOffset val="100"/>
        <c:noMultiLvlLbl val="0"/>
      </c:catAx>
      <c:valAx>
        <c:axId val="657436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743619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5.6416039338097822E-2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-0.30783714231346365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D-40C7-9874-6B0FFE03BC05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5.5201871888801636E-2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-0.32273364375657893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FD-40C7-9874-6B0FFE03BC05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5.5201871888801636E-2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-0.32273364375657893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FD-40C7-9874-6B0FFE03BC05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43FD-40C7-9874-6B0FFE03BC05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43FD-40C7-9874-6B0FFE03BC05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43FD-40C7-9874-6B0FFE03B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521944"/>
        <c:axId val="1143520632"/>
      </c:radarChart>
      <c:catAx>
        <c:axId val="11435219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43520632"/>
        <c:crosses val="autoZero"/>
        <c:auto val="1"/>
        <c:lblAlgn val="ctr"/>
        <c:lblOffset val="100"/>
        <c:noMultiLvlLbl val="0"/>
      </c:catAx>
      <c:valAx>
        <c:axId val="1143520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3521944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1099186</xdr:colOff>
      <xdr:row>17</xdr:row>
      <xdr:rowOff>83820</xdr:rowOff>
    </xdr:from>
    <xdr:to>
      <xdr:col>11</xdr:col>
      <xdr:colOff>525781</xdr:colOff>
      <xdr:row>49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C66259-90CC-0AB1-D91B-6A90200ED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1099186</xdr:colOff>
      <xdr:row>17</xdr:row>
      <xdr:rowOff>83820</xdr:rowOff>
    </xdr:from>
    <xdr:to>
      <xdr:col>11</xdr:col>
      <xdr:colOff>342901</xdr:colOff>
      <xdr:row>49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F89384-7C28-B847-5896-7D951FEDE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8.58315810185" createdVersion="5" refreshedVersion="8" minRefreshableVersion="3" recordCount="482" xr:uid="{CEF3D5D6-4A5A-4DD4-8681-C23C583917D5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4">
        <s v="Azul"/>
        <s v="Geração"/>
        <s v="Verde"/>
        <s v="Convencional"/>
      </sharedItems>
    </cacheField>
    <cacheField name="Classe" numFmtId="0">
      <sharedItems count="9">
        <s v="Industrial"/>
        <s v="Não se aplica"/>
        <s v="Rural"/>
        <s v="Residencial"/>
        <s v="Comercial"/>
        <s v="Consumo próprio"/>
        <s v="Poder público"/>
        <s v="Serviço público"/>
        <s v="Iluminação pública"/>
      </sharedItems>
    </cacheField>
    <cacheField name="Subclasse" numFmtId="0">
      <sharedItems count="9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quicultura"/>
        <s v="Água, esgoto e saneamento"/>
        <s v="Iluminação pública – B4b"/>
      </sharedItems>
    </cacheField>
    <cacheField name="Detalhe" numFmtId="0">
      <sharedItems count="4">
        <s v="Não se aplica"/>
        <s v="Fonte incentivada"/>
        <s v="IRRIG./AQUIC."/>
        <s v="IRRIG./AQUIC. PR"/>
      </sharedItems>
    </cacheField>
    <cacheField name="Agente" numFmtId="0">
      <sharedItems count="6">
        <s v="Não se aplica"/>
        <s v="PCH CAPIVARI"/>
        <s v="Rio do Poncho II"/>
        <s v="Rio do Poncho I"/>
        <s v="CGH VOLTA GRANDE"/>
        <s v="SANTA MARIA"/>
      </sharedItems>
    </cacheField>
    <cacheField name="Posto" numFmtId="0">
      <sharedItems count="3">
        <s v="Fora ponta"/>
        <s v="Ponta"/>
        <s v="Não se aplic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6000"/>
    </cacheField>
    <cacheField name="Daj" numFmtId="40">
      <sharedItems containsSemiMixedTypes="0" containsString="0" containsNumber="1" minValue="-273.01080239999999" maxValue="3246"/>
    </cacheField>
    <cacheField name="TUSD_E" numFmtId="40">
      <sharedItems containsSemiMixedTypes="0" containsString="0" containsNumber="1" minValue="-100.259" maxValue="1195.203"/>
    </cacheField>
    <cacheField name="TUSD_Eaj" numFmtId="40">
      <sharedItems containsSemiMixedTypes="0" containsString="0" containsNumber="1" minValue="-100.259" maxValue="1195.203"/>
    </cacheField>
    <cacheField name="TE_E" numFmtId="40">
      <sharedItems containsSemiMixedTypes="0" containsString="0" containsNumber="1" minValue="-100.259" maxValue="1195.203"/>
    </cacheField>
    <cacheField name="TE_Eaj" numFmtId="40">
      <sharedItems containsSemiMixedTypes="0" containsString="0" containsNumber="1" minValue="-100.259" maxValue="1195.203"/>
    </cacheField>
    <cacheField name="UC" numFmtId="40">
      <sharedItems containsSemiMixedTypes="0" containsString="0" containsNumber="1" containsInteger="1" minValue="0" maxValue="4598"/>
    </cacheField>
    <cacheField name="OPÇÃO" numFmtId="0">
      <sharedItems count="3">
        <s v="CATIVO"/>
        <s v="GERAÇÃO"/>
        <s v="LIVRE"/>
      </sharedItems>
    </cacheField>
    <cacheField name="CóD. AUX." numFmtId="0">
      <sharedItems containsSemiMixedTypes="0" containsString="0" containsNumber="1" containsInteger="1" minValue="0" maxValue="30494"/>
    </cacheField>
    <cacheField name="CóD. AUX. TUSD R$/kW" numFmtId="40">
      <sharedItems containsSemiMixedTypes="0" containsString="0" containsNumber="1" containsInteger="1" minValue="0" maxValue="9"/>
    </cacheField>
    <cacheField name="CóD. AUX. TUSD R$/MWh" numFmtId="40">
      <sharedItems containsSemiMixedTypes="0" containsString="0" containsNumber="1" containsInteger="1" minValue="0" maxValue="40"/>
    </cacheField>
    <cacheField name="CóD. AUX. TE R$/MWh" numFmtId="40">
      <sharedItems containsSemiMixedTypes="0" containsString="0" containsNumber="1" containsInteger="1" minValue="0" maxValue="82"/>
    </cacheField>
    <cacheField name="TUSD (R$/kW)" numFmtId="40">
      <sharedItems containsSemiMixedTypes="0" containsString="0" containsNumber="1" minValue="0" maxValue="64.150000000000006"/>
    </cacheField>
    <cacheField name="TUSD (R$/MWh)" numFmtId="40">
      <sharedItems containsSemiMixedTypes="0" containsString="0" containsNumber="1" minValue="0" maxValue="1624.27"/>
    </cacheField>
    <cacheField name="TE (R$/MWh)" numFmtId="40">
      <sharedItems containsSemiMixedTypes="0" containsString="0" containsNumber="1" minValue="0" maxValue="291.85000000000002"/>
    </cacheField>
    <cacheField name="TUSD (R$/kW) NOVA" numFmtId="40">
      <sharedItems containsString="0" containsBlank="1" containsNumber="1" minValue="6.5703266892577075" maxValue="62.269839076358821"/>
    </cacheField>
    <cacheField name="TUSD (R$/MWh) NOVA" numFmtId="40">
      <sharedItems containsString="0" containsBlank="1" containsNumber="1" minValue="109.15710156873617" maxValue="1607.0001847697904"/>
    </cacheField>
    <cacheField name="TE (R$/MWh) NOVA" numFmtId="40">
      <sharedItems containsString="0" containsBlank="1" containsNumber="1" minValue="76.86574279049708" maxValue="219.61640797284883"/>
    </cacheField>
    <cacheField name="RA0 ou RV - TUSD (kW)" numFmtId="40">
      <sharedItems containsSemiMixedTypes="0" containsString="0" containsNumber="1" minValue="-5553.0397208159993" maxValue="66023.64"/>
    </cacheField>
    <cacheField name="RA0 ou RV - TUSD (MWh)" numFmtId="40">
      <sharedItems containsSemiMixedTypes="0" containsString="0" containsNumber="1" minValue="-37162.000940000005" maxValue="443013.94398000004"/>
    </cacheField>
    <cacheField name="RA0 ou RV - TE (MWh)" numFmtId="40">
      <sharedItems containsSemiMixedTypes="0" containsString="0" containsNumber="1" minValue="-29260.589150000003" maxValue="348819.99554999999"/>
    </cacheField>
    <cacheField name="RA1 ou RRD - TUSD (kW)" numFmtId="40">
      <sharedItems containsSemiMixedTypes="0" containsString="0" containsNumber="1" minValue="-6247.1506167001562" maxValue="74276.368273875691"/>
    </cacheField>
    <cacheField name="RA1 ou RRD - TUSD (MWh)" numFmtId="40">
      <sharedItems containsSemiMixedTypes="0" containsString="0" containsNumber="1" minValue="-42051.588522823164" maxValue="501303.47158104321"/>
    </cacheField>
    <cacheField name="RA1 ou RRD - TE (MWh)" numFmtId="40">
      <sharedItems containsSemiMixedTypes="0" containsString="0" containsNumber="1" minValue="-22018.52144694985" maxValue="262486.18965837284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8.583225000002" createdVersion="5" refreshedVersion="8" minRefreshableVersion="3" recordCount="274" xr:uid="{4FC2B11A-3A6A-41C9-8D70-99905B1AC310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3">
        <s v="Geração"/>
        <s v="Verde"/>
        <s v="Convencional"/>
      </sharedItems>
    </cacheField>
    <cacheField name="Classe" numFmtId="0">
      <sharedItems count="5">
        <s v="Não se aplica"/>
        <s v="Industrial"/>
        <s v="Rural"/>
        <s v="Residencial"/>
        <s v="Serviço público"/>
      </sharedItems>
    </cacheField>
    <cacheField name="Subclasse" numFmtId="0">
      <sharedItems count="8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quicultura"/>
        <s v="Água, esgoto e saneamento"/>
      </sharedItems>
    </cacheField>
    <cacheField name="Detalhe" numFmtId="0">
      <sharedItems count="4">
        <s v="Não se aplica"/>
        <s v="Fonte incentivada"/>
        <s v="IRRIG./AQUIC."/>
        <s v="IRRIG./AQUIC. PR"/>
      </sharedItems>
    </cacheField>
    <cacheField name="Agente" numFmtId="0">
      <sharedItems count="6">
        <s v="PCH CAPIVARI"/>
        <s v="Rio do Poncho II"/>
        <s v="Rio do Poncho I"/>
        <s v="CGH VOLTA GRANDE"/>
        <s v="SANTA MARIA"/>
        <s v="Não se aplica"/>
      </sharedItems>
    </cacheField>
    <cacheField name="Posto" numFmtId="0">
      <sharedItems count="3">
        <s v="Não se aplica"/>
        <s v="Fora ponta"/>
        <s v="Pont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6000"/>
    </cacheField>
    <cacheField name="Daj" numFmtId="40">
      <sharedItems containsSemiMixedTypes="0" containsString="0" containsNumber="1" minValue="-273.01080239999999" maxValue="3000"/>
    </cacheField>
    <cacheField name="TUSD_E" numFmtId="40">
      <sharedItems containsSemiMixedTypes="0" containsString="0" containsNumber="1" minValue="-14.53" maxValue="1024.6300000000001"/>
    </cacheField>
    <cacheField name="TUSD_Eaj" numFmtId="40">
      <sharedItems containsSemiMixedTypes="0" containsString="0" containsNumber="1" minValue="-14.53" maxValue="1024.6300000000001"/>
    </cacheField>
    <cacheField name="TE_E" numFmtId="40">
      <sharedItems containsSemiMixedTypes="0" containsString="0" containsNumber="1" minValue="-14.53" maxValue="1024.6300000000001"/>
    </cacheField>
    <cacheField name="TE_Eaj" numFmtId="40">
      <sharedItems containsSemiMixedTypes="0" containsString="0" containsNumber="1" minValue="-14.53" maxValue="1024.6300000000001"/>
    </cacheField>
    <cacheField name="UC" numFmtId="40">
      <sharedItems containsSemiMixedTypes="0" containsString="0" containsNumber="1" containsInteger="1" minValue="0" maxValue="4573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30494"/>
    </cacheField>
    <cacheField name="CóD. AUX. TUSD R$/kW" numFmtId="0">
      <sharedItems containsSemiMixedTypes="0" containsString="0" containsNumber="1" containsInteger="1" minValue="0" maxValue="5"/>
    </cacheField>
    <cacheField name="CóD. AUX. TUSD R$/MWh" numFmtId="0">
      <sharedItems containsSemiMixedTypes="0" containsString="0" containsNumber="1" containsInteger="1" minValue="0" maxValue="36"/>
    </cacheField>
    <cacheField name="CóD. AUX. TE R$/MWh" numFmtId="0">
      <sharedItems containsSemiMixedTypes="0" containsString="0" containsNumber="1" containsInteger="1" minValue="0" maxValue="80"/>
    </cacheField>
    <cacheField name="TUSD (R$/kW)" numFmtId="40">
      <sharedItems containsSemiMixedTypes="0" containsString="0" containsNumber="1" minValue="0" maxValue="20.34"/>
    </cacheField>
    <cacheField name="TUSD (R$/MWh)" numFmtId="40">
      <sharedItems containsSemiMixedTypes="0" containsString="0" containsNumber="1" minValue="0" maxValue="1624.27"/>
    </cacheField>
    <cacheField name="TE (R$/MWh)" numFmtId="40">
      <sharedItems containsSemiMixedTypes="0" containsString="0" containsNumber="1" minValue="0" maxValue="291.85000000000002"/>
    </cacheField>
    <cacheField name="TUSD (R$/kW) NOVA" numFmtId="40">
      <sharedItems containsString="0" containsBlank="1" containsNumber="1" minValue="6.5703266892577075" maxValue="22.882430152149013"/>
    </cacheField>
    <cacheField name="TUSD (R$/MWh) NOVA" numFmtId="40">
      <sharedItems containsString="0" containsBlank="1" containsNumber="1" minValue="109.15710156873617" maxValue="1607.0001847697904"/>
    </cacheField>
    <cacheField name="TE (R$/MWh) NOVA" numFmtId="40">
      <sharedItems containsString="0" containsBlank="1" containsNumber="1" minValue="76.86574279049708" maxValue="219.61640797284883"/>
    </cacheField>
    <cacheField name="SUBSIDIO kW - TV" numFmtId="40">
      <sharedItems containsSemiMixedTypes="0" containsString="0" containsNumber="1" minValue="0" maxValue="40029.339720816002"/>
    </cacheField>
    <cacheField name="SUBSIDIO MWh - TV" numFmtId="40">
      <sharedItems containsSemiMixedTypes="0" containsString="0" containsNumber="1" minValue="-5323.3448000000008" maxValue="81447.838700000022"/>
    </cacheField>
    <cacheField name="SUBSIDIO kW - TN" numFmtId="40">
      <sharedItems containsSemiMixedTypes="0" containsString="0" containsNumber="1" minValue="0" maxValue="45032.869724592732"/>
    </cacheField>
    <cacheField name="SUBSIDIO MWh - TN" numFmtId="40">
      <sharedItems containsSemiMixedTypes="0" containsString="0" containsNumber="1" minValue="-4944.6821023760021" maxValue="67169.119949235566"/>
    </cacheField>
    <cacheField name="TIPO" numFmtId="0">
      <sharedItems containsBlank="1" count="7">
        <s v="SUBSIDIO GERAÇÃO FONTE INCENTIVADA"/>
        <s v="SUBSIDIO CARGA FONTE INCENTIVADA"/>
        <s v="SUBSIDIO RURAL"/>
        <m/>
        <s v="SUBSIDIO BAIXA RENDA"/>
        <s v="SUBSIDIO IRRIGANTE/AQUICULTOR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2">
  <r>
    <s v="Regular"/>
    <x v="0"/>
    <x v="0"/>
    <x v="0"/>
    <x v="0"/>
    <x v="0"/>
    <x v="0"/>
    <x v="0"/>
    <x v="0"/>
    <n v="38"/>
    <n v="38"/>
    <n v="12.73"/>
    <n v="12.73"/>
    <n v="12.73"/>
    <n v="12.73"/>
    <n v="0"/>
    <x v="0"/>
    <n v="0"/>
    <n v="9"/>
    <n v="15"/>
    <n v="62"/>
    <n v="20.34"/>
    <n v="80.73"/>
    <n v="291.85000000000002"/>
    <n v="22.882430152149013"/>
    <n v="109.15710156873617"/>
    <n v="219.61640797284883"/>
    <n v="772.92"/>
    <n v="1027.6929"/>
    <n v="3715.2505000000006"/>
    <n v="869.53234578166246"/>
    <n v="1389.5699029700115"/>
    <n v="2795.7168734943657"/>
  </r>
  <r>
    <s v="Regular"/>
    <x v="0"/>
    <x v="0"/>
    <x v="0"/>
    <x v="0"/>
    <x v="0"/>
    <x v="0"/>
    <x v="0"/>
    <x v="1"/>
    <n v="38"/>
    <n v="38"/>
    <n v="12.662000000000001"/>
    <n v="12.662000000000001"/>
    <n v="12.662000000000001"/>
    <n v="12.662000000000001"/>
    <n v="0"/>
    <x v="0"/>
    <n v="0"/>
    <n v="9"/>
    <n v="15"/>
    <n v="62"/>
    <n v="20.34"/>
    <n v="80.73"/>
    <n v="291.85000000000002"/>
    <n v="22.882430152149013"/>
    <n v="109.15710156873617"/>
    <n v="219.61640797284883"/>
    <n v="772.92"/>
    <n v="1022.2032600000001"/>
    <n v="3695.4047000000005"/>
    <n v="869.53234578166246"/>
    <n v="1382.1472200633375"/>
    <n v="2780.782957752212"/>
  </r>
  <r>
    <s v="Regular"/>
    <x v="0"/>
    <x v="0"/>
    <x v="0"/>
    <x v="0"/>
    <x v="0"/>
    <x v="0"/>
    <x v="0"/>
    <x v="2"/>
    <n v="38"/>
    <n v="38"/>
    <n v="12.772"/>
    <n v="12.772"/>
    <n v="12.772"/>
    <n v="12.772"/>
    <n v="0"/>
    <x v="0"/>
    <n v="0"/>
    <n v="9"/>
    <n v="15"/>
    <n v="62"/>
    <n v="20.34"/>
    <n v="80.73"/>
    <n v="291.85000000000002"/>
    <n v="22.882430152149013"/>
    <n v="109.15710156873617"/>
    <n v="219.61640797284883"/>
    <n v="772.92"/>
    <n v="1031.08356"/>
    <n v="3727.5082000000002"/>
    <n v="869.53234578166246"/>
    <n v="1394.1545012358984"/>
    <n v="2804.9407626292254"/>
  </r>
  <r>
    <s v="Regular"/>
    <x v="0"/>
    <x v="0"/>
    <x v="0"/>
    <x v="0"/>
    <x v="0"/>
    <x v="0"/>
    <x v="0"/>
    <x v="3"/>
    <n v="38"/>
    <n v="38"/>
    <n v="14.241"/>
    <n v="14.241"/>
    <n v="14.241"/>
    <n v="14.241"/>
    <n v="0"/>
    <x v="0"/>
    <n v="0"/>
    <n v="9"/>
    <n v="15"/>
    <n v="62"/>
    <n v="20.34"/>
    <n v="80.73"/>
    <n v="291.85000000000002"/>
    <n v="22.882430152149013"/>
    <n v="109.15710156873617"/>
    <n v="219.61640797284883"/>
    <n v="772.92"/>
    <n v="1149.6759300000001"/>
    <n v="4156.23585"/>
    <n v="869.53234578166246"/>
    <n v="1554.5062834403718"/>
    <n v="3127.5572659413401"/>
  </r>
  <r>
    <s v="Regular"/>
    <x v="0"/>
    <x v="0"/>
    <x v="0"/>
    <x v="0"/>
    <x v="0"/>
    <x v="0"/>
    <x v="0"/>
    <x v="4"/>
    <n v="39"/>
    <n v="39"/>
    <n v="14.169"/>
    <n v="14.169"/>
    <n v="14.169"/>
    <n v="14.169"/>
    <n v="0"/>
    <x v="0"/>
    <n v="0"/>
    <n v="9"/>
    <n v="15"/>
    <n v="62"/>
    <n v="20.34"/>
    <n v="80.73"/>
    <n v="291.85000000000002"/>
    <n v="22.882430152149013"/>
    <n v="109.15710156873617"/>
    <n v="219.61640797284883"/>
    <n v="793.26"/>
    <n v="1143.86337"/>
    <n v="4135.2226500000006"/>
    <n v="892.41477593381148"/>
    <n v="1546.6469721274227"/>
    <n v="3111.7448845672952"/>
  </r>
  <r>
    <s v="Regular"/>
    <x v="0"/>
    <x v="0"/>
    <x v="0"/>
    <x v="0"/>
    <x v="0"/>
    <x v="0"/>
    <x v="0"/>
    <x v="5"/>
    <n v="38"/>
    <n v="38"/>
    <n v="13.044"/>
    <n v="13.044"/>
    <n v="13.044"/>
    <n v="13.044"/>
    <n v="0"/>
    <x v="0"/>
    <n v="0"/>
    <n v="9"/>
    <n v="15"/>
    <n v="62"/>
    <n v="20.34"/>
    <n v="80.73"/>
    <n v="291.85000000000002"/>
    <n v="22.882430152149013"/>
    <n v="109.15710156873617"/>
    <n v="219.61640797284883"/>
    <n v="772.92"/>
    <n v="1053.0421200000001"/>
    <n v="3806.8914000000004"/>
    <n v="869.53234578166246"/>
    <n v="1423.8452328625947"/>
    <n v="2864.6764255978401"/>
  </r>
  <r>
    <s v="Regular"/>
    <x v="0"/>
    <x v="0"/>
    <x v="0"/>
    <x v="0"/>
    <x v="0"/>
    <x v="0"/>
    <x v="0"/>
    <x v="6"/>
    <n v="38"/>
    <n v="38"/>
    <n v="13.077999999999999"/>
    <n v="13.077999999999999"/>
    <n v="13.077999999999999"/>
    <n v="13.077999999999999"/>
    <n v="0"/>
    <x v="0"/>
    <n v="0"/>
    <n v="9"/>
    <n v="15"/>
    <n v="62"/>
    <n v="20.34"/>
    <n v="80.73"/>
    <n v="291.85000000000002"/>
    <n v="22.882430152149013"/>
    <n v="109.15710156873617"/>
    <n v="219.61640797284883"/>
    <n v="772.92"/>
    <n v="1055.78694"/>
    <n v="3816.8143"/>
    <n v="869.53234578166246"/>
    <n v="1427.5565743159316"/>
    <n v="2872.1433834689169"/>
  </r>
  <r>
    <s v="Regular"/>
    <x v="0"/>
    <x v="0"/>
    <x v="0"/>
    <x v="0"/>
    <x v="0"/>
    <x v="0"/>
    <x v="0"/>
    <x v="7"/>
    <n v="38"/>
    <n v="38"/>
    <n v="12.239000000000001"/>
    <n v="12.239000000000001"/>
    <n v="12.239000000000001"/>
    <n v="12.239000000000001"/>
    <n v="0"/>
    <x v="0"/>
    <n v="0"/>
    <n v="9"/>
    <n v="15"/>
    <n v="62"/>
    <n v="20.34"/>
    <n v="80.73"/>
    <n v="291.85000000000002"/>
    <n v="22.882430152149013"/>
    <n v="109.15710156873617"/>
    <n v="219.61640797284883"/>
    <n v="772.92"/>
    <n v="988.05447000000015"/>
    <n v="3571.9521500000005"/>
    <n v="869.53234578166246"/>
    <n v="1335.9737660997621"/>
    <n v="2687.8852171796971"/>
  </r>
  <r>
    <s v="Regular"/>
    <x v="0"/>
    <x v="0"/>
    <x v="0"/>
    <x v="0"/>
    <x v="0"/>
    <x v="0"/>
    <x v="0"/>
    <x v="8"/>
    <n v="38"/>
    <n v="38"/>
    <n v="12.154999999999999"/>
    <n v="12.154999999999999"/>
    <n v="12.154999999999999"/>
    <n v="12.154999999999999"/>
    <n v="0"/>
    <x v="0"/>
    <n v="0"/>
    <n v="9"/>
    <n v="15"/>
    <n v="62"/>
    <n v="20.34"/>
    <n v="80.73"/>
    <n v="291.85000000000002"/>
    <n v="22.882430152149013"/>
    <n v="109.15710156873617"/>
    <n v="219.61640797284883"/>
    <n v="772.92"/>
    <n v="981.27314999999999"/>
    <n v="3547.4367500000003"/>
    <n v="869.53234578166246"/>
    <n v="1326.804569567988"/>
    <n v="2669.4374389099776"/>
  </r>
  <r>
    <s v="Regular"/>
    <x v="0"/>
    <x v="0"/>
    <x v="0"/>
    <x v="0"/>
    <x v="0"/>
    <x v="0"/>
    <x v="0"/>
    <x v="9"/>
    <n v="38"/>
    <n v="38"/>
    <n v="11.324999999999999"/>
    <n v="11.324999999999999"/>
    <n v="11.324999999999999"/>
    <n v="11.324999999999999"/>
    <n v="0"/>
    <x v="0"/>
    <n v="0"/>
    <n v="9"/>
    <n v="15"/>
    <n v="62"/>
    <n v="20.34"/>
    <n v="80.73"/>
    <n v="291.85000000000002"/>
    <n v="22.882430152149013"/>
    <n v="109.15710156873617"/>
    <n v="219.61640797284883"/>
    <n v="772.92"/>
    <n v="914.26724999999999"/>
    <n v="3305.2012500000001"/>
    <n v="869.53234578166246"/>
    <n v="1236.204175265937"/>
    <n v="2487.155820292513"/>
  </r>
  <r>
    <s v="Regular"/>
    <x v="0"/>
    <x v="0"/>
    <x v="0"/>
    <x v="0"/>
    <x v="0"/>
    <x v="0"/>
    <x v="0"/>
    <x v="10"/>
    <n v="38"/>
    <n v="38"/>
    <n v="12.382"/>
    <n v="12.382"/>
    <n v="12.382"/>
    <n v="12.382"/>
    <n v="0"/>
    <x v="0"/>
    <n v="0"/>
    <n v="9"/>
    <n v="15"/>
    <n v="62"/>
    <n v="20.34"/>
    <n v="80.73"/>
    <n v="291.85000000000002"/>
    <n v="22.882430152149013"/>
    <n v="109.15710156873617"/>
    <n v="219.61640797284883"/>
    <n v="772.92"/>
    <n v="999.59886000000006"/>
    <n v="3613.6867000000002"/>
    <n v="869.53234578166246"/>
    <n v="1351.5832316240912"/>
    <n v="2719.290363519814"/>
  </r>
  <r>
    <s v="PROJETADO"/>
    <x v="0"/>
    <x v="0"/>
    <x v="0"/>
    <x v="0"/>
    <x v="0"/>
    <x v="0"/>
    <x v="0"/>
    <x v="11"/>
    <n v="38"/>
    <n v="38"/>
    <n v="12.382"/>
    <n v="12.382"/>
    <n v="12.382"/>
    <n v="12.382"/>
    <n v="0"/>
    <x v="0"/>
    <n v="0"/>
    <n v="9"/>
    <n v="15"/>
    <n v="62"/>
    <n v="20.34"/>
    <n v="80.73"/>
    <n v="291.85000000000002"/>
    <n v="22.882430152149013"/>
    <n v="109.15710156873617"/>
    <n v="219.61640797284883"/>
    <n v="772.92"/>
    <n v="999.59886000000006"/>
    <n v="3613.6867000000002"/>
    <n v="869.53234578166246"/>
    <n v="1351.5832316240912"/>
    <n v="2719.290363519814"/>
  </r>
  <r>
    <s v="Regular"/>
    <x v="0"/>
    <x v="0"/>
    <x v="0"/>
    <x v="0"/>
    <x v="0"/>
    <x v="0"/>
    <x v="1"/>
    <x v="0"/>
    <n v="31"/>
    <n v="31"/>
    <n v="1.0820000000000001"/>
    <n v="1.0820000000000001"/>
    <n v="1.0820000000000001"/>
    <n v="1.0820000000000001"/>
    <n v="0"/>
    <x v="0"/>
    <n v="0"/>
    <n v="7"/>
    <n v="15"/>
    <n v="22"/>
    <n v="64.150000000000006"/>
    <n v="80.73"/>
    <n v="291.85000000000002"/>
    <n v="62.269839076358821"/>
    <n v="109.15710156873617"/>
    <n v="219.61640797284883"/>
    <n v="1988.65"/>
    <n v="87.349860000000007"/>
    <n v="315.78170000000006"/>
    <n v="1930.3650113671235"/>
    <n v="118.10798389737253"/>
    <n v="237.62495342662245"/>
  </r>
  <r>
    <s v="Regular"/>
    <x v="0"/>
    <x v="0"/>
    <x v="0"/>
    <x v="0"/>
    <x v="0"/>
    <x v="0"/>
    <x v="1"/>
    <x v="1"/>
    <n v="31"/>
    <n v="31"/>
    <n v="1.091"/>
    <n v="1.091"/>
    <n v="1.091"/>
    <n v="1.091"/>
    <n v="0"/>
    <x v="0"/>
    <n v="0"/>
    <n v="7"/>
    <n v="15"/>
    <n v="22"/>
    <n v="64.150000000000006"/>
    <n v="80.73"/>
    <n v="291.85000000000002"/>
    <n v="62.269839076358821"/>
    <n v="109.15710156873617"/>
    <n v="219.61640797284883"/>
    <n v="1988.65"/>
    <n v="88.076430000000002"/>
    <n v="318.40835000000004"/>
    <n v="1930.3650113671235"/>
    <n v="119.09039781149116"/>
    <n v="239.60150109837807"/>
  </r>
  <r>
    <s v="Regular"/>
    <x v="0"/>
    <x v="0"/>
    <x v="0"/>
    <x v="0"/>
    <x v="0"/>
    <x v="0"/>
    <x v="1"/>
    <x v="2"/>
    <n v="31"/>
    <n v="31"/>
    <n v="1.0009999999999999"/>
    <n v="1.0009999999999999"/>
    <n v="1.0009999999999999"/>
    <n v="1.0009999999999999"/>
    <n v="0"/>
    <x v="0"/>
    <n v="0"/>
    <n v="7"/>
    <n v="15"/>
    <n v="22"/>
    <n v="64.150000000000006"/>
    <n v="80.73"/>
    <n v="291.85000000000002"/>
    <n v="62.269839076358821"/>
    <n v="109.15710156873617"/>
    <n v="219.61640797284883"/>
    <n v="1988.65"/>
    <n v="80.810729999999992"/>
    <n v="292.14184999999998"/>
    <n v="1930.3650113671235"/>
    <n v="109.26625867030489"/>
    <n v="219.83602438082167"/>
  </r>
  <r>
    <s v="Regular"/>
    <x v="0"/>
    <x v="0"/>
    <x v="0"/>
    <x v="0"/>
    <x v="0"/>
    <x v="0"/>
    <x v="1"/>
    <x v="3"/>
    <n v="31"/>
    <n v="31"/>
    <n v="1.1359999999999999"/>
    <n v="1.1359999999999999"/>
    <n v="1.1359999999999999"/>
    <n v="1.1359999999999999"/>
    <n v="0"/>
    <x v="0"/>
    <n v="0"/>
    <n v="7"/>
    <n v="15"/>
    <n v="22"/>
    <n v="64.150000000000006"/>
    <n v="80.73"/>
    <n v="291.85000000000002"/>
    <n v="62.269839076358821"/>
    <n v="109.15710156873617"/>
    <n v="219.61640797284883"/>
    <n v="1988.65"/>
    <n v="91.709279999999993"/>
    <n v="331.54160000000002"/>
    <n v="1930.3650113671235"/>
    <n v="124.00246738208428"/>
    <n v="249.48423945715626"/>
  </r>
  <r>
    <s v="Regular"/>
    <x v="0"/>
    <x v="0"/>
    <x v="0"/>
    <x v="0"/>
    <x v="0"/>
    <x v="0"/>
    <x v="1"/>
    <x v="4"/>
    <n v="31"/>
    <n v="31"/>
    <n v="1.167"/>
    <n v="1.167"/>
    <n v="1.167"/>
    <n v="1.167"/>
    <n v="0"/>
    <x v="0"/>
    <n v="0"/>
    <n v="7"/>
    <n v="15"/>
    <n v="22"/>
    <n v="64.150000000000006"/>
    <n v="80.73"/>
    <n v="291.85000000000002"/>
    <n v="62.269839076358821"/>
    <n v="109.15710156873617"/>
    <n v="219.61640797284883"/>
    <n v="1988.65"/>
    <n v="94.211910000000003"/>
    <n v="340.58895000000001"/>
    <n v="1930.3650113671235"/>
    <n v="127.38633753071511"/>
    <n v="256.29234810431461"/>
  </r>
  <r>
    <s v="Regular"/>
    <x v="0"/>
    <x v="0"/>
    <x v="0"/>
    <x v="0"/>
    <x v="0"/>
    <x v="0"/>
    <x v="1"/>
    <x v="5"/>
    <n v="31"/>
    <n v="31"/>
    <n v="1.0009999999999999"/>
    <n v="1.0009999999999999"/>
    <n v="1.0009999999999999"/>
    <n v="1.0009999999999999"/>
    <n v="0"/>
    <x v="0"/>
    <n v="0"/>
    <n v="7"/>
    <n v="15"/>
    <n v="22"/>
    <n v="64.150000000000006"/>
    <n v="80.73"/>
    <n v="291.85000000000002"/>
    <n v="62.269839076358821"/>
    <n v="109.15710156873617"/>
    <n v="219.61640797284883"/>
    <n v="1988.65"/>
    <n v="80.810729999999992"/>
    <n v="292.14184999999998"/>
    <n v="1930.3650113671235"/>
    <n v="109.26625867030489"/>
    <n v="219.83602438082167"/>
  </r>
  <r>
    <s v="Regular"/>
    <x v="0"/>
    <x v="0"/>
    <x v="0"/>
    <x v="0"/>
    <x v="0"/>
    <x v="0"/>
    <x v="1"/>
    <x v="6"/>
    <n v="31"/>
    <n v="31"/>
    <n v="1.157"/>
    <n v="1.157"/>
    <n v="1.157"/>
    <n v="1.157"/>
    <n v="0"/>
    <x v="0"/>
    <n v="0"/>
    <n v="7"/>
    <n v="15"/>
    <n v="22"/>
    <n v="64.150000000000006"/>
    <n v="80.73"/>
    <n v="291.85000000000002"/>
    <n v="62.269839076358821"/>
    <n v="109.15710156873617"/>
    <n v="219.61640797284883"/>
    <n v="1988.65"/>
    <n v="93.404610000000005"/>
    <n v="337.67045000000002"/>
    <n v="1930.3650113671235"/>
    <n v="126.29476651502775"/>
    <n v="254.09618402458611"/>
  </r>
  <r>
    <s v="Regular"/>
    <x v="0"/>
    <x v="0"/>
    <x v="0"/>
    <x v="0"/>
    <x v="0"/>
    <x v="0"/>
    <x v="1"/>
    <x v="7"/>
    <n v="31"/>
    <n v="31"/>
    <n v="1.1040000000000001"/>
    <n v="1.1040000000000001"/>
    <n v="1.1040000000000001"/>
    <n v="1.1040000000000001"/>
    <n v="0"/>
    <x v="0"/>
    <n v="0"/>
    <n v="7"/>
    <n v="15"/>
    <n v="22"/>
    <n v="64.150000000000006"/>
    <n v="80.73"/>
    <n v="291.85000000000002"/>
    <n v="62.269839076358821"/>
    <n v="109.15710156873617"/>
    <n v="219.61640797284883"/>
    <n v="1988.65"/>
    <n v="89.125920000000008"/>
    <n v="322.20240000000007"/>
    <n v="1930.3650113671235"/>
    <n v="120.50944013188474"/>
    <n v="242.45651440202514"/>
  </r>
  <r>
    <s v="Regular"/>
    <x v="0"/>
    <x v="0"/>
    <x v="0"/>
    <x v="0"/>
    <x v="0"/>
    <x v="0"/>
    <x v="1"/>
    <x v="8"/>
    <n v="31"/>
    <n v="31"/>
    <n v="1.1659999999999999"/>
    <n v="1.1659999999999999"/>
    <n v="1.1659999999999999"/>
    <n v="1.1659999999999999"/>
    <n v="0"/>
    <x v="0"/>
    <n v="0"/>
    <n v="7"/>
    <n v="15"/>
    <n v="22"/>
    <n v="64.150000000000006"/>
    <n v="80.73"/>
    <n v="291.85000000000002"/>
    <n v="62.269839076358821"/>
    <n v="109.15710156873617"/>
    <n v="219.61640797284883"/>
    <n v="1988.65"/>
    <n v="94.131180000000001"/>
    <n v="340.2971"/>
    <n v="1930.3650113671235"/>
    <n v="127.27718042914636"/>
    <n v="256.07273169634175"/>
  </r>
  <r>
    <s v="Regular"/>
    <x v="0"/>
    <x v="0"/>
    <x v="0"/>
    <x v="0"/>
    <x v="0"/>
    <x v="0"/>
    <x v="1"/>
    <x v="9"/>
    <n v="31"/>
    <n v="31"/>
    <n v="1.1919999999999999"/>
    <n v="1.1919999999999999"/>
    <n v="1.1919999999999999"/>
    <n v="1.1919999999999999"/>
    <n v="0"/>
    <x v="0"/>
    <n v="0"/>
    <n v="7"/>
    <n v="15"/>
    <n v="22"/>
    <n v="64.150000000000006"/>
    <n v="80.73"/>
    <n v="291.85000000000002"/>
    <n v="62.269839076358821"/>
    <n v="109.15710156873617"/>
    <n v="219.61640797284883"/>
    <n v="1988.65"/>
    <n v="96.230159999999998"/>
    <n v="347.8852"/>
    <n v="1930.3650113671235"/>
    <n v="130.11526506993351"/>
    <n v="261.78275830363577"/>
  </r>
  <r>
    <s v="Regular"/>
    <x v="0"/>
    <x v="0"/>
    <x v="0"/>
    <x v="0"/>
    <x v="0"/>
    <x v="0"/>
    <x v="1"/>
    <x v="10"/>
    <n v="31"/>
    <n v="31"/>
    <n v="1.278"/>
    <n v="1.278"/>
    <n v="1.278"/>
    <n v="1.278"/>
    <n v="0"/>
    <x v="0"/>
    <n v="0"/>
    <n v="7"/>
    <n v="15"/>
    <n v="22"/>
    <n v="64.150000000000006"/>
    <n v="80.73"/>
    <n v="291.85000000000002"/>
    <n v="62.269839076358821"/>
    <n v="109.15710156873617"/>
    <n v="219.61640797284883"/>
    <n v="1988.65"/>
    <n v="103.17294000000001"/>
    <n v="372.98430000000002"/>
    <n v="1930.3650113671235"/>
    <n v="139.50277580484482"/>
    <n v="280.66976938930082"/>
  </r>
  <r>
    <s v="PROJETADO"/>
    <x v="0"/>
    <x v="0"/>
    <x v="0"/>
    <x v="0"/>
    <x v="0"/>
    <x v="0"/>
    <x v="1"/>
    <x v="11"/>
    <n v="31"/>
    <n v="31"/>
    <n v="1.278"/>
    <n v="1.278"/>
    <n v="1.278"/>
    <n v="1.278"/>
    <n v="0"/>
    <x v="0"/>
    <n v="0"/>
    <n v="7"/>
    <n v="15"/>
    <n v="22"/>
    <n v="64.150000000000006"/>
    <n v="80.73"/>
    <n v="291.85000000000002"/>
    <n v="62.269839076358821"/>
    <n v="109.15710156873617"/>
    <n v="219.61640797284883"/>
    <n v="1988.65"/>
    <n v="103.17294000000001"/>
    <n v="372.98430000000002"/>
    <n v="1930.3650113671235"/>
    <n v="139.50277580484482"/>
    <n v="280.66976938930082"/>
  </r>
  <r>
    <s v="Regular"/>
    <x v="0"/>
    <x v="1"/>
    <x v="1"/>
    <x v="0"/>
    <x v="0"/>
    <x v="1"/>
    <x v="2"/>
    <x v="0"/>
    <n v="6000"/>
    <n v="3000"/>
    <n v="0"/>
    <n v="0"/>
    <n v="0"/>
    <n v="0"/>
    <n v="0"/>
    <x v="1"/>
    <n v="659"/>
    <n v="1"/>
    <n v="0"/>
    <n v="0"/>
    <n v="5.7"/>
    <n v="0"/>
    <n v="0"/>
    <n v="6.5703266892577075"/>
    <m/>
    <m/>
    <n v="17100"/>
    <n v="0"/>
    <n v="0"/>
    <n v="19710.980067773122"/>
    <n v="0"/>
    <n v="0"/>
  </r>
  <r>
    <s v="Regular"/>
    <x v="0"/>
    <x v="1"/>
    <x v="1"/>
    <x v="0"/>
    <x v="0"/>
    <x v="2"/>
    <x v="2"/>
    <x v="0"/>
    <n v="833"/>
    <n v="416.5"/>
    <n v="0"/>
    <n v="0"/>
    <n v="0"/>
    <n v="0"/>
    <n v="0"/>
    <x v="1"/>
    <n v="29592"/>
    <n v="1"/>
    <n v="0"/>
    <n v="0"/>
    <n v="5.7"/>
    <n v="0"/>
    <n v="0"/>
    <n v="6.5703266892577075"/>
    <m/>
    <m/>
    <n v="2374.0500000000002"/>
    <n v="0"/>
    <n v="0"/>
    <n v="2736.5410660758353"/>
    <n v="0"/>
    <n v="0"/>
  </r>
  <r>
    <s v="Regular"/>
    <x v="0"/>
    <x v="1"/>
    <x v="1"/>
    <x v="0"/>
    <x v="0"/>
    <x v="3"/>
    <x v="2"/>
    <x v="0"/>
    <n v="1000"/>
    <n v="500"/>
    <n v="0"/>
    <n v="0"/>
    <n v="0"/>
    <n v="0"/>
    <n v="0"/>
    <x v="1"/>
    <n v="30368"/>
    <n v="1"/>
    <n v="0"/>
    <n v="0"/>
    <n v="5.7"/>
    <n v="0"/>
    <n v="0"/>
    <n v="6.5703266892577075"/>
    <m/>
    <m/>
    <n v="2850"/>
    <n v="0"/>
    <n v="0"/>
    <n v="3285.1633446288538"/>
    <n v="0"/>
    <n v="0"/>
  </r>
  <r>
    <s v="Regular"/>
    <x v="0"/>
    <x v="1"/>
    <x v="1"/>
    <x v="0"/>
    <x v="0"/>
    <x v="4"/>
    <x v="2"/>
    <x v="0"/>
    <n v="3130"/>
    <n v="1565"/>
    <n v="0"/>
    <n v="0"/>
    <n v="0"/>
    <n v="0"/>
    <n v="0"/>
    <x v="1"/>
    <n v="30494"/>
    <n v="1"/>
    <n v="0"/>
    <n v="0"/>
    <n v="5.7"/>
    <n v="0"/>
    <n v="0"/>
    <n v="6.5703266892577075"/>
    <m/>
    <m/>
    <n v="8920.5"/>
    <n v="0"/>
    <n v="0"/>
    <n v="10282.561268688312"/>
    <n v="0"/>
    <n v="0"/>
  </r>
  <r>
    <s v="Regular"/>
    <x v="0"/>
    <x v="1"/>
    <x v="1"/>
    <x v="0"/>
    <x v="0"/>
    <x v="5"/>
    <x v="2"/>
    <x v="0"/>
    <n v="500"/>
    <n v="250"/>
    <n v="0"/>
    <n v="0"/>
    <n v="0"/>
    <n v="0"/>
    <n v="0"/>
    <x v="1"/>
    <n v="27182"/>
    <n v="1"/>
    <n v="0"/>
    <n v="0"/>
    <n v="5.7"/>
    <n v="0"/>
    <n v="0"/>
    <n v="6.5703266892577075"/>
    <m/>
    <m/>
    <n v="1425"/>
    <n v="0"/>
    <n v="0"/>
    <n v="1642.5816723144269"/>
    <n v="0"/>
    <n v="0"/>
  </r>
  <r>
    <s v="Regular"/>
    <x v="0"/>
    <x v="1"/>
    <x v="1"/>
    <x v="0"/>
    <x v="0"/>
    <x v="1"/>
    <x v="2"/>
    <x v="1"/>
    <n v="6000"/>
    <n v="3000"/>
    <n v="0"/>
    <n v="0"/>
    <n v="0"/>
    <n v="0"/>
    <n v="0"/>
    <x v="1"/>
    <n v="659"/>
    <n v="1"/>
    <n v="0"/>
    <n v="0"/>
    <n v="5.7"/>
    <n v="0"/>
    <n v="0"/>
    <n v="6.5703266892577075"/>
    <m/>
    <m/>
    <n v="17100"/>
    <n v="0"/>
    <n v="0"/>
    <n v="19710.980067773122"/>
    <n v="0"/>
    <n v="0"/>
  </r>
  <r>
    <s v="Regular"/>
    <x v="0"/>
    <x v="1"/>
    <x v="1"/>
    <x v="0"/>
    <x v="0"/>
    <x v="2"/>
    <x v="2"/>
    <x v="1"/>
    <n v="833"/>
    <n v="416.5"/>
    <n v="0"/>
    <n v="0"/>
    <n v="0"/>
    <n v="0"/>
    <n v="0"/>
    <x v="1"/>
    <n v="29592"/>
    <n v="1"/>
    <n v="0"/>
    <n v="0"/>
    <n v="5.7"/>
    <n v="0"/>
    <n v="0"/>
    <n v="6.5703266892577075"/>
    <m/>
    <m/>
    <n v="2374.0500000000002"/>
    <n v="0"/>
    <n v="0"/>
    <n v="2736.5410660758353"/>
    <n v="0"/>
    <n v="0"/>
  </r>
  <r>
    <s v="Regular"/>
    <x v="0"/>
    <x v="1"/>
    <x v="1"/>
    <x v="0"/>
    <x v="0"/>
    <x v="3"/>
    <x v="2"/>
    <x v="1"/>
    <n v="1000"/>
    <n v="500"/>
    <n v="0"/>
    <n v="0"/>
    <n v="0"/>
    <n v="0"/>
    <n v="0"/>
    <x v="1"/>
    <n v="30368"/>
    <n v="1"/>
    <n v="0"/>
    <n v="0"/>
    <n v="5.7"/>
    <n v="0"/>
    <n v="0"/>
    <n v="6.5703266892577075"/>
    <m/>
    <m/>
    <n v="2850"/>
    <n v="0"/>
    <n v="0"/>
    <n v="3285.1633446288538"/>
    <n v="0"/>
    <n v="0"/>
  </r>
  <r>
    <s v="Regular"/>
    <x v="0"/>
    <x v="1"/>
    <x v="1"/>
    <x v="0"/>
    <x v="0"/>
    <x v="4"/>
    <x v="2"/>
    <x v="1"/>
    <n v="3130"/>
    <n v="1565"/>
    <n v="0"/>
    <n v="0"/>
    <n v="0"/>
    <n v="0"/>
    <n v="0"/>
    <x v="1"/>
    <n v="30494"/>
    <n v="1"/>
    <n v="0"/>
    <n v="0"/>
    <n v="5.7"/>
    <n v="0"/>
    <n v="0"/>
    <n v="6.5703266892577075"/>
    <m/>
    <m/>
    <n v="8920.5"/>
    <n v="0"/>
    <n v="0"/>
    <n v="10282.561268688312"/>
    <n v="0"/>
    <n v="0"/>
  </r>
  <r>
    <s v="Regular"/>
    <x v="0"/>
    <x v="1"/>
    <x v="1"/>
    <x v="0"/>
    <x v="0"/>
    <x v="5"/>
    <x v="2"/>
    <x v="1"/>
    <n v="500"/>
    <n v="250"/>
    <n v="0"/>
    <n v="0"/>
    <n v="0"/>
    <n v="0"/>
    <n v="0"/>
    <x v="1"/>
    <n v="27182"/>
    <n v="1"/>
    <n v="0"/>
    <n v="0"/>
    <n v="5.7"/>
    <n v="0"/>
    <n v="0"/>
    <n v="6.5703266892577075"/>
    <m/>
    <m/>
    <n v="1425"/>
    <n v="0"/>
    <n v="0"/>
    <n v="1642.5816723144269"/>
    <n v="0"/>
    <n v="0"/>
  </r>
  <r>
    <s v="Regular"/>
    <x v="0"/>
    <x v="1"/>
    <x v="1"/>
    <x v="0"/>
    <x v="0"/>
    <x v="1"/>
    <x v="2"/>
    <x v="2"/>
    <n v="6000"/>
    <n v="3000"/>
    <n v="0"/>
    <n v="0"/>
    <n v="0"/>
    <n v="0"/>
    <n v="0"/>
    <x v="1"/>
    <n v="659"/>
    <n v="1"/>
    <n v="0"/>
    <n v="0"/>
    <n v="5.7"/>
    <n v="0"/>
    <n v="0"/>
    <n v="6.5703266892577075"/>
    <m/>
    <m/>
    <n v="17100"/>
    <n v="0"/>
    <n v="0"/>
    <n v="19710.980067773122"/>
    <n v="0"/>
    <n v="0"/>
  </r>
  <r>
    <s v="Regular"/>
    <x v="0"/>
    <x v="1"/>
    <x v="1"/>
    <x v="0"/>
    <x v="0"/>
    <x v="2"/>
    <x v="2"/>
    <x v="2"/>
    <n v="833"/>
    <n v="416.5"/>
    <n v="0"/>
    <n v="0"/>
    <n v="0"/>
    <n v="0"/>
    <n v="0"/>
    <x v="1"/>
    <n v="29592"/>
    <n v="1"/>
    <n v="0"/>
    <n v="0"/>
    <n v="5.7"/>
    <n v="0"/>
    <n v="0"/>
    <n v="6.5703266892577075"/>
    <m/>
    <m/>
    <n v="2374.0500000000002"/>
    <n v="0"/>
    <n v="0"/>
    <n v="2736.5410660758353"/>
    <n v="0"/>
    <n v="0"/>
  </r>
  <r>
    <s v="Regular"/>
    <x v="0"/>
    <x v="1"/>
    <x v="1"/>
    <x v="0"/>
    <x v="0"/>
    <x v="3"/>
    <x v="2"/>
    <x v="2"/>
    <n v="1000"/>
    <n v="500"/>
    <n v="0"/>
    <n v="0"/>
    <n v="0"/>
    <n v="0"/>
    <n v="0"/>
    <x v="1"/>
    <n v="30368"/>
    <n v="1"/>
    <n v="0"/>
    <n v="0"/>
    <n v="5.7"/>
    <n v="0"/>
    <n v="0"/>
    <n v="6.5703266892577075"/>
    <m/>
    <m/>
    <n v="2850"/>
    <n v="0"/>
    <n v="0"/>
    <n v="3285.1633446288538"/>
    <n v="0"/>
    <n v="0"/>
  </r>
  <r>
    <s v="Regular"/>
    <x v="0"/>
    <x v="1"/>
    <x v="1"/>
    <x v="0"/>
    <x v="0"/>
    <x v="4"/>
    <x v="2"/>
    <x v="2"/>
    <n v="3130"/>
    <n v="1565"/>
    <n v="0"/>
    <n v="0"/>
    <n v="0"/>
    <n v="0"/>
    <n v="0"/>
    <x v="1"/>
    <n v="30494"/>
    <n v="1"/>
    <n v="0"/>
    <n v="0"/>
    <n v="5.7"/>
    <n v="0"/>
    <n v="0"/>
    <n v="6.5703266892577075"/>
    <m/>
    <m/>
    <n v="8920.5"/>
    <n v="0"/>
    <n v="0"/>
    <n v="10282.561268688312"/>
    <n v="0"/>
    <n v="0"/>
  </r>
  <r>
    <s v="Regular"/>
    <x v="0"/>
    <x v="1"/>
    <x v="1"/>
    <x v="0"/>
    <x v="0"/>
    <x v="5"/>
    <x v="2"/>
    <x v="2"/>
    <n v="500"/>
    <n v="250"/>
    <n v="0"/>
    <n v="0"/>
    <n v="0"/>
    <n v="0"/>
    <n v="0"/>
    <x v="1"/>
    <n v="27182"/>
    <n v="1"/>
    <n v="0"/>
    <n v="0"/>
    <n v="5.7"/>
    <n v="0"/>
    <n v="0"/>
    <n v="6.5703266892577075"/>
    <m/>
    <m/>
    <n v="1425"/>
    <n v="0"/>
    <n v="0"/>
    <n v="1642.5816723144269"/>
    <n v="0"/>
    <n v="0"/>
  </r>
  <r>
    <s v="Regular"/>
    <x v="0"/>
    <x v="1"/>
    <x v="1"/>
    <x v="0"/>
    <x v="0"/>
    <x v="1"/>
    <x v="2"/>
    <x v="3"/>
    <n v="6000"/>
    <n v="3000"/>
    <n v="0"/>
    <n v="0"/>
    <n v="0"/>
    <n v="0"/>
    <n v="0"/>
    <x v="1"/>
    <n v="659"/>
    <n v="1"/>
    <n v="0"/>
    <n v="0"/>
    <n v="5.7"/>
    <n v="0"/>
    <n v="0"/>
    <n v="6.5703266892577075"/>
    <m/>
    <m/>
    <n v="17100"/>
    <n v="0"/>
    <n v="0"/>
    <n v="19710.980067773122"/>
    <n v="0"/>
    <n v="0"/>
  </r>
  <r>
    <s v="Regular"/>
    <x v="0"/>
    <x v="1"/>
    <x v="1"/>
    <x v="0"/>
    <x v="0"/>
    <x v="2"/>
    <x v="2"/>
    <x v="3"/>
    <n v="833"/>
    <n v="416.5"/>
    <n v="0"/>
    <n v="0"/>
    <n v="0"/>
    <n v="0"/>
    <n v="0"/>
    <x v="1"/>
    <n v="29592"/>
    <n v="1"/>
    <n v="0"/>
    <n v="0"/>
    <n v="5.7"/>
    <n v="0"/>
    <n v="0"/>
    <n v="6.5703266892577075"/>
    <m/>
    <m/>
    <n v="2374.0500000000002"/>
    <n v="0"/>
    <n v="0"/>
    <n v="2736.5410660758353"/>
    <n v="0"/>
    <n v="0"/>
  </r>
  <r>
    <s v="Regular"/>
    <x v="0"/>
    <x v="1"/>
    <x v="1"/>
    <x v="0"/>
    <x v="0"/>
    <x v="3"/>
    <x v="2"/>
    <x v="3"/>
    <n v="1000"/>
    <n v="500"/>
    <n v="0"/>
    <n v="0"/>
    <n v="0"/>
    <n v="0"/>
    <n v="0"/>
    <x v="1"/>
    <n v="30368"/>
    <n v="1"/>
    <n v="0"/>
    <n v="0"/>
    <n v="5.7"/>
    <n v="0"/>
    <n v="0"/>
    <n v="6.5703266892577075"/>
    <m/>
    <m/>
    <n v="2850"/>
    <n v="0"/>
    <n v="0"/>
    <n v="3285.1633446288538"/>
    <n v="0"/>
    <n v="0"/>
  </r>
  <r>
    <s v="Regular"/>
    <x v="0"/>
    <x v="1"/>
    <x v="1"/>
    <x v="0"/>
    <x v="0"/>
    <x v="4"/>
    <x v="2"/>
    <x v="3"/>
    <n v="3130"/>
    <n v="1565"/>
    <n v="0"/>
    <n v="0"/>
    <n v="0"/>
    <n v="0"/>
    <n v="0"/>
    <x v="1"/>
    <n v="30494"/>
    <n v="1"/>
    <n v="0"/>
    <n v="0"/>
    <n v="5.7"/>
    <n v="0"/>
    <n v="0"/>
    <n v="6.5703266892577075"/>
    <m/>
    <m/>
    <n v="8920.5"/>
    <n v="0"/>
    <n v="0"/>
    <n v="10282.561268688312"/>
    <n v="0"/>
    <n v="0"/>
  </r>
  <r>
    <s v="Regular"/>
    <x v="0"/>
    <x v="1"/>
    <x v="1"/>
    <x v="0"/>
    <x v="0"/>
    <x v="5"/>
    <x v="2"/>
    <x v="3"/>
    <n v="500"/>
    <n v="250"/>
    <n v="0"/>
    <n v="0"/>
    <n v="0"/>
    <n v="0"/>
    <n v="0"/>
    <x v="1"/>
    <n v="27182"/>
    <n v="1"/>
    <n v="0"/>
    <n v="0"/>
    <n v="5.7"/>
    <n v="0"/>
    <n v="0"/>
    <n v="6.5703266892577075"/>
    <m/>
    <m/>
    <n v="1425"/>
    <n v="0"/>
    <n v="0"/>
    <n v="1642.5816723144269"/>
    <n v="0"/>
    <n v="0"/>
  </r>
  <r>
    <s v="Regular"/>
    <x v="0"/>
    <x v="1"/>
    <x v="1"/>
    <x v="0"/>
    <x v="0"/>
    <x v="1"/>
    <x v="2"/>
    <x v="4"/>
    <n v="6000"/>
    <n v="3000"/>
    <n v="0"/>
    <n v="0"/>
    <n v="0"/>
    <n v="0"/>
    <n v="0"/>
    <x v="1"/>
    <n v="659"/>
    <n v="1"/>
    <n v="0"/>
    <n v="0"/>
    <n v="5.7"/>
    <n v="0"/>
    <n v="0"/>
    <n v="6.5703266892577075"/>
    <m/>
    <m/>
    <n v="17100"/>
    <n v="0"/>
    <n v="0"/>
    <n v="19710.980067773122"/>
    <n v="0"/>
    <n v="0"/>
  </r>
  <r>
    <s v="Regular"/>
    <x v="0"/>
    <x v="1"/>
    <x v="1"/>
    <x v="0"/>
    <x v="0"/>
    <x v="2"/>
    <x v="2"/>
    <x v="4"/>
    <n v="833"/>
    <n v="416.5"/>
    <n v="0"/>
    <n v="0"/>
    <n v="0"/>
    <n v="0"/>
    <n v="0"/>
    <x v="1"/>
    <n v="29592"/>
    <n v="1"/>
    <n v="0"/>
    <n v="0"/>
    <n v="5.7"/>
    <n v="0"/>
    <n v="0"/>
    <n v="6.5703266892577075"/>
    <m/>
    <m/>
    <n v="2374.0500000000002"/>
    <n v="0"/>
    <n v="0"/>
    <n v="2736.5410660758353"/>
    <n v="0"/>
    <n v="0"/>
  </r>
  <r>
    <s v="Regular"/>
    <x v="0"/>
    <x v="1"/>
    <x v="1"/>
    <x v="0"/>
    <x v="0"/>
    <x v="3"/>
    <x v="2"/>
    <x v="4"/>
    <n v="1000"/>
    <n v="500"/>
    <n v="0"/>
    <n v="0"/>
    <n v="0"/>
    <n v="0"/>
    <n v="0"/>
    <x v="1"/>
    <n v="30368"/>
    <n v="1"/>
    <n v="0"/>
    <n v="0"/>
    <n v="5.7"/>
    <n v="0"/>
    <n v="0"/>
    <n v="6.5703266892577075"/>
    <m/>
    <m/>
    <n v="2850"/>
    <n v="0"/>
    <n v="0"/>
    <n v="3285.1633446288538"/>
    <n v="0"/>
    <n v="0"/>
  </r>
  <r>
    <s v="Regular"/>
    <x v="0"/>
    <x v="1"/>
    <x v="1"/>
    <x v="0"/>
    <x v="0"/>
    <x v="4"/>
    <x v="2"/>
    <x v="4"/>
    <n v="3130"/>
    <n v="1565"/>
    <n v="0"/>
    <n v="0"/>
    <n v="0"/>
    <n v="0"/>
    <n v="0"/>
    <x v="1"/>
    <n v="30494"/>
    <n v="1"/>
    <n v="0"/>
    <n v="0"/>
    <n v="5.7"/>
    <n v="0"/>
    <n v="0"/>
    <n v="6.5703266892577075"/>
    <m/>
    <m/>
    <n v="8920.5"/>
    <n v="0"/>
    <n v="0"/>
    <n v="10282.561268688312"/>
    <n v="0"/>
    <n v="0"/>
  </r>
  <r>
    <s v="Regular"/>
    <x v="0"/>
    <x v="1"/>
    <x v="1"/>
    <x v="0"/>
    <x v="0"/>
    <x v="5"/>
    <x v="2"/>
    <x v="4"/>
    <n v="500"/>
    <n v="250"/>
    <n v="0"/>
    <n v="0"/>
    <n v="0"/>
    <n v="0"/>
    <n v="0"/>
    <x v="1"/>
    <n v="27182"/>
    <n v="1"/>
    <n v="0"/>
    <n v="0"/>
    <n v="5.7"/>
    <n v="0"/>
    <n v="0"/>
    <n v="6.5703266892577075"/>
    <m/>
    <m/>
    <n v="1425"/>
    <n v="0"/>
    <n v="0"/>
    <n v="1642.5816723144269"/>
    <n v="0"/>
    <n v="0"/>
  </r>
  <r>
    <s v="Regular"/>
    <x v="0"/>
    <x v="1"/>
    <x v="1"/>
    <x v="0"/>
    <x v="0"/>
    <x v="1"/>
    <x v="2"/>
    <x v="5"/>
    <n v="6000"/>
    <n v="3000"/>
    <n v="0"/>
    <n v="0"/>
    <n v="0"/>
    <n v="0"/>
    <n v="0"/>
    <x v="1"/>
    <n v="659"/>
    <n v="1"/>
    <n v="0"/>
    <n v="0"/>
    <n v="5.7"/>
    <n v="0"/>
    <n v="0"/>
    <n v="6.5703266892577075"/>
    <m/>
    <m/>
    <n v="17100"/>
    <n v="0"/>
    <n v="0"/>
    <n v="19710.980067773122"/>
    <n v="0"/>
    <n v="0"/>
  </r>
  <r>
    <s v="Regular"/>
    <x v="0"/>
    <x v="1"/>
    <x v="1"/>
    <x v="0"/>
    <x v="0"/>
    <x v="2"/>
    <x v="2"/>
    <x v="5"/>
    <n v="833"/>
    <n v="416.5"/>
    <n v="0"/>
    <n v="0"/>
    <n v="0"/>
    <n v="0"/>
    <n v="0"/>
    <x v="1"/>
    <n v="29592"/>
    <n v="1"/>
    <n v="0"/>
    <n v="0"/>
    <n v="5.7"/>
    <n v="0"/>
    <n v="0"/>
    <n v="6.5703266892577075"/>
    <m/>
    <m/>
    <n v="2374.0500000000002"/>
    <n v="0"/>
    <n v="0"/>
    <n v="2736.5410660758353"/>
    <n v="0"/>
    <n v="0"/>
  </r>
  <r>
    <s v="Regular"/>
    <x v="0"/>
    <x v="1"/>
    <x v="1"/>
    <x v="0"/>
    <x v="0"/>
    <x v="3"/>
    <x v="2"/>
    <x v="5"/>
    <n v="1000"/>
    <n v="500"/>
    <n v="0"/>
    <n v="0"/>
    <n v="0"/>
    <n v="0"/>
    <n v="0"/>
    <x v="1"/>
    <n v="30368"/>
    <n v="1"/>
    <n v="0"/>
    <n v="0"/>
    <n v="5.7"/>
    <n v="0"/>
    <n v="0"/>
    <n v="6.5703266892577075"/>
    <m/>
    <m/>
    <n v="2850"/>
    <n v="0"/>
    <n v="0"/>
    <n v="3285.1633446288538"/>
    <n v="0"/>
    <n v="0"/>
  </r>
  <r>
    <s v="Regular"/>
    <x v="0"/>
    <x v="1"/>
    <x v="1"/>
    <x v="0"/>
    <x v="0"/>
    <x v="4"/>
    <x v="2"/>
    <x v="5"/>
    <n v="3130"/>
    <n v="1565"/>
    <n v="0"/>
    <n v="0"/>
    <n v="0"/>
    <n v="0"/>
    <n v="0"/>
    <x v="1"/>
    <n v="30494"/>
    <n v="1"/>
    <n v="0"/>
    <n v="0"/>
    <n v="5.7"/>
    <n v="0"/>
    <n v="0"/>
    <n v="6.5703266892577075"/>
    <m/>
    <m/>
    <n v="8920.5"/>
    <n v="0"/>
    <n v="0"/>
    <n v="10282.561268688312"/>
    <n v="0"/>
    <n v="0"/>
  </r>
  <r>
    <s v="Regular"/>
    <x v="0"/>
    <x v="1"/>
    <x v="1"/>
    <x v="0"/>
    <x v="0"/>
    <x v="5"/>
    <x v="2"/>
    <x v="5"/>
    <n v="500"/>
    <n v="250"/>
    <n v="0"/>
    <n v="0"/>
    <n v="0"/>
    <n v="0"/>
    <n v="0"/>
    <x v="1"/>
    <n v="27182"/>
    <n v="1"/>
    <n v="0"/>
    <n v="0"/>
    <n v="5.7"/>
    <n v="0"/>
    <n v="0"/>
    <n v="6.5703266892577075"/>
    <m/>
    <m/>
    <n v="1425"/>
    <n v="0"/>
    <n v="0"/>
    <n v="1642.5816723144269"/>
    <n v="0"/>
    <n v="0"/>
  </r>
  <r>
    <s v="Regular"/>
    <x v="0"/>
    <x v="1"/>
    <x v="1"/>
    <x v="0"/>
    <x v="0"/>
    <x v="1"/>
    <x v="2"/>
    <x v="6"/>
    <n v="6000"/>
    <n v="3000"/>
    <n v="0"/>
    <n v="0"/>
    <n v="0"/>
    <n v="0"/>
    <n v="0"/>
    <x v="1"/>
    <n v="659"/>
    <n v="1"/>
    <n v="0"/>
    <n v="0"/>
    <n v="5.7"/>
    <n v="0"/>
    <n v="0"/>
    <n v="6.5703266892577075"/>
    <m/>
    <m/>
    <n v="17100"/>
    <n v="0"/>
    <n v="0"/>
    <n v="19710.980067773122"/>
    <n v="0"/>
    <n v="0"/>
  </r>
  <r>
    <s v="Regular"/>
    <x v="0"/>
    <x v="1"/>
    <x v="1"/>
    <x v="0"/>
    <x v="0"/>
    <x v="2"/>
    <x v="2"/>
    <x v="6"/>
    <n v="833"/>
    <n v="416.5"/>
    <n v="0"/>
    <n v="0"/>
    <n v="0"/>
    <n v="0"/>
    <n v="0"/>
    <x v="1"/>
    <n v="29592"/>
    <n v="1"/>
    <n v="0"/>
    <n v="0"/>
    <n v="5.7"/>
    <n v="0"/>
    <n v="0"/>
    <n v="6.5703266892577075"/>
    <m/>
    <m/>
    <n v="2374.0500000000002"/>
    <n v="0"/>
    <n v="0"/>
    <n v="2736.5410660758353"/>
    <n v="0"/>
    <n v="0"/>
  </r>
  <r>
    <s v="Regular"/>
    <x v="0"/>
    <x v="1"/>
    <x v="1"/>
    <x v="0"/>
    <x v="0"/>
    <x v="3"/>
    <x v="2"/>
    <x v="6"/>
    <n v="1000"/>
    <n v="500"/>
    <n v="0"/>
    <n v="0"/>
    <n v="0"/>
    <n v="0"/>
    <n v="0"/>
    <x v="1"/>
    <n v="30368"/>
    <n v="1"/>
    <n v="0"/>
    <n v="0"/>
    <n v="5.7"/>
    <n v="0"/>
    <n v="0"/>
    <n v="6.5703266892577075"/>
    <m/>
    <m/>
    <n v="2850"/>
    <n v="0"/>
    <n v="0"/>
    <n v="3285.1633446288538"/>
    <n v="0"/>
    <n v="0"/>
  </r>
  <r>
    <s v="Regular"/>
    <x v="0"/>
    <x v="1"/>
    <x v="1"/>
    <x v="0"/>
    <x v="0"/>
    <x v="4"/>
    <x v="2"/>
    <x v="6"/>
    <n v="3130"/>
    <n v="1565"/>
    <n v="0"/>
    <n v="0"/>
    <n v="0"/>
    <n v="0"/>
    <n v="0"/>
    <x v="1"/>
    <n v="30494"/>
    <n v="1"/>
    <n v="0"/>
    <n v="0"/>
    <n v="5.7"/>
    <n v="0"/>
    <n v="0"/>
    <n v="6.5703266892577075"/>
    <m/>
    <m/>
    <n v="8920.5"/>
    <n v="0"/>
    <n v="0"/>
    <n v="10282.561268688312"/>
    <n v="0"/>
    <n v="0"/>
  </r>
  <r>
    <s v="Regular"/>
    <x v="0"/>
    <x v="1"/>
    <x v="1"/>
    <x v="0"/>
    <x v="0"/>
    <x v="5"/>
    <x v="2"/>
    <x v="6"/>
    <n v="500"/>
    <n v="250"/>
    <n v="0"/>
    <n v="0"/>
    <n v="0"/>
    <n v="0"/>
    <n v="0"/>
    <x v="1"/>
    <n v="27182"/>
    <n v="1"/>
    <n v="0"/>
    <n v="0"/>
    <n v="5.7"/>
    <n v="0"/>
    <n v="0"/>
    <n v="6.5703266892577075"/>
    <m/>
    <m/>
    <n v="1425"/>
    <n v="0"/>
    <n v="0"/>
    <n v="1642.5816723144269"/>
    <n v="0"/>
    <n v="0"/>
  </r>
  <r>
    <s v="Regular"/>
    <x v="0"/>
    <x v="1"/>
    <x v="1"/>
    <x v="0"/>
    <x v="0"/>
    <x v="1"/>
    <x v="2"/>
    <x v="7"/>
    <n v="6000"/>
    <n v="3000"/>
    <n v="0"/>
    <n v="0"/>
    <n v="0"/>
    <n v="0"/>
    <n v="0"/>
    <x v="1"/>
    <n v="659"/>
    <n v="1"/>
    <n v="0"/>
    <n v="0"/>
    <n v="5.7"/>
    <n v="0"/>
    <n v="0"/>
    <n v="6.5703266892577075"/>
    <m/>
    <m/>
    <n v="17100"/>
    <n v="0"/>
    <n v="0"/>
    <n v="19710.980067773122"/>
    <n v="0"/>
    <n v="0"/>
  </r>
  <r>
    <s v="Regular"/>
    <x v="0"/>
    <x v="1"/>
    <x v="1"/>
    <x v="0"/>
    <x v="0"/>
    <x v="2"/>
    <x v="2"/>
    <x v="7"/>
    <n v="833"/>
    <n v="416.5"/>
    <n v="0"/>
    <n v="0"/>
    <n v="0"/>
    <n v="0"/>
    <n v="0"/>
    <x v="1"/>
    <n v="29592"/>
    <n v="1"/>
    <n v="0"/>
    <n v="0"/>
    <n v="5.7"/>
    <n v="0"/>
    <n v="0"/>
    <n v="6.5703266892577075"/>
    <m/>
    <m/>
    <n v="2374.0500000000002"/>
    <n v="0"/>
    <n v="0"/>
    <n v="2736.5410660758353"/>
    <n v="0"/>
    <n v="0"/>
  </r>
  <r>
    <s v="Regular"/>
    <x v="0"/>
    <x v="1"/>
    <x v="1"/>
    <x v="0"/>
    <x v="0"/>
    <x v="3"/>
    <x v="2"/>
    <x v="7"/>
    <n v="1000"/>
    <n v="500"/>
    <n v="0"/>
    <n v="0"/>
    <n v="0"/>
    <n v="0"/>
    <n v="0"/>
    <x v="1"/>
    <n v="30368"/>
    <n v="1"/>
    <n v="0"/>
    <n v="0"/>
    <n v="5.7"/>
    <n v="0"/>
    <n v="0"/>
    <n v="6.5703266892577075"/>
    <m/>
    <m/>
    <n v="2850"/>
    <n v="0"/>
    <n v="0"/>
    <n v="3285.1633446288538"/>
    <n v="0"/>
    <n v="0"/>
  </r>
  <r>
    <s v="Regular"/>
    <x v="0"/>
    <x v="1"/>
    <x v="1"/>
    <x v="0"/>
    <x v="0"/>
    <x v="4"/>
    <x v="2"/>
    <x v="7"/>
    <n v="3130"/>
    <n v="1565"/>
    <n v="0"/>
    <n v="0"/>
    <n v="0"/>
    <n v="0"/>
    <n v="0"/>
    <x v="1"/>
    <n v="30494"/>
    <n v="1"/>
    <n v="0"/>
    <n v="0"/>
    <n v="5.7"/>
    <n v="0"/>
    <n v="0"/>
    <n v="6.5703266892577075"/>
    <m/>
    <m/>
    <n v="8920.5"/>
    <n v="0"/>
    <n v="0"/>
    <n v="10282.561268688312"/>
    <n v="0"/>
    <n v="0"/>
  </r>
  <r>
    <s v="Regular"/>
    <x v="0"/>
    <x v="1"/>
    <x v="1"/>
    <x v="0"/>
    <x v="0"/>
    <x v="5"/>
    <x v="2"/>
    <x v="7"/>
    <n v="500"/>
    <n v="250"/>
    <n v="0"/>
    <n v="0"/>
    <n v="0"/>
    <n v="0"/>
    <n v="0"/>
    <x v="1"/>
    <n v="27182"/>
    <n v="1"/>
    <n v="0"/>
    <n v="0"/>
    <n v="5.7"/>
    <n v="0"/>
    <n v="0"/>
    <n v="6.5703266892577075"/>
    <m/>
    <m/>
    <n v="1425"/>
    <n v="0"/>
    <n v="0"/>
    <n v="1642.5816723144269"/>
    <n v="0"/>
    <n v="0"/>
  </r>
  <r>
    <s v="Regular"/>
    <x v="0"/>
    <x v="1"/>
    <x v="1"/>
    <x v="0"/>
    <x v="0"/>
    <x v="1"/>
    <x v="2"/>
    <x v="8"/>
    <n v="6000"/>
    <n v="3000"/>
    <n v="0"/>
    <n v="0"/>
    <n v="0"/>
    <n v="0"/>
    <n v="0"/>
    <x v="1"/>
    <n v="659"/>
    <n v="1"/>
    <n v="0"/>
    <n v="0"/>
    <n v="5.7"/>
    <n v="0"/>
    <n v="0"/>
    <n v="6.5703266892577075"/>
    <m/>
    <m/>
    <n v="17100"/>
    <n v="0"/>
    <n v="0"/>
    <n v="19710.980067773122"/>
    <n v="0"/>
    <n v="0"/>
  </r>
  <r>
    <s v="Regular"/>
    <x v="0"/>
    <x v="1"/>
    <x v="1"/>
    <x v="0"/>
    <x v="0"/>
    <x v="2"/>
    <x v="2"/>
    <x v="8"/>
    <n v="833"/>
    <n v="416.5"/>
    <n v="0"/>
    <n v="0"/>
    <n v="0"/>
    <n v="0"/>
    <n v="0"/>
    <x v="1"/>
    <n v="29592"/>
    <n v="1"/>
    <n v="0"/>
    <n v="0"/>
    <n v="5.7"/>
    <n v="0"/>
    <n v="0"/>
    <n v="6.5703266892577075"/>
    <m/>
    <m/>
    <n v="2374.0500000000002"/>
    <n v="0"/>
    <n v="0"/>
    <n v="2736.5410660758353"/>
    <n v="0"/>
    <n v="0"/>
  </r>
  <r>
    <s v="Regular"/>
    <x v="0"/>
    <x v="1"/>
    <x v="1"/>
    <x v="0"/>
    <x v="0"/>
    <x v="3"/>
    <x v="2"/>
    <x v="8"/>
    <n v="1000"/>
    <n v="500"/>
    <n v="0"/>
    <n v="0"/>
    <n v="0"/>
    <n v="0"/>
    <n v="0"/>
    <x v="1"/>
    <n v="30368"/>
    <n v="1"/>
    <n v="0"/>
    <n v="0"/>
    <n v="5.7"/>
    <n v="0"/>
    <n v="0"/>
    <n v="6.5703266892577075"/>
    <m/>
    <m/>
    <n v="2850"/>
    <n v="0"/>
    <n v="0"/>
    <n v="3285.1633446288538"/>
    <n v="0"/>
    <n v="0"/>
  </r>
  <r>
    <s v="Regular"/>
    <x v="0"/>
    <x v="1"/>
    <x v="1"/>
    <x v="0"/>
    <x v="0"/>
    <x v="4"/>
    <x v="2"/>
    <x v="8"/>
    <n v="3130"/>
    <n v="1565"/>
    <n v="0"/>
    <n v="0"/>
    <n v="0"/>
    <n v="0"/>
    <n v="0"/>
    <x v="1"/>
    <n v="30494"/>
    <n v="1"/>
    <n v="0"/>
    <n v="0"/>
    <n v="5.7"/>
    <n v="0"/>
    <n v="0"/>
    <n v="6.5703266892577075"/>
    <m/>
    <m/>
    <n v="8920.5"/>
    <n v="0"/>
    <n v="0"/>
    <n v="10282.561268688312"/>
    <n v="0"/>
    <n v="0"/>
  </r>
  <r>
    <s v="Regular"/>
    <x v="0"/>
    <x v="1"/>
    <x v="1"/>
    <x v="0"/>
    <x v="0"/>
    <x v="5"/>
    <x v="2"/>
    <x v="8"/>
    <n v="500"/>
    <n v="250"/>
    <n v="0"/>
    <n v="0"/>
    <n v="0"/>
    <n v="0"/>
    <n v="0"/>
    <x v="1"/>
    <n v="27182"/>
    <n v="1"/>
    <n v="0"/>
    <n v="0"/>
    <n v="5.7"/>
    <n v="0"/>
    <n v="0"/>
    <n v="6.5703266892577075"/>
    <m/>
    <m/>
    <n v="1425"/>
    <n v="0"/>
    <n v="0"/>
    <n v="1642.5816723144269"/>
    <n v="0"/>
    <n v="0"/>
  </r>
  <r>
    <s v="Regular"/>
    <x v="0"/>
    <x v="1"/>
    <x v="1"/>
    <x v="0"/>
    <x v="0"/>
    <x v="1"/>
    <x v="2"/>
    <x v="9"/>
    <n v="6000"/>
    <n v="3000"/>
    <n v="0"/>
    <n v="0"/>
    <n v="0"/>
    <n v="0"/>
    <n v="0"/>
    <x v="1"/>
    <n v="659"/>
    <n v="1"/>
    <n v="0"/>
    <n v="0"/>
    <n v="5.7"/>
    <n v="0"/>
    <n v="0"/>
    <n v="6.5703266892577075"/>
    <m/>
    <m/>
    <n v="17100"/>
    <n v="0"/>
    <n v="0"/>
    <n v="19710.980067773122"/>
    <n v="0"/>
    <n v="0"/>
  </r>
  <r>
    <s v="Regular"/>
    <x v="0"/>
    <x v="1"/>
    <x v="1"/>
    <x v="0"/>
    <x v="0"/>
    <x v="2"/>
    <x v="2"/>
    <x v="9"/>
    <n v="833"/>
    <n v="416.5"/>
    <n v="0"/>
    <n v="0"/>
    <n v="0"/>
    <n v="0"/>
    <n v="0"/>
    <x v="1"/>
    <n v="29592"/>
    <n v="1"/>
    <n v="0"/>
    <n v="0"/>
    <n v="5.7"/>
    <n v="0"/>
    <n v="0"/>
    <n v="6.5703266892577075"/>
    <m/>
    <m/>
    <n v="2374.0500000000002"/>
    <n v="0"/>
    <n v="0"/>
    <n v="2736.5410660758353"/>
    <n v="0"/>
    <n v="0"/>
  </r>
  <r>
    <s v="Regular"/>
    <x v="0"/>
    <x v="1"/>
    <x v="1"/>
    <x v="0"/>
    <x v="0"/>
    <x v="3"/>
    <x v="2"/>
    <x v="9"/>
    <n v="1000"/>
    <n v="500"/>
    <n v="0"/>
    <n v="0"/>
    <n v="0"/>
    <n v="0"/>
    <n v="0"/>
    <x v="1"/>
    <n v="30368"/>
    <n v="1"/>
    <n v="0"/>
    <n v="0"/>
    <n v="5.7"/>
    <n v="0"/>
    <n v="0"/>
    <n v="6.5703266892577075"/>
    <m/>
    <m/>
    <n v="2850"/>
    <n v="0"/>
    <n v="0"/>
    <n v="3285.1633446288538"/>
    <n v="0"/>
    <n v="0"/>
  </r>
  <r>
    <s v="Regular"/>
    <x v="0"/>
    <x v="1"/>
    <x v="1"/>
    <x v="0"/>
    <x v="0"/>
    <x v="4"/>
    <x v="2"/>
    <x v="9"/>
    <n v="3130"/>
    <n v="1565"/>
    <n v="0"/>
    <n v="0"/>
    <n v="0"/>
    <n v="0"/>
    <n v="0"/>
    <x v="1"/>
    <n v="30494"/>
    <n v="1"/>
    <n v="0"/>
    <n v="0"/>
    <n v="5.7"/>
    <n v="0"/>
    <n v="0"/>
    <n v="6.5703266892577075"/>
    <m/>
    <m/>
    <n v="8920.5"/>
    <n v="0"/>
    <n v="0"/>
    <n v="10282.561268688312"/>
    <n v="0"/>
    <n v="0"/>
  </r>
  <r>
    <s v="Regular"/>
    <x v="0"/>
    <x v="1"/>
    <x v="1"/>
    <x v="0"/>
    <x v="0"/>
    <x v="5"/>
    <x v="2"/>
    <x v="9"/>
    <n v="500"/>
    <n v="250"/>
    <n v="0"/>
    <n v="0"/>
    <n v="0"/>
    <n v="0"/>
    <n v="0"/>
    <x v="1"/>
    <n v="27182"/>
    <n v="1"/>
    <n v="0"/>
    <n v="0"/>
    <n v="5.7"/>
    <n v="0"/>
    <n v="0"/>
    <n v="6.5703266892577075"/>
    <m/>
    <m/>
    <n v="1425"/>
    <n v="0"/>
    <n v="0"/>
    <n v="1642.5816723144269"/>
    <n v="0"/>
    <n v="0"/>
  </r>
  <r>
    <s v="Regular"/>
    <x v="0"/>
    <x v="1"/>
    <x v="1"/>
    <x v="0"/>
    <x v="0"/>
    <x v="1"/>
    <x v="2"/>
    <x v="10"/>
    <n v="6000"/>
    <n v="3000"/>
    <n v="0"/>
    <n v="0"/>
    <n v="0"/>
    <n v="0"/>
    <n v="0"/>
    <x v="1"/>
    <n v="659"/>
    <n v="1"/>
    <n v="0"/>
    <n v="0"/>
    <n v="5.7"/>
    <n v="0"/>
    <n v="0"/>
    <n v="6.5703266892577075"/>
    <m/>
    <m/>
    <n v="17100"/>
    <n v="0"/>
    <n v="0"/>
    <n v="19710.980067773122"/>
    <n v="0"/>
    <n v="0"/>
  </r>
  <r>
    <s v="Regular"/>
    <x v="0"/>
    <x v="1"/>
    <x v="1"/>
    <x v="0"/>
    <x v="0"/>
    <x v="2"/>
    <x v="2"/>
    <x v="10"/>
    <n v="833"/>
    <n v="416.5"/>
    <n v="0"/>
    <n v="0"/>
    <n v="0"/>
    <n v="0"/>
    <n v="0"/>
    <x v="1"/>
    <n v="29592"/>
    <n v="1"/>
    <n v="0"/>
    <n v="0"/>
    <n v="5.7"/>
    <n v="0"/>
    <n v="0"/>
    <n v="6.5703266892577075"/>
    <m/>
    <m/>
    <n v="2374.0500000000002"/>
    <n v="0"/>
    <n v="0"/>
    <n v="2736.5410660758353"/>
    <n v="0"/>
    <n v="0"/>
  </r>
  <r>
    <s v="Regular"/>
    <x v="0"/>
    <x v="1"/>
    <x v="1"/>
    <x v="0"/>
    <x v="0"/>
    <x v="3"/>
    <x v="2"/>
    <x v="10"/>
    <n v="1000"/>
    <n v="500"/>
    <n v="0"/>
    <n v="0"/>
    <n v="0"/>
    <n v="0"/>
    <n v="0"/>
    <x v="1"/>
    <n v="30368"/>
    <n v="1"/>
    <n v="0"/>
    <n v="0"/>
    <n v="5.7"/>
    <n v="0"/>
    <n v="0"/>
    <n v="6.5703266892577075"/>
    <m/>
    <m/>
    <n v="2850"/>
    <n v="0"/>
    <n v="0"/>
    <n v="3285.1633446288538"/>
    <n v="0"/>
    <n v="0"/>
  </r>
  <r>
    <s v="Regular"/>
    <x v="0"/>
    <x v="1"/>
    <x v="1"/>
    <x v="0"/>
    <x v="0"/>
    <x v="4"/>
    <x v="2"/>
    <x v="10"/>
    <n v="3130"/>
    <n v="1565"/>
    <n v="0"/>
    <n v="0"/>
    <n v="0"/>
    <n v="0"/>
    <n v="0"/>
    <x v="1"/>
    <n v="30494"/>
    <n v="1"/>
    <n v="0"/>
    <n v="0"/>
    <n v="5.7"/>
    <n v="0"/>
    <n v="0"/>
    <n v="6.5703266892577075"/>
    <m/>
    <m/>
    <n v="8920.5"/>
    <n v="0"/>
    <n v="0"/>
    <n v="10282.561268688312"/>
    <n v="0"/>
    <n v="0"/>
  </r>
  <r>
    <s v="Regular"/>
    <x v="0"/>
    <x v="1"/>
    <x v="1"/>
    <x v="0"/>
    <x v="0"/>
    <x v="5"/>
    <x v="2"/>
    <x v="10"/>
    <n v="500"/>
    <n v="250"/>
    <n v="0"/>
    <n v="0"/>
    <n v="0"/>
    <n v="0"/>
    <n v="0"/>
    <x v="1"/>
    <n v="27182"/>
    <n v="1"/>
    <n v="0"/>
    <n v="0"/>
    <n v="5.7"/>
    <n v="0"/>
    <n v="0"/>
    <n v="6.5703266892577075"/>
    <m/>
    <m/>
    <n v="1425"/>
    <n v="0"/>
    <n v="0"/>
    <n v="1642.5816723144269"/>
    <n v="0"/>
    <n v="0"/>
  </r>
  <r>
    <s v="PROJETADO"/>
    <x v="0"/>
    <x v="1"/>
    <x v="1"/>
    <x v="0"/>
    <x v="0"/>
    <x v="1"/>
    <x v="2"/>
    <x v="11"/>
    <n v="6000"/>
    <n v="3000"/>
    <n v="0"/>
    <n v="0"/>
    <n v="0"/>
    <n v="0"/>
    <n v="0"/>
    <x v="1"/>
    <n v="659"/>
    <n v="1"/>
    <n v="0"/>
    <n v="0"/>
    <n v="5.7"/>
    <n v="0"/>
    <n v="0"/>
    <n v="6.5703266892577075"/>
    <m/>
    <m/>
    <n v="17100"/>
    <n v="0"/>
    <n v="0"/>
    <n v="19710.980067773122"/>
    <n v="0"/>
    <n v="0"/>
  </r>
  <r>
    <s v="PROJETADO"/>
    <x v="0"/>
    <x v="1"/>
    <x v="1"/>
    <x v="0"/>
    <x v="0"/>
    <x v="2"/>
    <x v="2"/>
    <x v="11"/>
    <n v="833"/>
    <n v="416.5"/>
    <n v="0"/>
    <n v="0"/>
    <n v="0"/>
    <n v="0"/>
    <n v="0"/>
    <x v="1"/>
    <n v="29592"/>
    <n v="1"/>
    <n v="0"/>
    <n v="0"/>
    <n v="5.7"/>
    <n v="0"/>
    <n v="0"/>
    <n v="6.5703266892577075"/>
    <m/>
    <m/>
    <n v="2374.0500000000002"/>
    <n v="0"/>
    <n v="0"/>
    <n v="2736.5410660758353"/>
    <n v="0"/>
    <n v="0"/>
  </r>
  <r>
    <s v="PROJETADO"/>
    <x v="0"/>
    <x v="1"/>
    <x v="1"/>
    <x v="0"/>
    <x v="0"/>
    <x v="3"/>
    <x v="2"/>
    <x v="11"/>
    <n v="1000"/>
    <n v="500"/>
    <n v="0"/>
    <n v="0"/>
    <n v="0"/>
    <n v="0"/>
    <n v="0"/>
    <x v="1"/>
    <n v="30368"/>
    <n v="1"/>
    <n v="0"/>
    <n v="0"/>
    <n v="5.7"/>
    <n v="0"/>
    <n v="0"/>
    <n v="6.5703266892577075"/>
    <m/>
    <m/>
    <n v="2850"/>
    <n v="0"/>
    <n v="0"/>
    <n v="3285.1633446288538"/>
    <n v="0"/>
    <n v="0"/>
  </r>
  <r>
    <s v="PROJETADO"/>
    <x v="0"/>
    <x v="1"/>
    <x v="1"/>
    <x v="0"/>
    <x v="0"/>
    <x v="4"/>
    <x v="2"/>
    <x v="11"/>
    <n v="3130"/>
    <n v="1565"/>
    <n v="0"/>
    <n v="0"/>
    <n v="0"/>
    <n v="0"/>
    <n v="0"/>
    <x v="1"/>
    <n v="30494"/>
    <n v="1"/>
    <n v="0"/>
    <n v="0"/>
    <n v="5.7"/>
    <n v="0"/>
    <n v="0"/>
    <n v="6.5703266892577075"/>
    <m/>
    <m/>
    <n v="8920.5"/>
    <n v="0"/>
    <n v="0"/>
    <n v="10282.561268688312"/>
    <n v="0"/>
    <n v="0"/>
  </r>
  <r>
    <s v="PROJETADO"/>
    <x v="0"/>
    <x v="1"/>
    <x v="1"/>
    <x v="0"/>
    <x v="0"/>
    <x v="5"/>
    <x v="2"/>
    <x v="11"/>
    <n v="500"/>
    <n v="250"/>
    <n v="0"/>
    <n v="0"/>
    <n v="0"/>
    <n v="0"/>
    <n v="0"/>
    <x v="1"/>
    <n v="27182"/>
    <n v="1"/>
    <n v="0"/>
    <n v="0"/>
    <n v="5.7"/>
    <n v="0"/>
    <n v="0"/>
    <n v="6.5703266892577075"/>
    <m/>
    <m/>
    <n v="1425"/>
    <n v="0"/>
    <n v="0"/>
    <n v="1642.5816723144269"/>
    <n v="0"/>
    <n v="0"/>
  </r>
  <r>
    <s v="Regular"/>
    <x v="0"/>
    <x v="2"/>
    <x v="0"/>
    <x v="0"/>
    <x v="1"/>
    <x v="0"/>
    <x v="0"/>
    <x v="0"/>
    <n v="0"/>
    <n v="0"/>
    <n v="443.71600000000001"/>
    <n v="0"/>
    <n v="0"/>
    <n v="0"/>
    <n v="0"/>
    <x v="2"/>
    <n v="0"/>
    <n v="0"/>
    <n v="3"/>
    <n v="0"/>
    <n v="0"/>
    <n v="80.73"/>
    <n v="0"/>
    <m/>
    <n v="109.15710156873617"/>
    <m/>
    <n v="0"/>
    <n v="0"/>
    <n v="0"/>
    <n v="0"/>
    <n v="0"/>
    <n v="0"/>
  </r>
  <r>
    <s v="Regular"/>
    <x v="0"/>
    <x v="2"/>
    <x v="0"/>
    <x v="0"/>
    <x v="1"/>
    <x v="0"/>
    <x v="0"/>
    <x v="1"/>
    <n v="0"/>
    <n v="0"/>
    <n v="417.69299999999998"/>
    <n v="0"/>
    <n v="0"/>
    <n v="0"/>
    <n v="0"/>
    <x v="2"/>
    <n v="0"/>
    <n v="0"/>
    <n v="3"/>
    <n v="0"/>
    <n v="0"/>
    <n v="80.73"/>
    <n v="0"/>
    <m/>
    <n v="109.15710156873617"/>
    <m/>
    <n v="0"/>
    <n v="0"/>
    <n v="0"/>
    <n v="0"/>
    <n v="0"/>
    <n v="0"/>
  </r>
  <r>
    <s v="Regular"/>
    <x v="0"/>
    <x v="2"/>
    <x v="0"/>
    <x v="0"/>
    <x v="1"/>
    <x v="0"/>
    <x v="0"/>
    <x v="2"/>
    <n v="0"/>
    <n v="0"/>
    <n v="468.78100000000001"/>
    <n v="0"/>
    <n v="0"/>
    <n v="0"/>
    <n v="0"/>
    <x v="2"/>
    <n v="0"/>
    <n v="0"/>
    <n v="3"/>
    <n v="0"/>
    <n v="0"/>
    <n v="80.73"/>
    <n v="0"/>
    <m/>
    <n v="109.15710156873617"/>
    <m/>
    <n v="0"/>
    <n v="0"/>
    <n v="0"/>
    <n v="0"/>
    <n v="0"/>
    <n v="0"/>
  </r>
  <r>
    <s v="Regular"/>
    <x v="0"/>
    <x v="2"/>
    <x v="0"/>
    <x v="0"/>
    <x v="1"/>
    <x v="0"/>
    <x v="0"/>
    <x v="3"/>
    <n v="0"/>
    <n v="0"/>
    <n v="527.327"/>
    <n v="0"/>
    <n v="0"/>
    <n v="0"/>
    <n v="0"/>
    <x v="2"/>
    <n v="0"/>
    <n v="0"/>
    <n v="3"/>
    <n v="0"/>
    <n v="0"/>
    <n v="80.73"/>
    <n v="0"/>
    <m/>
    <n v="109.15710156873617"/>
    <m/>
    <n v="0"/>
    <n v="0"/>
    <n v="0"/>
    <n v="0"/>
    <n v="0"/>
    <n v="0"/>
  </r>
  <r>
    <s v="Regular"/>
    <x v="0"/>
    <x v="2"/>
    <x v="0"/>
    <x v="0"/>
    <x v="1"/>
    <x v="0"/>
    <x v="0"/>
    <x v="4"/>
    <n v="0"/>
    <n v="0"/>
    <n v="499.678"/>
    <n v="0"/>
    <n v="0"/>
    <n v="0"/>
    <n v="0"/>
    <x v="2"/>
    <n v="0"/>
    <n v="0"/>
    <n v="3"/>
    <n v="0"/>
    <n v="0"/>
    <n v="80.73"/>
    <n v="0"/>
    <m/>
    <n v="109.15710156873617"/>
    <m/>
    <n v="0"/>
    <n v="0"/>
    <n v="0"/>
    <n v="0"/>
    <n v="0"/>
    <n v="0"/>
  </r>
  <r>
    <s v="Regular"/>
    <x v="0"/>
    <x v="2"/>
    <x v="0"/>
    <x v="0"/>
    <x v="1"/>
    <x v="0"/>
    <x v="0"/>
    <x v="5"/>
    <n v="0"/>
    <n v="0"/>
    <n v="418.81700000000001"/>
    <n v="0"/>
    <n v="0"/>
    <n v="0"/>
    <n v="0"/>
    <x v="2"/>
    <n v="0"/>
    <n v="0"/>
    <n v="3"/>
    <n v="0"/>
    <n v="0"/>
    <n v="80.73"/>
    <n v="0"/>
    <m/>
    <n v="109.15710156873617"/>
    <m/>
    <n v="0"/>
    <n v="0"/>
    <n v="0"/>
    <n v="0"/>
    <n v="0"/>
    <n v="0"/>
  </r>
  <r>
    <s v="Regular"/>
    <x v="0"/>
    <x v="2"/>
    <x v="0"/>
    <x v="0"/>
    <x v="1"/>
    <x v="0"/>
    <x v="0"/>
    <x v="6"/>
    <n v="0"/>
    <n v="0"/>
    <n v="501.51100000000002"/>
    <n v="0"/>
    <n v="0"/>
    <n v="0"/>
    <n v="0"/>
    <x v="2"/>
    <n v="0"/>
    <n v="0"/>
    <n v="3"/>
    <n v="0"/>
    <n v="0"/>
    <n v="80.73"/>
    <n v="0"/>
    <m/>
    <n v="109.15710156873617"/>
    <m/>
    <n v="0"/>
    <n v="0"/>
    <n v="0"/>
    <n v="0"/>
    <n v="0"/>
    <n v="0"/>
  </r>
  <r>
    <s v="Regular"/>
    <x v="0"/>
    <x v="2"/>
    <x v="0"/>
    <x v="0"/>
    <x v="1"/>
    <x v="0"/>
    <x v="0"/>
    <x v="7"/>
    <n v="0"/>
    <n v="0"/>
    <n v="396.36"/>
    <n v="0"/>
    <n v="0"/>
    <n v="0"/>
    <n v="0"/>
    <x v="2"/>
    <n v="0"/>
    <n v="0"/>
    <n v="3"/>
    <n v="0"/>
    <n v="0"/>
    <n v="80.73"/>
    <n v="0"/>
    <m/>
    <n v="109.15710156873617"/>
    <m/>
    <n v="0"/>
    <n v="0"/>
    <n v="0"/>
    <n v="0"/>
    <n v="0"/>
    <n v="0"/>
  </r>
  <r>
    <s v="Regular"/>
    <x v="0"/>
    <x v="2"/>
    <x v="0"/>
    <x v="0"/>
    <x v="1"/>
    <x v="0"/>
    <x v="0"/>
    <x v="8"/>
    <n v="0"/>
    <n v="0"/>
    <n v="381.33199999999999"/>
    <n v="0"/>
    <n v="0"/>
    <n v="0"/>
    <n v="0"/>
    <x v="2"/>
    <n v="0"/>
    <n v="0"/>
    <n v="3"/>
    <n v="0"/>
    <n v="0"/>
    <n v="80.73"/>
    <n v="0"/>
    <m/>
    <n v="109.15710156873617"/>
    <m/>
    <n v="0"/>
    <n v="0"/>
    <n v="0"/>
    <n v="0"/>
    <n v="0"/>
    <n v="0"/>
  </r>
  <r>
    <s v="Regular"/>
    <x v="0"/>
    <x v="2"/>
    <x v="0"/>
    <x v="0"/>
    <x v="1"/>
    <x v="0"/>
    <x v="0"/>
    <x v="9"/>
    <n v="0"/>
    <n v="0"/>
    <n v="352.99900000000002"/>
    <n v="0"/>
    <n v="0"/>
    <n v="0"/>
    <n v="0"/>
    <x v="2"/>
    <n v="0"/>
    <n v="0"/>
    <n v="3"/>
    <n v="0"/>
    <n v="0"/>
    <n v="80.73"/>
    <n v="0"/>
    <m/>
    <n v="109.15710156873617"/>
    <m/>
    <n v="0"/>
    <n v="0"/>
    <n v="0"/>
    <n v="0"/>
    <n v="0"/>
    <n v="0"/>
  </r>
  <r>
    <s v="Regular"/>
    <x v="0"/>
    <x v="2"/>
    <x v="0"/>
    <x v="0"/>
    <x v="1"/>
    <x v="0"/>
    <x v="0"/>
    <x v="10"/>
    <n v="0"/>
    <n v="0"/>
    <n v="494.959"/>
    <n v="0"/>
    <n v="0"/>
    <n v="0"/>
    <n v="0"/>
    <x v="2"/>
    <n v="0"/>
    <n v="0"/>
    <n v="3"/>
    <n v="0"/>
    <n v="0"/>
    <n v="80.73"/>
    <n v="0"/>
    <m/>
    <n v="109.15710156873617"/>
    <m/>
    <n v="0"/>
    <n v="0"/>
    <n v="0"/>
    <n v="0"/>
    <n v="0"/>
    <n v="0"/>
  </r>
  <r>
    <s v="PROJETADO"/>
    <x v="0"/>
    <x v="2"/>
    <x v="0"/>
    <x v="0"/>
    <x v="1"/>
    <x v="0"/>
    <x v="0"/>
    <x v="11"/>
    <n v="0"/>
    <n v="0"/>
    <n v="494.959"/>
    <n v="0"/>
    <n v="0"/>
    <n v="0"/>
    <n v="0"/>
    <x v="2"/>
    <n v="0"/>
    <n v="0"/>
    <n v="3"/>
    <n v="0"/>
    <n v="0"/>
    <n v="80.73"/>
    <n v="0"/>
    <m/>
    <n v="109.15710156873617"/>
    <m/>
    <n v="0"/>
    <n v="0"/>
    <n v="0"/>
    <n v="0"/>
    <n v="0"/>
    <n v="0"/>
  </r>
  <r>
    <s v="Regular"/>
    <x v="0"/>
    <x v="2"/>
    <x v="0"/>
    <x v="0"/>
    <x v="1"/>
    <x v="0"/>
    <x v="2"/>
    <x v="0"/>
    <n v="1446"/>
    <n v="320.05078595999998"/>
    <n v="0"/>
    <n v="0"/>
    <n v="0"/>
    <n v="0"/>
    <n v="2"/>
    <x v="2"/>
    <n v="0"/>
    <n v="5"/>
    <n v="0"/>
    <n v="0"/>
    <n v="20.34"/>
    <n v="0"/>
    <n v="0"/>
    <n v="22.882430152149013"/>
    <m/>
    <m/>
    <n v="6509.8329864263997"/>
    <n v="0"/>
    <n v="0"/>
    <n v="7323.5397548700939"/>
    <n v="0"/>
    <n v="0"/>
  </r>
  <r>
    <s v="Regular"/>
    <x v="0"/>
    <x v="2"/>
    <x v="0"/>
    <x v="0"/>
    <x v="1"/>
    <x v="0"/>
    <x v="2"/>
    <x v="1"/>
    <n v="1460"/>
    <n v="329.7212462"/>
    <n v="0"/>
    <n v="0"/>
    <n v="0"/>
    <n v="0"/>
    <n v="2"/>
    <x v="2"/>
    <n v="0"/>
    <n v="5"/>
    <n v="0"/>
    <n v="0"/>
    <n v="20.34"/>
    <n v="0"/>
    <n v="0"/>
    <n v="22.882430152149013"/>
    <m/>
    <m/>
    <n v="6706.5301477080002"/>
    <n v="0"/>
    <n v="0"/>
    <n v="7544.8233858510284"/>
    <n v="0"/>
    <n v="0"/>
  </r>
  <r>
    <s v="Regular"/>
    <x v="0"/>
    <x v="2"/>
    <x v="0"/>
    <x v="0"/>
    <x v="1"/>
    <x v="0"/>
    <x v="2"/>
    <x v="2"/>
    <n v="1661"/>
    <n v="398.42132935000001"/>
    <n v="0"/>
    <n v="0"/>
    <n v="0"/>
    <n v="0"/>
    <n v="2"/>
    <x v="2"/>
    <n v="0"/>
    <n v="5"/>
    <n v="0"/>
    <n v="0"/>
    <n v="20.34"/>
    <n v="0"/>
    <n v="0"/>
    <n v="22.882430152149013"/>
    <m/>
    <m/>
    <n v="8103.8898389790002"/>
    <n v="0"/>
    <n v="0"/>
    <n v="9116.8482399777331"/>
    <n v="0"/>
    <n v="0"/>
  </r>
  <r>
    <s v="Regular"/>
    <x v="0"/>
    <x v="2"/>
    <x v="0"/>
    <x v="0"/>
    <x v="1"/>
    <x v="0"/>
    <x v="2"/>
    <x v="3"/>
    <n v="1729"/>
    <n v="417.51523723000003"/>
    <n v="0"/>
    <n v="0"/>
    <n v="0"/>
    <n v="0"/>
    <n v="2"/>
    <x v="2"/>
    <n v="0"/>
    <n v="5"/>
    <n v="0"/>
    <n v="0"/>
    <n v="20.34"/>
    <n v="0"/>
    <n v="0"/>
    <n v="22.882430152149013"/>
    <m/>
    <m/>
    <n v="8492.2599252582004"/>
    <n v="0"/>
    <n v="0"/>
    <n v="9553.7632533734013"/>
    <n v="0"/>
    <n v="0"/>
  </r>
  <r>
    <s v="Regular"/>
    <x v="0"/>
    <x v="2"/>
    <x v="0"/>
    <x v="0"/>
    <x v="1"/>
    <x v="0"/>
    <x v="2"/>
    <x v="4"/>
    <n v="1708"/>
    <n v="1253.8952868399999"/>
    <n v="0"/>
    <n v="0"/>
    <n v="0"/>
    <n v="0"/>
    <n v="2"/>
    <x v="2"/>
    <n v="0"/>
    <n v="5"/>
    <n v="0"/>
    <n v="0"/>
    <n v="20.34"/>
    <n v="0"/>
    <n v="0"/>
    <n v="22.882430152149013"/>
    <m/>
    <m/>
    <n v="25504.230134325597"/>
    <n v="0"/>
    <n v="0"/>
    <n v="28692.171319225148"/>
    <n v="0"/>
    <n v="0"/>
  </r>
  <r>
    <s v="Regular"/>
    <x v="0"/>
    <x v="2"/>
    <x v="0"/>
    <x v="0"/>
    <x v="1"/>
    <x v="0"/>
    <x v="2"/>
    <x v="5"/>
    <n v="1732"/>
    <n v="1732"/>
    <n v="0"/>
    <n v="0"/>
    <n v="0"/>
    <n v="0"/>
    <n v="2"/>
    <x v="2"/>
    <n v="0"/>
    <n v="5"/>
    <n v="0"/>
    <n v="0"/>
    <n v="20.34"/>
    <n v="0"/>
    <n v="0"/>
    <n v="22.882430152149013"/>
    <m/>
    <m/>
    <n v="35228.879999999997"/>
    <n v="0"/>
    <n v="0"/>
    <n v="39632.369023522093"/>
    <n v="0"/>
    <n v="0"/>
  </r>
  <r>
    <s v="Regular"/>
    <x v="0"/>
    <x v="2"/>
    <x v="0"/>
    <x v="0"/>
    <x v="1"/>
    <x v="0"/>
    <x v="2"/>
    <x v="6"/>
    <n v="1732"/>
    <n v="1331.8529916800001"/>
    <n v="0"/>
    <n v="0"/>
    <n v="0"/>
    <n v="0"/>
    <n v="2"/>
    <x v="2"/>
    <n v="0"/>
    <n v="5"/>
    <n v="0"/>
    <n v="0"/>
    <n v="20.34"/>
    <n v="0"/>
    <n v="0"/>
    <n v="22.882430152149013"/>
    <m/>
    <m/>
    <n v="27089.8898507712"/>
    <n v="0"/>
    <n v="0"/>
    <n v="30476.033055048301"/>
    <n v="0"/>
    <n v="0"/>
  </r>
  <r>
    <s v="Regular"/>
    <x v="0"/>
    <x v="2"/>
    <x v="0"/>
    <x v="0"/>
    <x v="1"/>
    <x v="0"/>
    <x v="2"/>
    <x v="7"/>
    <n v="1695"/>
    <n v="-273.01080239999999"/>
    <n v="0"/>
    <n v="0"/>
    <n v="0"/>
    <n v="0"/>
    <n v="2"/>
    <x v="2"/>
    <n v="0"/>
    <n v="5"/>
    <n v="0"/>
    <n v="0"/>
    <n v="20.34"/>
    <n v="0"/>
    <n v="0"/>
    <n v="22.882430152149013"/>
    <m/>
    <m/>
    <n v="-5553.0397208159993"/>
    <n v="0"/>
    <n v="0"/>
    <n v="-6247.1506167001562"/>
    <n v="0"/>
    <n v="0"/>
  </r>
  <r>
    <s v="Regular"/>
    <x v="0"/>
    <x v="2"/>
    <x v="0"/>
    <x v="0"/>
    <x v="1"/>
    <x v="0"/>
    <x v="2"/>
    <x v="8"/>
    <n v="1695"/>
    <n v="848.18978025000001"/>
    <n v="0"/>
    <n v="0"/>
    <n v="0"/>
    <n v="0"/>
    <n v="2"/>
    <x v="2"/>
    <n v="0"/>
    <n v="5"/>
    <n v="0"/>
    <n v="0"/>
    <n v="20.34"/>
    <n v="0"/>
    <n v="0"/>
    <n v="22.882430152149013"/>
    <m/>
    <m/>
    <n v="17252.180130285"/>
    <n v="0"/>
    <n v="0"/>
    <n v="19408.643402337246"/>
    <n v="0"/>
    <n v="0"/>
  </r>
  <r>
    <s v="Regular"/>
    <x v="0"/>
    <x v="2"/>
    <x v="0"/>
    <x v="0"/>
    <x v="1"/>
    <x v="0"/>
    <x v="2"/>
    <x v="9"/>
    <n v="1695"/>
    <n v="849.64356480000004"/>
    <n v="0"/>
    <n v="0"/>
    <n v="0"/>
    <n v="0"/>
    <n v="2"/>
    <x v="2"/>
    <n v="0"/>
    <n v="5"/>
    <n v="0"/>
    <n v="0"/>
    <n v="20.34"/>
    <n v="0"/>
    <n v="0"/>
    <n v="22.882430152149013"/>
    <m/>
    <m/>
    <n v="17281.750108032"/>
    <n v="0"/>
    <n v="0"/>
    <n v="19441.909525758896"/>
    <n v="0"/>
    <n v="0"/>
  </r>
  <r>
    <s v="Regular"/>
    <x v="0"/>
    <x v="2"/>
    <x v="0"/>
    <x v="0"/>
    <x v="1"/>
    <x v="0"/>
    <x v="2"/>
    <x v="10"/>
    <n v="2195"/>
    <n v="1097.4921419"/>
    <n v="0"/>
    <n v="0"/>
    <n v="0"/>
    <n v="0"/>
    <n v="3"/>
    <x v="2"/>
    <n v="0"/>
    <n v="5"/>
    <n v="0"/>
    <n v="0"/>
    <n v="20.34"/>
    <n v="0"/>
    <n v="0"/>
    <n v="22.882430152149013"/>
    <m/>
    <m/>
    <n v="22322.990166246"/>
    <n v="0"/>
    <n v="0"/>
    <n v="25113.287279559161"/>
    <n v="0"/>
    <n v="0"/>
  </r>
  <r>
    <s v="PROJETADO"/>
    <x v="0"/>
    <x v="2"/>
    <x v="0"/>
    <x v="0"/>
    <x v="1"/>
    <x v="0"/>
    <x v="2"/>
    <x v="11"/>
    <n v="2195"/>
    <n v="1097.4921419"/>
    <n v="0"/>
    <n v="0"/>
    <n v="0"/>
    <n v="0"/>
    <n v="3"/>
    <x v="2"/>
    <n v="0"/>
    <n v="5"/>
    <n v="0"/>
    <n v="0"/>
    <n v="20.34"/>
    <n v="0"/>
    <n v="0"/>
    <n v="22.882430152149013"/>
    <m/>
    <m/>
    <n v="22322.990166246"/>
    <n v="0"/>
    <n v="0"/>
    <n v="25113.287279559161"/>
    <n v="0"/>
    <n v="0"/>
  </r>
  <r>
    <s v="Regular"/>
    <x v="0"/>
    <x v="2"/>
    <x v="0"/>
    <x v="0"/>
    <x v="1"/>
    <x v="0"/>
    <x v="1"/>
    <x v="0"/>
    <n v="0"/>
    <n v="0"/>
    <n v="37.640999999999998"/>
    <n v="10.969638713129999"/>
    <n v="0"/>
    <n v="0"/>
    <n v="0"/>
    <x v="2"/>
    <n v="0"/>
    <n v="0"/>
    <n v="13"/>
    <n v="0"/>
    <n v="0"/>
    <n v="1624.27"/>
    <n v="0"/>
    <m/>
    <n v="1607.0001847697904"/>
    <m/>
    <n v="0"/>
    <n v="17817.655072575664"/>
    <n v="0"/>
    <n v="0"/>
    <n v="17628.211438857754"/>
    <n v="0"/>
  </r>
  <r>
    <s v="Regular"/>
    <x v="0"/>
    <x v="2"/>
    <x v="0"/>
    <x v="0"/>
    <x v="1"/>
    <x v="0"/>
    <x v="1"/>
    <x v="1"/>
    <n v="0"/>
    <n v="0"/>
    <n v="39.328000000000003"/>
    <n v="10.8741566048"/>
    <n v="0"/>
    <n v="0"/>
    <n v="0"/>
    <x v="2"/>
    <n v="0"/>
    <n v="0"/>
    <n v="13"/>
    <n v="0"/>
    <n v="0"/>
    <n v="1624.27"/>
    <n v="0"/>
    <m/>
    <n v="1607.0001847697904"/>
    <m/>
    <n v="0"/>
    <n v="17662.566348478496"/>
    <n v="0"/>
    <n v="0"/>
    <n v="17474.771673129235"/>
    <n v="0"/>
  </r>
  <r>
    <s v="Regular"/>
    <x v="0"/>
    <x v="2"/>
    <x v="0"/>
    <x v="0"/>
    <x v="1"/>
    <x v="0"/>
    <x v="1"/>
    <x v="2"/>
    <n v="0"/>
    <n v="0"/>
    <n v="44.271000000000001"/>
    <n v="12.4289017389"/>
    <n v="0"/>
    <n v="0"/>
    <n v="0"/>
    <x v="2"/>
    <n v="0"/>
    <n v="0"/>
    <n v="13"/>
    <n v="0"/>
    <n v="0"/>
    <n v="1624.27"/>
    <n v="0"/>
    <m/>
    <n v="1607.0001847697904"/>
    <m/>
    <n v="0"/>
    <n v="20187.892227443102"/>
    <n v="0"/>
    <n v="0"/>
    <n v="19973.247390897868"/>
    <n v="0"/>
  </r>
  <r>
    <s v="Regular"/>
    <x v="0"/>
    <x v="2"/>
    <x v="0"/>
    <x v="0"/>
    <x v="1"/>
    <x v="0"/>
    <x v="1"/>
    <x v="3"/>
    <n v="0"/>
    <n v="0"/>
    <n v="54.564"/>
    <n v="16.19927242608"/>
    <n v="0"/>
    <n v="0"/>
    <n v="0"/>
    <x v="2"/>
    <n v="0"/>
    <n v="0"/>
    <n v="13"/>
    <n v="0"/>
    <n v="0"/>
    <n v="1624.27"/>
    <n v="0"/>
    <m/>
    <n v="1607.0001847697904"/>
    <m/>
    <n v="0"/>
    <n v="26311.992223508962"/>
    <n v="0"/>
    <n v="0"/>
    <n v="26032.233781846731"/>
    <n v="0"/>
  </r>
  <r>
    <s v="Regular"/>
    <x v="0"/>
    <x v="2"/>
    <x v="0"/>
    <x v="0"/>
    <x v="1"/>
    <x v="0"/>
    <x v="1"/>
    <x v="4"/>
    <n v="0"/>
    <n v="0"/>
    <n v="53.856999999999999"/>
    <n v="36.89355622742"/>
    <n v="0"/>
    <n v="0"/>
    <n v="0"/>
    <x v="2"/>
    <n v="0"/>
    <n v="0"/>
    <n v="13"/>
    <n v="0"/>
    <n v="0"/>
    <n v="1624.27"/>
    <n v="0"/>
    <m/>
    <n v="1607.0001847697904"/>
    <m/>
    <n v="0"/>
    <n v="59925.096573511481"/>
    <n v="0"/>
    <n v="0"/>
    <n v="59287.951674278593"/>
    <n v="0"/>
  </r>
  <r>
    <s v="Regular"/>
    <x v="0"/>
    <x v="2"/>
    <x v="0"/>
    <x v="0"/>
    <x v="1"/>
    <x v="0"/>
    <x v="1"/>
    <x v="5"/>
    <n v="0"/>
    <n v="0"/>
    <n v="49.462000000000003"/>
    <n v="49.462000000000003"/>
    <n v="0"/>
    <n v="0"/>
    <n v="0"/>
    <x v="2"/>
    <n v="0"/>
    <n v="0"/>
    <n v="13"/>
    <n v="0"/>
    <n v="0"/>
    <n v="1624.27"/>
    <n v="0"/>
    <m/>
    <n v="1607.0001847697904"/>
    <m/>
    <n v="0"/>
    <n v="80339.64274000001"/>
    <n v="0"/>
    <n v="0"/>
    <n v="79485.443139083378"/>
    <n v="0"/>
  </r>
  <r>
    <s v="Regular"/>
    <x v="0"/>
    <x v="2"/>
    <x v="0"/>
    <x v="0"/>
    <x v="1"/>
    <x v="0"/>
    <x v="1"/>
    <x v="6"/>
    <n v="0"/>
    <n v="0"/>
    <n v="53.892000000000003"/>
    <n v="40.514922909719999"/>
    <n v="0"/>
    <n v="0"/>
    <n v="0"/>
    <x v="2"/>
    <n v="0"/>
    <n v="0"/>
    <n v="13"/>
    <n v="0"/>
    <n v="0"/>
    <n v="1624.27"/>
    <n v="0"/>
    <m/>
    <n v="1607.0001847697904"/>
    <m/>
    <n v="0"/>
    <n v="65807.173834570902"/>
    <n v="0"/>
    <n v="0"/>
    <n v="65107.488601853853"/>
    <n v="0"/>
  </r>
  <r>
    <s v="Regular"/>
    <x v="0"/>
    <x v="2"/>
    <x v="0"/>
    <x v="0"/>
    <x v="1"/>
    <x v="0"/>
    <x v="1"/>
    <x v="7"/>
    <n v="0"/>
    <n v="0"/>
    <n v="32.723999999999997"/>
    <n v="-8.8316064601199997"/>
    <n v="0"/>
    <n v="0"/>
    <n v="0"/>
    <x v="2"/>
    <n v="0"/>
    <n v="0"/>
    <n v="13"/>
    <n v="0"/>
    <n v="0"/>
    <n v="1624.27"/>
    <n v="0"/>
    <m/>
    <n v="1607.0001847697904"/>
    <m/>
    <n v="0"/>
    <n v="-14344.913424979111"/>
    <n v="0"/>
    <n v="0"/>
    <n v="-14192.393213226915"/>
    <n v="0"/>
  </r>
  <r>
    <s v="Regular"/>
    <x v="0"/>
    <x v="2"/>
    <x v="0"/>
    <x v="0"/>
    <x v="1"/>
    <x v="0"/>
    <x v="1"/>
    <x v="8"/>
    <n v="0"/>
    <n v="0"/>
    <n v="26.404"/>
    <n v="13.89390018548"/>
    <n v="0"/>
    <n v="0"/>
    <n v="0"/>
    <x v="2"/>
    <n v="0"/>
    <n v="0"/>
    <n v="13"/>
    <n v="0"/>
    <n v="0"/>
    <n v="1624.27"/>
    <n v="0"/>
    <m/>
    <n v="1607.0001847697904"/>
    <m/>
    <n v="0"/>
    <n v="22567.445254269598"/>
    <n v="0"/>
    <n v="0"/>
    <n v="22327.500165239384"/>
    <n v="0"/>
  </r>
  <r>
    <s v="Regular"/>
    <x v="0"/>
    <x v="2"/>
    <x v="0"/>
    <x v="0"/>
    <x v="1"/>
    <x v="0"/>
    <x v="1"/>
    <x v="9"/>
    <n v="0"/>
    <n v="0"/>
    <n v="23.417999999999999"/>
    <n v="12.31977609864"/>
    <n v="0"/>
    <n v="0"/>
    <n v="0"/>
    <x v="2"/>
    <n v="0"/>
    <n v="0"/>
    <n v="13"/>
    <n v="0"/>
    <n v="0"/>
    <n v="1624.27"/>
    <n v="0"/>
    <m/>
    <n v="1607.0001847697904"/>
    <m/>
    <n v="0"/>
    <n v="20010.642723737994"/>
    <n v="0"/>
    <n v="0"/>
    <n v="19797.882466836927"/>
    <n v="0"/>
  </r>
  <r>
    <s v="Regular"/>
    <x v="0"/>
    <x v="2"/>
    <x v="0"/>
    <x v="0"/>
    <x v="1"/>
    <x v="0"/>
    <x v="1"/>
    <x v="10"/>
    <n v="0"/>
    <n v="0"/>
    <n v="34.978999999999999"/>
    <n v="18.35343897541"/>
    <n v="0"/>
    <n v="0"/>
    <n v="0"/>
    <x v="2"/>
    <n v="0"/>
    <n v="0"/>
    <n v="13"/>
    <n v="0"/>
    <n v="0"/>
    <n v="1624.27"/>
    <n v="0"/>
    <m/>
    <n v="1607.0001847697904"/>
    <m/>
    <n v="0"/>
    <n v="29810.940324589203"/>
    <n v="0"/>
    <n v="0"/>
    <n v="29493.979824644943"/>
    <n v="0"/>
  </r>
  <r>
    <s v="PROJETADO"/>
    <x v="0"/>
    <x v="2"/>
    <x v="0"/>
    <x v="0"/>
    <x v="1"/>
    <x v="0"/>
    <x v="1"/>
    <x v="11"/>
    <n v="0"/>
    <n v="0"/>
    <n v="34.978999999999999"/>
    <n v="18.35343897541"/>
    <n v="0"/>
    <n v="0"/>
    <n v="0"/>
    <x v="2"/>
    <n v="0"/>
    <n v="0"/>
    <n v="13"/>
    <n v="0"/>
    <n v="0"/>
    <n v="1624.27"/>
    <n v="0"/>
    <m/>
    <n v="1607.0001847697904"/>
    <m/>
    <n v="0"/>
    <n v="29810.940324589203"/>
    <n v="0"/>
    <n v="0"/>
    <n v="29493.979824644943"/>
    <n v="0"/>
  </r>
  <r>
    <s v="Regular"/>
    <x v="0"/>
    <x v="2"/>
    <x v="0"/>
    <x v="0"/>
    <x v="0"/>
    <x v="0"/>
    <x v="0"/>
    <x v="0"/>
    <n v="0"/>
    <n v="0"/>
    <n v="618.64200000000005"/>
    <n v="618.64200000000005"/>
    <n v="618.64200000000005"/>
    <n v="618.64200000000005"/>
    <n v="0"/>
    <x v="0"/>
    <n v="0"/>
    <n v="0"/>
    <n v="3"/>
    <n v="62"/>
    <n v="0"/>
    <n v="80.73"/>
    <n v="291.85000000000002"/>
    <m/>
    <n v="109.15710156873617"/>
    <n v="219.61640797284883"/>
    <n v="0"/>
    <n v="49942.968660000006"/>
    <n v="180550.66770000002"/>
    <n v="0"/>
    <n v="67529.167628686089"/>
    <n v="135863.93386113917"/>
  </r>
  <r>
    <s v="Sistema de Compensação"/>
    <x v="0"/>
    <x v="2"/>
    <x v="0"/>
    <x v="0"/>
    <x v="0"/>
    <x v="0"/>
    <x v="0"/>
    <x v="0"/>
    <n v="0"/>
    <n v="0"/>
    <n v="15.182"/>
    <n v="15.182"/>
    <n v="15.182"/>
    <n v="15.182"/>
    <n v="0"/>
    <x v="0"/>
    <n v="0"/>
    <n v="0"/>
    <n v="3"/>
    <n v="62"/>
    <n v="0"/>
    <n v="80.73"/>
    <n v="291.85000000000002"/>
    <m/>
    <n v="109.15710156873617"/>
    <n v="219.61640797284883"/>
    <n v="0"/>
    <n v="1225.6428600000002"/>
    <n v="4430.8667000000005"/>
    <n v="0"/>
    <n v="1657.2231160165525"/>
    <n v="3334.2163058437909"/>
  </r>
  <r>
    <s v="Regular"/>
    <x v="0"/>
    <x v="2"/>
    <x v="0"/>
    <x v="0"/>
    <x v="0"/>
    <x v="0"/>
    <x v="0"/>
    <x v="1"/>
    <n v="0"/>
    <n v="0"/>
    <n v="619.63499999999999"/>
    <n v="619.63499999999999"/>
    <n v="619.63499999999999"/>
    <n v="619.63499999999999"/>
    <n v="0"/>
    <x v="0"/>
    <n v="0"/>
    <n v="0"/>
    <n v="3"/>
    <n v="62"/>
    <n v="0"/>
    <n v="80.73"/>
    <n v="291.85000000000002"/>
    <m/>
    <n v="109.15710156873617"/>
    <n v="219.61640797284883"/>
    <n v="0"/>
    <n v="50023.133549999999"/>
    <n v="180840.47475000002"/>
    <n v="0"/>
    <n v="67637.560630543827"/>
    <n v="136082.01295425618"/>
  </r>
  <r>
    <s v="Sistema de Compensação"/>
    <x v="0"/>
    <x v="2"/>
    <x v="0"/>
    <x v="0"/>
    <x v="0"/>
    <x v="0"/>
    <x v="0"/>
    <x v="1"/>
    <n v="0"/>
    <n v="0"/>
    <n v="21.727"/>
    <n v="21.727"/>
    <n v="21.727"/>
    <n v="21.727"/>
    <n v="0"/>
    <x v="0"/>
    <n v="0"/>
    <n v="0"/>
    <n v="3"/>
    <n v="62"/>
    <n v="0"/>
    <n v="80.73"/>
    <n v="291.85000000000002"/>
    <m/>
    <n v="109.15710156873617"/>
    <n v="219.61640797284883"/>
    <n v="0"/>
    <n v="1754.02071"/>
    <n v="6341.0249500000009"/>
    <n v="0"/>
    <n v="2371.6563457839306"/>
    <n v="4771.6056960260867"/>
  </r>
  <r>
    <s v="Regular"/>
    <x v="0"/>
    <x v="2"/>
    <x v="0"/>
    <x v="0"/>
    <x v="0"/>
    <x v="0"/>
    <x v="0"/>
    <x v="2"/>
    <n v="0"/>
    <n v="0"/>
    <n v="606.48800000000006"/>
    <n v="606.48800000000006"/>
    <n v="606.48800000000006"/>
    <n v="606.48800000000006"/>
    <n v="0"/>
    <x v="0"/>
    <n v="0"/>
    <n v="0"/>
    <n v="3"/>
    <n v="62"/>
    <n v="0"/>
    <n v="80.73"/>
    <n v="291.85000000000002"/>
    <m/>
    <n v="109.15710156873617"/>
    <n v="219.61640797284883"/>
    <n v="0"/>
    <n v="48961.776240000007"/>
    <n v="177003.52280000004"/>
    <n v="0"/>
    <n v="66202.47221621967"/>
    <n v="133194.71603863715"/>
  </r>
  <r>
    <s v="Sistema de Compensação"/>
    <x v="0"/>
    <x v="2"/>
    <x v="0"/>
    <x v="0"/>
    <x v="0"/>
    <x v="0"/>
    <x v="0"/>
    <x v="2"/>
    <n v="0"/>
    <n v="0"/>
    <n v="12.654999999999999"/>
    <n v="12.654999999999999"/>
    <n v="12.654999999999999"/>
    <n v="12.654999999999999"/>
    <n v="0"/>
    <x v="0"/>
    <n v="0"/>
    <n v="0"/>
    <n v="3"/>
    <n v="62"/>
    <n v="0"/>
    <n v="80.73"/>
    <n v="291.85000000000002"/>
    <m/>
    <n v="109.15710156873617"/>
    <n v="219.61640797284883"/>
    <n v="0"/>
    <n v="1021.63815"/>
    <n v="3693.36175"/>
    <n v="0"/>
    <n v="1381.3831203523562"/>
    <n v="2779.2456428964019"/>
  </r>
  <r>
    <s v="Regular"/>
    <x v="0"/>
    <x v="2"/>
    <x v="0"/>
    <x v="0"/>
    <x v="0"/>
    <x v="0"/>
    <x v="0"/>
    <x v="3"/>
    <n v="0"/>
    <n v="0"/>
    <n v="522.67399999999998"/>
    <n v="522.67399999999998"/>
    <n v="522.67399999999998"/>
    <n v="522.67399999999998"/>
    <n v="0"/>
    <x v="0"/>
    <n v="0"/>
    <n v="0"/>
    <n v="3"/>
    <n v="62"/>
    <n v="0"/>
    <n v="80.73"/>
    <n v="291.85000000000002"/>
    <m/>
    <n v="109.15710156873617"/>
    <n v="219.61640797284883"/>
    <n v="0"/>
    <n v="42195.472020000001"/>
    <n v="152542.4069"/>
    <n v="0"/>
    <n v="57053.578905337607"/>
    <n v="114787.78642080078"/>
  </r>
  <r>
    <s v="Sistema de Compensação"/>
    <x v="0"/>
    <x v="2"/>
    <x v="0"/>
    <x v="0"/>
    <x v="0"/>
    <x v="0"/>
    <x v="0"/>
    <x v="3"/>
    <n v="0"/>
    <n v="0"/>
    <n v="14.739000000000001"/>
    <n v="14.739000000000001"/>
    <n v="14.739000000000001"/>
    <n v="14.739000000000001"/>
    <n v="0"/>
    <x v="0"/>
    <n v="0"/>
    <n v="0"/>
    <n v="3"/>
    <n v="62"/>
    <n v="0"/>
    <n v="80.73"/>
    <n v="291.85000000000002"/>
    <m/>
    <n v="109.15710156873617"/>
    <n v="219.61640797284883"/>
    <n v="0"/>
    <n v="1189.8794700000001"/>
    <n v="4301.577150000001"/>
    <n v="0"/>
    <n v="1608.8665200216024"/>
    <n v="3236.9262371118193"/>
  </r>
  <r>
    <s v="Regular"/>
    <x v="0"/>
    <x v="2"/>
    <x v="0"/>
    <x v="0"/>
    <x v="0"/>
    <x v="0"/>
    <x v="0"/>
    <x v="4"/>
    <n v="0"/>
    <n v="0"/>
    <n v="626.50800000000004"/>
    <n v="626.50800000000004"/>
    <n v="626.50800000000004"/>
    <n v="626.50800000000004"/>
    <n v="0"/>
    <x v="0"/>
    <n v="0"/>
    <n v="0"/>
    <n v="3"/>
    <n v="62"/>
    <n v="0"/>
    <n v="80.73"/>
    <n v="291.85000000000002"/>
    <m/>
    <n v="109.15710156873617"/>
    <n v="219.61640797284883"/>
    <n v="0"/>
    <n v="50577.990840000006"/>
    <n v="182846.35980000003"/>
    <n v="0"/>
    <n v="68387.797389625761"/>
    <n v="137591.43652625359"/>
  </r>
  <r>
    <s v="Sistema de Compensação"/>
    <x v="0"/>
    <x v="2"/>
    <x v="0"/>
    <x v="0"/>
    <x v="0"/>
    <x v="0"/>
    <x v="0"/>
    <x v="4"/>
    <n v="0"/>
    <n v="0"/>
    <n v="17.864999999999998"/>
    <n v="17.864999999999998"/>
    <n v="17.864999999999998"/>
    <n v="17.864999999999998"/>
    <n v="0"/>
    <x v="0"/>
    <n v="0"/>
    <n v="0"/>
    <n v="3"/>
    <n v="62"/>
    <n v="0"/>
    <n v="80.73"/>
    <n v="291.85000000000002"/>
    <m/>
    <n v="109.15710156873617"/>
    <n v="219.61640797284883"/>
    <n v="0"/>
    <n v="1442.24145"/>
    <n v="5213.9002499999997"/>
    <n v="0"/>
    <n v="1950.0916195254715"/>
    <n v="3923.4471284349443"/>
  </r>
  <r>
    <s v="Regular"/>
    <x v="0"/>
    <x v="2"/>
    <x v="0"/>
    <x v="0"/>
    <x v="0"/>
    <x v="0"/>
    <x v="0"/>
    <x v="5"/>
    <n v="0"/>
    <n v="0"/>
    <n v="604.24400000000003"/>
    <n v="604.24400000000003"/>
    <n v="604.24400000000003"/>
    <n v="604.24400000000003"/>
    <n v="0"/>
    <x v="0"/>
    <n v="0"/>
    <n v="0"/>
    <n v="3"/>
    <n v="62"/>
    <n v="0"/>
    <n v="80.73"/>
    <n v="291.85000000000002"/>
    <m/>
    <n v="109.15710156873617"/>
    <n v="219.61640797284883"/>
    <n v="0"/>
    <n v="48780.618120000006"/>
    <n v="176348.61140000002"/>
    <n v="0"/>
    <n v="65957.523680299419"/>
    <n v="132701.89681914609"/>
  </r>
  <r>
    <s v="Sistema de Compensação"/>
    <x v="0"/>
    <x v="2"/>
    <x v="0"/>
    <x v="0"/>
    <x v="0"/>
    <x v="0"/>
    <x v="0"/>
    <x v="5"/>
    <n v="0"/>
    <n v="0"/>
    <n v="17.501999999999999"/>
    <n v="17.501999999999999"/>
    <n v="17.501999999999999"/>
    <n v="17.501999999999999"/>
    <n v="0"/>
    <x v="0"/>
    <n v="0"/>
    <n v="0"/>
    <n v="3"/>
    <n v="62"/>
    <n v="0"/>
    <n v="80.73"/>
    <n v="291.85000000000002"/>
    <m/>
    <n v="109.15710156873617"/>
    <n v="219.61640797284883"/>
    <n v="0"/>
    <n v="1412.9364599999999"/>
    <n v="5107.9587000000001"/>
    <n v="0"/>
    <n v="1910.4675916560202"/>
    <n v="3843.7263723408"/>
  </r>
  <r>
    <s v="Regular"/>
    <x v="0"/>
    <x v="2"/>
    <x v="0"/>
    <x v="0"/>
    <x v="0"/>
    <x v="0"/>
    <x v="0"/>
    <x v="6"/>
    <n v="0"/>
    <n v="0"/>
    <n v="598.27599999999995"/>
    <n v="598.27599999999995"/>
    <n v="598.27599999999995"/>
    <n v="598.27599999999995"/>
    <n v="0"/>
    <x v="0"/>
    <n v="0"/>
    <n v="0"/>
    <n v="3"/>
    <n v="62"/>
    <n v="0"/>
    <n v="80.73"/>
    <n v="291.85000000000002"/>
    <m/>
    <n v="109.15710156873617"/>
    <n v="219.61640797284883"/>
    <n v="0"/>
    <n v="48298.821479999999"/>
    <n v="174606.85060000001"/>
    <n v="0"/>
    <n v="65306.074098137193"/>
    <n v="131391.22609636409"/>
  </r>
  <r>
    <s v="Sistema de Compensação"/>
    <x v="0"/>
    <x v="2"/>
    <x v="0"/>
    <x v="0"/>
    <x v="0"/>
    <x v="0"/>
    <x v="0"/>
    <x v="6"/>
    <n v="0"/>
    <n v="0"/>
    <n v="25.992000000000001"/>
    <n v="25.992000000000001"/>
    <n v="25.992000000000001"/>
    <n v="25.992000000000001"/>
    <n v="0"/>
    <x v="0"/>
    <n v="0"/>
    <n v="0"/>
    <n v="3"/>
    <n v="62"/>
    <n v="0"/>
    <n v="80.73"/>
    <n v="291.85000000000002"/>
    <m/>
    <n v="109.15710156873617"/>
    <n v="219.61640797284883"/>
    <n v="0"/>
    <n v="2098.3341600000003"/>
    <n v="7585.7652000000007"/>
    <n v="0"/>
    <n v="2837.2113839745907"/>
    <n v="5708.269676030287"/>
  </r>
  <r>
    <s v="Regular"/>
    <x v="0"/>
    <x v="2"/>
    <x v="0"/>
    <x v="0"/>
    <x v="0"/>
    <x v="0"/>
    <x v="0"/>
    <x v="7"/>
    <n v="0"/>
    <n v="0"/>
    <n v="567.93200000000002"/>
    <n v="567.93200000000002"/>
    <n v="567.93200000000002"/>
    <n v="567.93200000000002"/>
    <n v="0"/>
    <x v="0"/>
    <n v="0"/>
    <n v="0"/>
    <n v="3"/>
    <n v="62"/>
    <n v="0"/>
    <n v="80.73"/>
    <n v="291.85000000000002"/>
    <m/>
    <n v="109.15710156873617"/>
    <n v="219.61640797284883"/>
    <n v="0"/>
    <n v="45849.150360000007"/>
    <n v="165750.95420000001"/>
    <n v="0"/>
    <n v="61993.811008135468"/>
    <n v="124727.18581283599"/>
  </r>
  <r>
    <s v="Sistema de Compensação"/>
    <x v="0"/>
    <x v="2"/>
    <x v="0"/>
    <x v="0"/>
    <x v="0"/>
    <x v="0"/>
    <x v="0"/>
    <x v="7"/>
    <n v="0"/>
    <n v="0"/>
    <n v="15.358000000000001"/>
    <n v="15.358000000000001"/>
    <n v="15.358000000000001"/>
    <n v="15.358000000000001"/>
    <n v="0"/>
    <x v="0"/>
    <n v="0"/>
    <n v="0"/>
    <n v="3"/>
    <n v="62"/>
    <n v="0"/>
    <n v="80.73"/>
    <n v="291.85000000000002"/>
    <m/>
    <n v="109.15710156873617"/>
    <n v="219.61640797284883"/>
    <n v="0"/>
    <n v="1239.8513400000002"/>
    <n v="4482.2323000000006"/>
    <n v="0"/>
    <n v="1676.4347658926501"/>
    <n v="3372.8687936470124"/>
  </r>
  <r>
    <s v="Regular"/>
    <x v="0"/>
    <x v="2"/>
    <x v="0"/>
    <x v="0"/>
    <x v="0"/>
    <x v="0"/>
    <x v="0"/>
    <x v="8"/>
    <n v="0"/>
    <n v="0"/>
    <n v="601.995"/>
    <n v="601.995"/>
    <n v="601.995"/>
    <n v="601.995"/>
    <n v="0"/>
    <x v="0"/>
    <n v="0"/>
    <n v="0"/>
    <n v="3"/>
    <n v="62"/>
    <n v="0"/>
    <n v="80.73"/>
    <n v="291.85000000000002"/>
    <m/>
    <n v="109.15710156873617"/>
    <n v="219.61640797284883"/>
    <n v="0"/>
    <n v="48599.056350000006"/>
    <n v="175692.24075000003"/>
    <n v="0"/>
    <n v="65712.029358871325"/>
    <n v="132207.97951761514"/>
  </r>
  <r>
    <s v="Sistema de Compensação"/>
    <x v="0"/>
    <x v="2"/>
    <x v="0"/>
    <x v="0"/>
    <x v="0"/>
    <x v="0"/>
    <x v="0"/>
    <x v="8"/>
    <n v="0"/>
    <n v="0"/>
    <n v="8.8520000000000003"/>
    <n v="8.8520000000000003"/>
    <n v="8.8520000000000003"/>
    <n v="8.8520000000000003"/>
    <n v="0"/>
    <x v="0"/>
    <n v="0"/>
    <n v="0"/>
    <n v="3"/>
    <n v="62"/>
    <n v="0"/>
    <n v="80.73"/>
    <n v="291.85000000000002"/>
    <m/>
    <n v="109.15710156873617"/>
    <n v="219.61640797284883"/>
    <n v="0"/>
    <n v="714.62196000000006"/>
    <n v="2583.4562000000001"/>
    <n v="0"/>
    <n v="966.25866308645254"/>
    <n v="1944.0444433756579"/>
  </r>
  <r>
    <s v="Regular"/>
    <x v="0"/>
    <x v="2"/>
    <x v="0"/>
    <x v="0"/>
    <x v="0"/>
    <x v="0"/>
    <x v="0"/>
    <x v="9"/>
    <n v="0"/>
    <n v="0"/>
    <n v="583.83100000000002"/>
    <n v="583.83100000000002"/>
    <n v="583.83100000000002"/>
    <n v="583.83100000000002"/>
    <n v="0"/>
    <x v="0"/>
    <n v="0"/>
    <n v="0"/>
    <n v="3"/>
    <n v="62"/>
    <n v="0"/>
    <n v="80.73"/>
    <n v="291.85000000000002"/>
    <m/>
    <n v="109.15710156873617"/>
    <n v="219.61640797284883"/>
    <n v="0"/>
    <n v="47132.676630000002"/>
    <n v="170391.07735000001"/>
    <n v="0"/>
    <n v="63729.299765976808"/>
    <n v="128218.86708319631"/>
  </r>
  <r>
    <s v="Sistema de Compensação"/>
    <x v="0"/>
    <x v="2"/>
    <x v="0"/>
    <x v="0"/>
    <x v="0"/>
    <x v="0"/>
    <x v="0"/>
    <x v="9"/>
    <n v="0"/>
    <n v="0"/>
    <n v="18.702000000000002"/>
    <n v="18.702000000000002"/>
    <n v="18.702000000000002"/>
    <n v="18.702000000000002"/>
    <n v="0"/>
    <x v="0"/>
    <n v="0"/>
    <n v="0"/>
    <n v="3"/>
    <n v="62"/>
    <n v="0"/>
    <n v="80.73"/>
    <n v="291.85000000000002"/>
    <m/>
    <n v="109.15710156873617"/>
    <n v="219.61640797284883"/>
    <n v="0"/>
    <n v="1509.8124600000001"/>
    <n v="5458.1787000000013"/>
    <n v="0"/>
    <n v="2041.456113538504"/>
    <n v="4107.2660619082189"/>
  </r>
  <r>
    <s v="Regular"/>
    <x v="0"/>
    <x v="2"/>
    <x v="0"/>
    <x v="0"/>
    <x v="0"/>
    <x v="0"/>
    <x v="0"/>
    <x v="10"/>
    <n v="0"/>
    <n v="0"/>
    <n v="528.26199999999994"/>
    <n v="528.26199999999994"/>
    <n v="528.26199999999994"/>
    <n v="528.26199999999994"/>
    <n v="0"/>
    <x v="0"/>
    <n v="0"/>
    <n v="0"/>
    <n v="3"/>
    <n v="62"/>
    <n v="0"/>
    <n v="80.73"/>
    <n v="291.85000000000002"/>
    <m/>
    <n v="109.15710156873617"/>
    <n v="219.61640797284883"/>
    <n v="0"/>
    <n v="42646.591260000001"/>
    <n v="154173.2647"/>
    <n v="0"/>
    <n v="57663.548788903696"/>
    <n v="116015.00290855306"/>
  </r>
  <r>
    <s v="Sistema de Compensação"/>
    <x v="0"/>
    <x v="2"/>
    <x v="0"/>
    <x v="0"/>
    <x v="0"/>
    <x v="0"/>
    <x v="0"/>
    <x v="10"/>
    <n v="0"/>
    <n v="0"/>
    <n v="13.65"/>
    <n v="13.65"/>
    <n v="13.65"/>
    <n v="13.65"/>
    <n v="0"/>
    <x v="0"/>
    <n v="0"/>
    <n v="0"/>
    <n v="3"/>
    <n v="62"/>
    <n v="0"/>
    <n v="80.73"/>
    <n v="291.85000000000002"/>
    <m/>
    <n v="109.15710156873617"/>
    <n v="219.61640797284883"/>
    <n v="0"/>
    <n v="1101.9645"/>
    <n v="3983.7525000000005"/>
    <n v="0"/>
    <n v="1489.9944364132486"/>
    <n v="2997.7639688293866"/>
  </r>
  <r>
    <s v="PROJETADO"/>
    <x v="0"/>
    <x v="2"/>
    <x v="0"/>
    <x v="0"/>
    <x v="0"/>
    <x v="0"/>
    <x v="0"/>
    <x v="11"/>
    <n v="0"/>
    <n v="0"/>
    <n v="528.26199999999994"/>
    <n v="528.26199999999994"/>
    <n v="528.26199999999994"/>
    <n v="528.26199999999994"/>
    <n v="0"/>
    <x v="0"/>
    <n v="0"/>
    <n v="0"/>
    <n v="3"/>
    <n v="62"/>
    <n v="0"/>
    <n v="80.73"/>
    <n v="291.85000000000002"/>
    <m/>
    <n v="109.15710156873617"/>
    <n v="219.61640797284883"/>
    <n v="0"/>
    <n v="42646.591260000001"/>
    <n v="154173.2647"/>
    <n v="0"/>
    <n v="57663.548788903696"/>
    <n v="116015.00290855306"/>
  </r>
  <r>
    <s v="PROJETADO"/>
    <x v="0"/>
    <x v="2"/>
    <x v="0"/>
    <x v="0"/>
    <x v="0"/>
    <x v="0"/>
    <x v="0"/>
    <x v="11"/>
    <n v="0"/>
    <n v="0"/>
    <n v="13.65"/>
    <n v="13.65"/>
    <n v="13.65"/>
    <n v="13.65"/>
    <n v="0"/>
    <x v="0"/>
    <n v="0"/>
    <n v="0"/>
    <n v="3"/>
    <n v="62"/>
    <n v="0"/>
    <n v="80.73"/>
    <n v="291.85000000000002"/>
    <m/>
    <n v="109.15710156873617"/>
    <n v="219.61640797284883"/>
    <n v="0"/>
    <n v="1101.9645"/>
    <n v="3983.7525000000005"/>
    <n v="0"/>
    <n v="1489.9944364132486"/>
    <n v="2997.7639688293866"/>
  </r>
  <r>
    <s v="Regular"/>
    <x v="0"/>
    <x v="2"/>
    <x v="0"/>
    <x v="0"/>
    <x v="0"/>
    <x v="0"/>
    <x v="2"/>
    <x v="0"/>
    <n v="3111"/>
    <n v="3111"/>
    <n v="0"/>
    <n v="0"/>
    <n v="0"/>
    <n v="0"/>
    <n v="22"/>
    <x v="0"/>
    <n v="0"/>
    <n v="5"/>
    <n v="0"/>
    <n v="0"/>
    <n v="20.34"/>
    <n v="0"/>
    <n v="0"/>
    <n v="22.882430152149013"/>
    <m/>
    <m/>
    <n v="63277.74"/>
    <n v="0"/>
    <n v="0"/>
    <n v="71187.240203335576"/>
    <n v="0"/>
    <n v="0"/>
  </r>
  <r>
    <s v="Sistema de Compensação"/>
    <x v="0"/>
    <x v="2"/>
    <x v="0"/>
    <x v="0"/>
    <x v="0"/>
    <x v="0"/>
    <x v="2"/>
    <x v="0"/>
    <n v="222"/>
    <n v="222"/>
    <n v="0"/>
    <n v="0"/>
    <n v="0"/>
    <n v="0"/>
    <n v="2"/>
    <x v="0"/>
    <n v="0"/>
    <n v="5"/>
    <n v="0"/>
    <n v="0"/>
    <n v="20.34"/>
    <n v="0"/>
    <n v="0"/>
    <n v="22.882430152149013"/>
    <m/>
    <m/>
    <n v="4515.4799999999996"/>
    <n v="0"/>
    <n v="0"/>
    <n v="5079.8994937770813"/>
    <n v="0"/>
    <n v="0"/>
  </r>
  <r>
    <s v="Regular"/>
    <x v="0"/>
    <x v="2"/>
    <x v="0"/>
    <x v="0"/>
    <x v="0"/>
    <x v="0"/>
    <x v="2"/>
    <x v="1"/>
    <n v="2983"/>
    <n v="2983"/>
    <n v="0"/>
    <n v="0"/>
    <n v="0"/>
    <n v="0"/>
    <n v="21"/>
    <x v="0"/>
    <n v="0"/>
    <n v="5"/>
    <n v="0"/>
    <n v="0"/>
    <n v="20.34"/>
    <n v="0"/>
    <n v="0"/>
    <n v="22.882430152149013"/>
    <m/>
    <m/>
    <n v="60674.22"/>
    <n v="0"/>
    <n v="0"/>
    <n v="68258.2891438605"/>
    <n v="0"/>
    <n v="0"/>
  </r>
  <r>
    <s v="Sistema de Compensação"/>
    <x v="0"/>
    <x v="2"/>
    <x v="0"/>
    <x v="0"/>
    <x v="0"/>
    <x v="0"/>
    <x v="2"/>
    <x v="1"/>
    <n v="335"/>
    <n v="335"/>
    <n v="0"/>
    <n v="0"/>
    <n v="0"/>
    <n v="0"/>
    <n v="3"/>
    <x v="0"/>
    <n v="0"/>
    <n v="5"/>
    <n v="0"/>
    <n v="0"/>
    <n v="20.34"/>
    <n v="0"/>
    <n v="0"/>
    <n v="22.882430152149013"/>
    <m/>
    <m/>
    <n v="6813.9"/>
    <n v="0"/>
    <n v="0"/>
    <n v="7665.6141009699195"/>
    <n v="0"/>
    <n v="0"/>
  </r>
  <r>
    <s v="Regular"/>
    <x v="0"/>
    <x v="2"/>
    <x v="0"/>
    <x v="0"/>
    <x v="0"/>
    <x v="0"/>
    <x v="2"/>
    <x v="2"/>
    <n v="3001"/>
    <n v="3001"/>
    <n v="0"/>
    <n v="0"/>
    <n v="0"/>
    <n v="0"/>
    <n v="21"/>
    <x v="0"/>
    <n v="0"/>
    <n v="5"/>
    <n v="0"/>
    <n v="0"/>
    <n v="20.34"/>
    <n v="0"/>
    <n v="0"/>
    <n v="22.882430152149013"/>
    <m/>
    <m/>
    <n v="61040.34"/>
    <n v="0"/>
    <n v="0"/>
    <n v="68670.17288659919"/>
    <n v="0"/>
    <n v="0"/>
  </r>
  <r>
    <s v="Sistema de Compensação"/>
    <x v="0"/>
    <x v="2"/>
    <x v="0"/>
    <x v="0"/>
    <x v="0"/>
    <x v="0"/>
    <x v="2"/>
    <x v="2"/>
    <n v="285"/>
    <n v="285"/>
    <n v="0"/>
    <n v="0"/>
    <n v="0"/>
    <n v="0"/>
    <n v="2"/>
    <x v="0"/>
    <n v="0"/>
    <n v="5"/>
    <n v="0"/>
    <n v="0"/>
    <n v="20.34"/>
    <n v="0"/>
    <n v="0"/>
    <n v="22.882430152149013"/>
    <m/>
    <m/>
    <n v="5796.9"/>
    <n v="0"/>
    <n v="0"/>
    <n v="6521.4925933624691"/>
    <n v="0"/>
    <n v="0"/>
  </r>
  <r>
    <s v="Regular"/>
    <x v="0"/>
    <x v="2"/>
    <x v="0"/>
    <x v="0"/>
    <x v="0"/>
    <x v="0"/>
    <x v="2"/>
    <x v="3"/>
    <n v="2839"/>
    <n v="2839"/>
    <n v="0"/>
    <n v="0"/>
    <n v="0"/>
    <n v="0"/>
    <n v="20"/>
    <x v="0"/>
    <n v="0"/>
    <n v="5"/>
    <n v="0"/>
    <n v="0"/>
    <n v="20.34"/>
    <n v="0"/>
    <n v="0"/>
    <n v="22.882430152149013"/>
    <m/>
    <m/>
    <n v="57745.26"/>
    <n v="0"/>
    <n v="0"/>
    <n v="64963.219201951048"/>
    <n v="0"/>
    <n v="0"/>
  </r>
  <r>
    <s v="Sistema de Compensação"/>
    <x v="0"/>
    <x v="2"/>
    <x v="0"/>
    <x v="0"/>
    <x v="0"/>
    <x v="0"/>
    <x v="2"/>
    <x v="3"/>
    <n v="512"/>
    <n v="512"/>
    <n v="0"/>
    <n v="0"/>
    <n v="0"/>
    <n v="0"/>
    <n v="3"/>
    <x v="0"/>
    <n v="0"/>
    <n v="5"/>
    <n v="0"/>
    <n v="0"/>
    <n v="20.34"/>
    <n v="0"/>
    <n v="0"/>
    <n v="22.882430152149013"/>
    <m/>
    <m/>
    <n v="10414.08"/>
    <n v="0"/>
    <n v="0"/>
    <n v="11715.804237900295"/>
    <n v="0"/>
    <n v="0"/>
  </r>
  <r>
    <s v="Regular"/>
    <x v="0"/>
    <x v="2"/>
    <x v="0"/>
    <x v="0"/>
    <x v="0"/>
    <x v="0"/>
    <x v="2"/>
    <x v="4"/>
    <n v="2930"/>
    <n v="2930"/>
    <n v="0"/>
    <n v="0"/>
    <n v="0"/>
    <n v="0"/>
    <n v="20"/>
    <x v="0"/>
    <n v="0"/>
    <n v="5"/>
    <n v="0"/>
    <n v="0"/>
    <n v="20.34"/>
    <n v="0"/>
    <n v="0"/>
    <n v="22.882430152149013"/>
    <m/>
    <m/>
    <n v="59596.2"/>
    <n v="0"/>
    <n v="0"/>
    <n v="67045.520345796613"/>
    <n v="0"/>
    <n v="0"/>
  </r>
  <r>
    <s v="Sistema de Compensação"/>
    <x v="0"/>
    <x v="2"/>
    <x v="0"/>
    <x v="0"/>
    <x v="0"/>
    <x v="0"/>
    <x v="2"/>
    <x v="4"/>
    <n v="480"/>
    <n v="480"/>
    <n v="0"/>
    <n v="0"/>
    <n v="0"/>
    <n v="0"/>
    <n v="3"/>
    <x v="0"/>
    <n v="0"/>
    <n v="5"/>
    <n v="0"/>
    <n v="0"/>
    <n v="20.34"/>
    <n v="0"/>
    <n v="0"/>
    <n v="22.882430152149013"/>
    <m/>
    <m/>
    <n v="9763.2000000000007"/>
    <n v="0"/>
    <n v="0"/>
    <n v="10983.566473031526"/>
    <n v="0"/>
    <n v="0"/>
  </r>
  <r>
    <s v="Regular"/>
    <x v="0"/>
    <x v="2"/>
    <x v="0"/>
    <x v="0"/>
    <x v="0"/>
    <x v="0"/>
    <x v="2"/>
    <x v="5"/>
    <n v="2913"/>
    <n v="2913"/>
    <n v="0"/>
    <n v="0"/>
    <n v="0"/>
    <n v="0"/>
    <n v="20"/>
    <x v="0"/>
    <n v="0"/>
    <n v="5"/>
    <n v="0"/>
    <n v="0"/>
    <n v="20.34"/>
    <n v="0"/>
    <n v="0"/>
    <n v="22.882430152149013"/>
    <m/>
    <m/>
    <n v="59250.42"/>
    <n v="0"/>
    <n v="0"/>
    <n v="66656.519033210076"/>
    <n v="0"/>
    <n v="0"/>
  </r>
  <r>
    <s v="Sistema de Compensação"/>
    <x v="0"/>
    <x v="2"/>
    <x v="0"/>
    <x v="0"/>
    <x v="0"/>
    <x v="0"/>
    <x v="2"/>
    <x v="5"/>
    <n v="430"/>
    <n v="430"/>
    <n v="0"/>
    <n v="0"/>
    <n v="0"/>
    <n v="0"/>
    <n v="3"/>
    <x v="0"/>
    <n v="0"/>
    <n v="5"/>
    <n v="0"/>
    <n v="0"/>
    <n v="20.34"/>
    <n v="0"/>
    <n v="0"/>
    <n v="22.882430152149013"/>
    <m/>
    <m/>
    <n v="8746.2000000000007"/>
    <n v="0"/>
    <n v="0"/>
    <n v="9839.4449654240761"/>
    <n v="0"/>
    <n v="0"/>
  </r>
  <r>
    <s v="Regular"/>
    <x v="0"/>
    <x v="2"/>
    <x v="0"/>
    <x v="0"/>
    <x v="0"/>
    <x v="0"/>
    <x v="2"/>
    <x v="6"/>
    <n v="3246"/>
    <n v="3246"/>
    <n v="0"/>
    <n v="0"/>
    <n v="0"/>
    <n v="0"/>
    <n v="20"/>
    <x v="0"/>
    <n v="0"/>
    <n v="5"/>
    <n v="0"/>
    <n v="0"/>
    <n v="20.34"/>
    <n v="0"/>
    <n v="0"/>
    <n v="22.882430152149013"/>
    <m/>
    <m/>
    <n v="66023.64"/>
    <n v="0"/>
    <n v="0"/>
    <n v="74276.368273875691"/>
    <n v="0"/>
    <n v="0"/>
  </r>
  <r>
    <s v="Sistema de Compensação"/>
    <x v="0"/>
    <x v="2"/>
    <x v="0"/>
    <x v="0"/>
    <x v="0"/>
    <x v="0"/>
    <x v="2"/>
    <x v="6"/>
    <n v="444"/>
    <n v="444"/>
    <n v="0"/>
    <n v="0"/>
    <n v="0"/>
    <n v="0"/>
    <n v="3"/>
    <x v="0"/>
    <n v="0"/>
    <n v="5"/>
    <n v="0"/>
    <n v="0"/>
    <n v="20.34"/>
    <n v="0"/>
    <n v="0"/>
    <n v="22.882430152149013"/>
    <m/>
    <m/>
    <n v="9030.9599999999991"/>
    <n v="0"/>
    <n v="0"/>
    <n v="10159.798987554163"/>
    <n v="0"/>
    <n v="0"/>
  </r>
  <r>
    <s v="Regular"/>
    <x v="0"/>
    <x v="2"/>
    <x v="0"/>
    <x v="0"/>
    <x v="0"/>
    <x v="0"/>
    <x v="2"/>
    <x v="7"/>
    <n v="3211"/>
    <n v="3211"/>
    <n v="0"/>
    <n v="0"/>
    <n v="0"/>
    <n v="0"/>
    <n v="20"/>
    <x v="0"/>
    <n v="0"/>
    <n v="5"/>
    <n v="0"/>
    <n v="0"/>
    <n v="20.34"/>
    <n v="0"/>
    <n v="0"/>
    <n v="22.882430152149013"/>
    <m/>
    <m/>
    <n v="65311.74"/>
    <n v="0"/>
    <n v="0"/>
    <n v="73475.483218550478"/>
    <n v="0"/>
    <n v="0"/>
  </r>
  <r>
    <s v="Sistema de Compensação"/>
    <x v="0"/>
    <x v="2"/>
    <x v="0"/>
    <x v="0"/>
    <x v="0"/>
    <x v="0"/>
    <x v="2"/>
    <x v="7"/>
    <n v="457"/>
    <n v="457"/>
    <n v="0"/>
    <n v="0"/>
    <n v="0"/>
    <n v="0"/>
    <n v="3"/>
    <x v="0"/>
    <n v="0"/>
    <n v="5"/>
    <n v="0"/>
    <n v="0"/>
    <n v="20.34"/>
    <n v="0"/>
    <n v="0"/>
    <n v="22.882430152149013"/>
    <m/>
    <m/>
    <n v="9295.3799999999992"/>
    <n v="0"/>
    <n v="0"/>
    <n v="10457.270579532098"/>
    <n v="0"/>
    <n v="0"/>
  </r>
  <r>
    <s v="Regular"/>
    <x v="0"/>
    <x v="2"/>
    <x v="0"/>
    <x v="0"/>
    <x v="0"/>
    <x v="0"/>
    <x v="2"/>
    <x v="8"/>
    <n v="3209"/>
    <n v="3209"/>
    <n v="0"/>
    <n v="0"/>
    <n v="0"/>
    <n v="0"/>
    <n v="20"/>
    <x v="0"/>
    <n v="0"/>
    <n v="5"/>
    <n v="0"/>
    <n v="0"/>
    <n v="20.34"/>
    <n v="0"/>
    <n v="0"/>
    <n v="22.882430152149013"/>
    <m/>
    <m/>
    <n v="65271.06"/>
    <n v="0"/>
    <n v="0"/>
    <n v="73429.718358246188"/>
    <n v="0"/>
    <n v="0"/>
  </r>
  <r>
    <s v="Sistema de Compensação"/>
    <x v="0"/>
    <x v="2"/>
    <x v="0"/>
    <x v="0"/>
    <x v="0"/>
    <x v="0"/>
    <x v="2"/>
    <x v="8"/>
    <n v="449"/>
    <n v="449"/>
    <n v="0"/>
    <n v="0"/>
    <n v="0"/>
    <n v="0"/>
    <n v="3"/>
    <x v="0"/>
    <n v="0"/>
    <n v="5"/>
    <n v="0"/>
    <n v="0"/>
    <n v="20.34"/>
    <n v="0"/>
    <n v="0"/>
    <n v="22.882430152149013"/>
    <m/>
    <m/>
    <n v="9132.66"/>
    <n v="0"/>
    <n v="0"/>
    <n v="10274.211138314906"/>
    <n v="0"/>
    <n v="0"/>
  </r>
  <r>
    <s v="Regular"/>
    <x v="0"/>
    <x v="2"/>
    <x v="0"/>
    <x v="0"/>
    <x v="0"/>
    <x v="0"/>
    <x v="2"/>
    <x v="9"/>
    <n v="3197"/>
    <n v="3197"/>
    <n v="0"/>
    <n v="0"/>
    <n v="0"/>
    <n v="0"/>
    <n v="20"/>
    <x v="0"/>
    <n v="0"/>
    <n v="5"/>
    <n v="0"/>
    <n v="0"/>
    <n v="20.34"/>
    <n v="0"/>
    <n v="0"/>
    <n v="22.882430152149013"/>
    <m/>
    <m/>
    <n v="65026.979999999996"/>
    <n v="0"/>
    <n v="0"/>
    <n v="73155.129196420399"/>
    <n v="0"/>
    <n v="0"/>
  </r>
  <r>
    <s v="Sistema de Compensação"/>
    <x v="0"/>
    <x v="2"/>
    <x v="0"/>
    <x v="0"/>
    <x v="0"/>
    <x v="0"/>
    <x v="2"/>
    <x v="9"/>
    <n v="473"/>
    <n v="473"/>
    <n v="0"/>
    <n v="0"/>
    <n v="0"/>
    <n v="0"/>
    <n v="3"/>
    <x v="0"/>
    <n v="0"/>
    <n v="5"/>
    <n v="0"/>
    <n v="0"/>
    <n v="20.34"/>
    <n v="0"/>
    <n v="0"/>
    <n v="22.882430152149013"/>
    <m/>
    <m/>
    <n v="9620.82"/>
    <n v="0"/>
    <n v="0"/>
    <n v="10823.389461966482"/>
    <n v="0"/>
    <n v="0"/>
  </r>
  <r>
    <s v="Regular"/>
    <x v="0"/>
    <x v="2"/>
    <x v="0"/>
    <x v="0"/>
    <x v="0"/>
    <x v="0"/>
    <x v="2"/>
    <x v="10"/>
    <n v="3018"/>
    <n v="3018"/>
    <n v="0"/>
    <n v="0"/>
    <n v="0"/>
    <n v="0"/>
    <n v="20"/>
    <x v="0"/>
    <n v="0"/>
    <n v="5"/>
    <n v="0"/>
    <n v="0"/>
    <n v="20.34"/>
    <n v="0"/>
    <n v="0"/>
    <n v="22.882430152149013"/>
    <m/>
    <m/>
    <n v="61386.12"/>
    <n v="0"/>
    <n v="0"/>
    <n v="69059.174199185727"/>
    <n v="0"/>
    <n v="0"/>
  </r>
  <r>
    <s v="Sistema de Compensação"/>
    <x v="0"/>
    <x v="2"/>
    <x v="0"/>
    <x v="0"/>
    <x v="0"/>
    <x v="0"/>
    <x v="2"/>
    <x v="10"/>
    <n v="470"/>
    <n v="470"/>
    <n v="0"/>
    <n v="0"/>
    <n v="0"/>
    <n v="0"/>
    <n v="3"/>
    <x v="0"/>
    <n v="0"/>
    <n v="5"/>
    <n v="0"/>
    <n v="0"/>
    <n v="20.34"/>
    <n v="0"/>
    <n v="0"/>
    <n v="22.882430152149013"/>
    <m/>
    <m/>
    <n v="9559.7999999999993"/>
    <n v="0"/>
    <n v="0"/>
    <n v="10754.742171510035"/>
    <n v="0"/>
    <n v="0"/>
  </r>
  <r>
    <s v="PROJETADO"/>
    <x v="0"/>
    <x v="2"/>
    <x v="0"/>
    <x v="0"/>
    <x v="0"/>
    <x v="0"/>
    <x v="2"/>
    <x v="11"/>
    <n v="3018"/>
    <n v="3018"/>
    <n v="0"/>
    <n v="0"/>
    <n v="0"/>
    <n v="0"/>
    <n v="20"/>
    <x v="0"/>
    <n v="0"/>
    <n v="5"/>
    <n v="0"/>
    <n v="0"/>
    <n v="20.34"/>
    <n v="0"/>
    <n v="0"/>
    <n v="22.882430152149013"/>
    <m/>
    <m/>
    <n v="61386.12"/>
    <n v="0"/>
    <n v="0"/>
    <n v="69059.174199185727"/>
    <n v="0"/>
    <n v="0"/>
  </r>
  <r>
    <s v="PROJETADO"/>
    <x v="0"/>
    <x v="2"/>
    <x v="0"/>
    <x v="0"/>
    <x v="0"/>
    <x v="0"/>
    <x v="2"/>
    <x v="11"/>
    <n v="470"/>
    <n v="470"/>
    <n v="0"/>
    <n v="0"/>
    <n v="0"/>
    <n v="0"/>
    <n v="3"/>
    <x v="0"/>
    <n v="0"/>
    <n v="5"/>
    <n v="0"/>
    <n v="0"/>
    <n v="20.34"/>
    <n v="0"/>
    <n v="0"/>
    <n v="22.882430152149013"/>
    <m/>
    <m/>
    <n v="9559.7999999999993"/>
    <n v="0"/>
    <n v="0"/>
    <n v="10754.742171510035"/>
    <n v="0"/>
    <n v="0"/>
  </r>
  <r>
    <s v="Regular"/>
    <x v="0"/>
    <x v="2"/>
    <x v="0"/>
    <x v="0"/>
    <x v="0"/>
    <x v="0"/>
    <x v="1"/>
    <x v="0"/>
    <n v="0"/>
    <n v="0"/>
    <n v="18.285"/>
    <n v="18.285"/>
    <n v="18.285"/>
    <n v="18.285"/>
    <n v="0"/>
    <x v="0"/>
    <n v="0"/>
    <n v="0"/>
    <n v="13"/>
    <n v="22"/>
    <n v="0"/>
    <n v="1624.27"/>
    <n v="291.85000000000002"/>
    <m/>
    <n v="1607.0001847697904"/>
    <n v="219.61640797284883"/>
    <n v="0"/>
    <n v="29699.776949999999"/>
    <n v="5336.4772500000008"/>
    <n v="0"/>
    <n v="29383.998378515618"/>
    <n v="4015.6860197835408"/>
  </r>
  <r>
    <s v="Sistema de Compensação"/>
    <x v="0"/>
    <x v="2"/>
    <x v="0"/>
    <x v="0"/>
    <x v="0"/>
    <x v="0"/>
    <x v="1"/>
    <x v="0"/>
    <n v="0"/>
    <n v="0"/>
    <n v="0.46100000000000002"/>
    <n v="0.46100000000000002"/>
    <n v="0.46100000000000002"/>
    <n v="0.46100000000000002"/>
    <n v="0"/>
    <x v="0"/>
    <n v="0"/>
    <n v="0"/>
    <n v="13"/>
    <n v="22"/>
    <n v="0"/>
    <n v="1624.27"/>
    <n v="291.85000000000002"/>
    <m/>
    <n v="1607.0001847697904"/>
    <n v="219.61640797284883"/>
    <n v="0"/>
    <n v="748.78847000000007"/>
    <n v="134.54285000000002"/>
    <n v="0"/>
    <n v="740.8270851788734"/>
    <n v="101.24316407548332"/>
  </r>
  <r>
    <s v="Regular"/>
    <x v="0"/>
    <x v="2"/>
    <x v="0"/>
    <x v="0"/>
    <x v="0"/>
    <x v="0"/>
    <x v="1"/>
    <x v="1"/>
    <n v="0"/>
    <n v="0"/>
    <n v="18.222999999999999"/>
    <n v="18.222999999999999"/>
    <n v="18.222999999999999"/>
    <n v="18.222999999999999"/>
    <n v="0"/>
    <x v="0"/>
    <n v="0"/>
    <n v="0"/>
    <n v="13"/>
    <n v="22"/>
    <n v="0"/>
    <n v="1624.27"/>
    <n v="291.85000000000002"/>
    <m/>
    <n v="1607.0001847697904"/>
    <n v="219.61640797284883"/>
    <n v="0"/>
    <n v="29599.072209999998"/>
    <n v="5318.3825500000003"/>
    <n v="0"/>
    <n v="29284.36436705989"/>
    <n v="4002.069802489224"/>
  </r>
  <r>
    <s v="Sistema de Compensação"/>
    <x v="0"/>
    <x v="2"/>
    <x v="0"/>
    <x v="0"/>
    <x v="0"/>
    <x v="0"/>
    <x v="1"/>
    <x v="1"/>
    <n v="0"/>
    <n v="0"/>
    <n v="0.41399999999999998"/>
    <n v="0.41399999999999998"/>
    <n v="0.41399999999999998"/>
    <n v="0.41399999999999998"/>
    <n v="0"/>
    <x v="0"/>
    <n v="0"/>
    <n v="0"/>
    <n v="13"/>
    <n v="22"/>
    <n v="0"/>
    <n v="1624.27"/>
    <n v="291.85000000000002"/>
    <m/>
    <n v="1607.0001847697904"/>
    <n v="219.61640797284883"/>
    <n v="0"/>
    <n v="672.44777999999997"/>
    <n v="120.8259"/>
    <n v="0"/>
    <n v="665.29807649469319"/>
    <n v="90.921192900759408"/>
  </r>
  <r>
    <s v="Regular"/>
    <x v="0"/>
    <x v="2"/>
    <x v="0"/>
    <x v="0"/>
    <x v="0"/>
    <x v="0"/>
    <x v="1"/>
    <x v="2"/>
    <n v="0"/>
    <n v="0"/>
    <n v="17.599"/>
    <n v="17.599"/>
    <n v="17.599"/>
    <n v="17.599"/>
    <n v="0"/>
    <x v="0"/>
    <n v="0"/>
    <n v="0"/>
    <n v="13"/>
    <n v="22"/>
    <n v="0"/>
    <n v="1624.27"/>
    <n v="291.85000000000002"/>
    <m/>
    <n v="1607.0001847697904"/>
    <n v="219.61640797284883"/>
    <n v="0"/>
    <n v="28585.527730000002"/>
    <n v="5136.2681500000008"/>
    <n v="0"/>
    <n v="28281.596251763542"/>
    <n v="3865.0291639141665"/>
  </r>
  <r>
    <s v="Sistema de Compensação"/>
    <x v="0"/>
    <x v="2"/>
    <x v="0"/>
    <x v="0"/>
    <x v="0"/>
    <x v="0"/>
    <x v="1"/>
    <x v="2"/>
    <n v="0"/>
    <n v="0"/>
    <n v="8.9999999999999993E-3"/>
    <n v="8.9999999999999993E-3"/>
    <n v="8.9999999999999993E-3"/>
    <n v="8.9999999999999993E-3"/>
    <n v="0"/>
    <x v="0"/>
    <n v="0"/>
    <n v="0"/>
    <n v="13"/>
    <n v="22"/>
    <n v="0"/>
    <n v="1624.27"/>
    <n v="291.85000000000002"/>
    <m/>
    <n v="1607.0001847697904"/>
    <n v="219.61640797284883"/>
    <n v="0"/>
    <n v="14.618429999999998"/>
    <n v="2.6266500000000002"/>
    <n v="0"/>
    <n v="14.463001662928113"/>
    <n v="1.9765476717556394"/>
  </r>
  <r>
    <s v="Regular"/>
    <x v="0"/>
    <x v="2"/>
    <x v="0"/>
    <x v="0"/>
    <x v="0"/>
    <x v="0"/>
    <x v="1"/>
    <x v="3"/>
    <n v="0"/>
    <n v="0"/>
    <n v="18.041"/>
    <n v="18.041"/>
    <n v="18.041"/>
    <n v="18.041"/>
    <n v="0"/>
    <x v="0"/>
    <n v="0"/>
    <n v="0"/>
    <n v="13"/>
    <n v="22"/>
    <n v="0"/>
    <n v="1624.27"/>
    <n v="291.85000000000002"/>
    <m/>
    <n v="1607.0001847697904"/>
    <n v="219.61640797284883"/>
    <n v="0"/>
    <n v="29303.45507"/>
    <n v="5265.2658500000007"/>
    <n v="0"/>
    <n v="28991.890333431787"/>
    <n v="3962.0996162381657"/>
  </r>
  <r>
    <s v="Sistema de Compensação"/>
    <x v="0"/>
    <x v="2"/>
    <x v="0"/>
    <x v="0"/>
    <x v="0"/>
    <x v="0"/>
    <x v="1"/>
    <x v="3"/>
    <n v="0"/>
    <n v="0"/>
    <n v="0.66"/>
    <n v="0.66"/>
    <n v="0.66"/>
    <n v="0.66"/>
    <n v="0"/>
    <x v="0"/>
    <n v="0"/>
    <n v="0"/>
    <n v="13"/>
    <n v="22"/>
    <n v="0"/>
    <n v="1624.27"/>
    <n v="291.85000000000002"/>
    <m/>
    <n v="1607.0001847697904"/>
    <n v="219.61640797284883"/>
    <n v="0"/>
    <n v="1072.0182"/>
    <n v="192.62100000000004"/>
    <n v="0"/>
    <n v="1060.6201219480618"/>
    <n v="144.94682926208023"/>
  </r>
  <r>
    <s v="Regular"/>
    <x v="0"/>
    <x v="2"/>
    <x v="0"/>
    <x v="0"/>
    <x v="0"/>
    <x v="0"/>
    <x v="1"/>
    <x v="4"/>
    <n v="0"/>
    <n v="0"/>
    <n v="21.481000000000002"/>
    <n v="21.481000000000002"/>
    <n v="21.481000000000002"/>
    <n v="21.481000000000002"/>
    <n v="0"/>
    <x v="0"/>
    <n v="0"/>
    <n v="0"/>
    <n v="13"/>
    <n v="22"/>
    <n v="0"/>
    <n v="1624.27"/>
    <n v="291.85000000000002"/>
    <m/>
    <n v="1607.0001847697904"/>
    <n v="219.61640797284883"/>
    <n v="0"/>
    <n v="34890.943870000003"/>
    <n v="6269.2298500000006"/>
    <n v="0"/>
    <n v="34519.970969039867"/>
    <n v="4717.5800596647659"/>
  </r>
  <r>
    <s v="Sistema de Compensação"/>
    <x v="0"/>
    <x v="2"/>
    <x v="0"/>
    <x v="0"/>
    <x v="0"/>
    <x v="0"/>
    <x v="1"/>
    <x v="4"/>
    <n v="0"/>
    <n v="0"/>
    <n v="0.108"/>
    <n v="0.108"/>
    <n v="0.108"/>
    <n v="0.108"/>
    <n v="0"/>
    <x v="0"/>
    <n v="0"/>
    <n v="0"/>
    <n v="13"/>
    <n v="22"/>
    <n v="0"/>
    <n v="1624.27"/>
    <n v="291.85000000000002"/>
    <m/>
    <n v="1607.0001847697904"/>
    <n v="219.61640797284883"/>
    <n v="0"/>
    <n v="175.42115999999999"/>
    <n v="31.519800000000004"/>
    <n v="0"/>
    <n v="173.55601995513737"/>
    <n v="23.718572061067675"/>
  </r>
  <r>
    <s v="Regular"/>
    <x v="0"/>
    <x v="2"/>
    <x v="0"/>
    <x v="0"/>
    <x v="0"/>
    <x v="0"/>
    <x v="1"/>
    <x v="5"/>
    <n v="0"/>
    <n v="0"/>
    <n v="19.751999999999999"/>
    <n v="19.751999999999999"/>
    <n v="19.751999999999999"/>
    <n v="19.751999999999999"/>
    <n v="0"/>
    <x v="0"/>
    <n v="0"/>
    <n v="0"/>
    <n v="13"/>
    <n v="22"/>
    <n v="0"/>
    <n v="1624.27"/>
    <n v="291.85000000000002"/>
    <m/>
    <n v="1607.0001847697904"/>
    <n v="219.61640797284883"/>
    <n v="0"/>
    <n v="32082.581039999997"/>
    <n v="5764.6212000000005"/>
    <n v="0"/>
    <n v="31741.467649572896"/>
    <n v="4337.8632902797099"/>
  </r>
  <r>
    <s v="Sistema de Compensação"/>
    <x v="0"/>
    <x v="2"/>
    <x v="0"/>
    <x v="0"/>
    <x v="0"/>
    <x v="0"/>
    <x v="1"/>
    <x v="5"/>
    <n v="0"/>
    <n v="0"/>
    <n v="6.0000000000000001E-3"/>
    <n v="6.0000000000000001E-3"/>
    <n v="6.0000000000000001E-3"/>
    <n v="6.0000000000000001E-3"/>
    <n v="0"/>
    <x v="0"/>
    <n v="0"/>
    <n v="0"/>
    <n v="13"/>
    <n v="22"/>
    <n v="0"/>
    <n v="1624.27"/>
    <n v="291.85000000000002"/>
    <m/>
    <n v="1607.0001847697904"/>
    <n v="219.61640797284883"/>
    <n v="0"/>
    <n v="9.7456200000000006"/>
    <n v="1.7511000000000001"/>
    <n v="0"/>
    <n v="9.6420011086187429"/>
    <n v="1.317698447837093"/>
  </r>
  <r>
    <s v="Regular"/>
    <x v="0"/>
    <x v="2"/>
    <x v="0"/>
    <x v="0"/>
    <x v="0"/>
    <x v="0"/>
    <x v="1"/>
    <x v="6"/>
    <n v="0"/>
    <n v="0"/>
    <n v="52.637999999999998"/>
    <n v="52.637999999999998"/>
    <n v="52.637999999999998"/>
    <n v="52.637999999999998"/>
    <n v="0"/>
    <x v="0"/>
    <n v="0"/>
    <n v="0"/>
    <n v="13"/>
    <n v="22"/>
    <n v="0"/>
    <n v="1624.27"/>
    <n v="291.85000000000002"/>
    <m/>
    <n v="1607.0001847697904"/>
    <n v="219.61640797284883"/>
    <n v="0"/>
    <n v="85498.324259999994"/>
    <n v="15362.400300000001"/>
    <n v="0"/>
    <n v="84589.27572591223"/>
    <n v="11560.168482874817"/>
  </r>
  <r>
    <s v="Sistema de Compensação"/>
    <x v="0"/>
    <x v="2"/>
    <x v="0"/>
    <x v="0"/>
    <x v="0"/>
    <x v="0"/>
    <x v="1"/>
    <x v="6"/>
    <n v="0"/>
    <n v="0"/>
    <n v="2.5999999999999999E-2"/>
    <n v="2.5999999999999999E-2"/>
    <n v="2.5999999999999999E-2"/>
    <n v="2.5999999999999999E-2"/>
    <n v="0"/>
    <x v="0"/>
    <n v="0"/>
    <n v="0"/>
    <n v="13"/>
    <n v="22"/>
    <n v="0"/>
    <n v="1624.27"/>
    <n v="291.85000000000002"/>
    <m/>
    <n v="1607.0001847697904"/>
    <n v="219.61640797284883"/>
    <n v="0"/>
    <n v="42.231020000000001"/>
    <n v="7.5880999999999998"/>
    <n v="0"/>
    <n v="41.782004804014548"/>
    <n v="5.7100266072940693"/>
  </r>
  <r>
    <s v="Regular"/>
    <x v="0"/>
    <x v="2"/>
    <x v="0"/>
    <x v="0"/>
    <x v="0"/>
    <x v="0"/>
    <x v="1"/>
    <x v="7"/>
    <n v="0"/>
    <n v="0"/>
    <n v="40.677"/>
    <n v="40.677"/>
    <n v="40.677"/>
    <n v="40.677"/>
    <n v="0"/>
    <x v="0"/>
    <n v="0"/>
    <n v="0"/>
    <n v="13"/>
    <n v="22"/>
    <n v="0"/>
    <n v="1624.27"/>
    <n v="291.85000000000002"/>
    <m/>
    <n v="1607.0001847697904"/>
    <n v="219.61640797284883"/>
    <n v="0"/>
    <n v="66070.430789999999"/>
    <n v="11871.582450000002"/>
    <n v="0"/>
    <n v="65367.946515880765"/>
    <n v="8933.3366271115719"/>
  </r>
  <r>
    <s v="Sistema de Compensação"/>
    <x v="0"/>
    <x v="2"/>
    <x v="0"/>
    <x v="0"/>
    <x v="0"/>
    <x v="0"/>
    <x v="1"/>
    <x v="7"/>
    <n v="0"/>
    <n v="0"/>
    <n v="0.151"/>
    <n v="0.151"/>
    <n v="0.151"/>
    <n v="0.151"/>
    <n v="0"/>
    <x v="0"/>
    <n v="0"/>
    <n v="0"/>
    <n v="13"/>
    <n v="22"/>
    <n v="0"/>
    <n v="1624.27"/>
    <n v="291.85000000000002"/>
    <m/>
    <n v="1607.0001847697904"/>
    <n v="219.61640797284883"/>
    <n v="0"/>
    <n v="245.26477"/>
    <n v="44.06935"/>
    <n v="0"/>
    <n v="242.65702790023835"/>
    <n v="33.162077603900173"/>
  </r>
  <r>
    <s v="Regular"/>
    <x v="0"/>
    <x v="2"/>
    <x v="0"/>
    <x v="0"/>
    <x v="0"/>
    <x v="0"/>
    <x v="1"/>
    <x v="8"/>
    <n v="0"/>
    <n v="0"/>
    <n v="16.521000000000001"/>
    <n v="16.521000000000001"/>
    <n v="16.521000000000001"/>
    <n v="16.521000000000001"/>
    <n v="0"/>
    <x v="0"/>
    <n v="0"/>
    <n v="0"/>
    <n v="13"/>
    <n v="22"/>
    <n v="0"/>
    <n v="1624.27"/>
    <n v="291.85000000000002"/>
    <m/>
    <n v="1607.0001847697904"/>
    <n v="219.61640797284883"/>
    <n v="0"/>
    <n v="26834.56467"/>
    <n v="4821.6538500000006"/>
    <n v="0"/>
    <n v="26549.250052581709"/>
    <n v="3628.2826761194356"/>
  </r>
  <r>
    <s v="Sistema de Compensação"/>
    <x v="0"/>
    <x v="2"/>
    <x v="0"/>
    <x v="0"/>
    <x v="0"/>
    <x v="0"/>
    <x v="1"/>
    <x v="8"/>
    <n v="0"/>
    <n v="0"/>
    <n v="0.109"/>
    <n v="0.109"/>
    <n v="0.109"/>
    <n v="0.109"/>
    <n v="0"/>
    <x v="0"/>
    <n v="0"/>
    <n v="0"/>
    <n v="13"/>
    <n v="22"/>
    <n v="0"/>
    <n v="1624.27"/>
    <n v="291.85000000000002"/>
    <m/>
    <n v="1607.0001847697904"/>
    <n v="219.61640797284883"/>
    <n v="0"/>
    <n v="177.04543000000001"/>
    <n v="31.811650000000004"/>
    <n v="0"/>
    <n v="175.16302013990716"/>
    <n v="23.938188469040522"/>
  </r>
  <r>
    <s v="Regular"/>
    <x v="0"/>
    <x v="2"/>
    <x v="0"/>
    <x v="0"/>
    <x v="0"/>
    <x v="0"/>
    <x v="1"/>
    <x v="9"/>
    <n v="0"/>
    <n v="0"/>
    <n v="18.593"/>
    <n v="18.593"/>
    <n v="18.593"/>
    <n v="18.593"/>
    <n v="0"/>
    <x v="0"/>
    <n v="0"/>
    <n v="0"/>
    <n v="13"/>
    <n v="22"/>
    <n v="0"/>
    <n v="1624.27"/>
    <n v="291.85000000000002"/>
    <m/>
    <n v="1607.0001847697904"/>
    <n v="219.61640797284883"/>
    <n v="0"/>
    <n v="30200.052110000001"/>
    <n v="5426.3670500000007"/>
    <n v="0"/>
    <n v="29878.954435424712"/>
    <n v="4083.3278734391783"/>
  </r>
  <r>
    <s v="Sistema de Compensação"/>
    <x v="0"/>
    <x v="2"/>
    <x v="0"/>
    <x v="0"/>
    <x v="0"/>
    <x v="0"/>
    <x v="1"/>
    <x v="9"/>
    <n v="0"/>
    <n v="0"/>
    <n v="1.546"/>
    <n v="1.546"/>
    <n v="1.546"/>
    <n v="1.546"/>
    <n v="0"/>
    <x v="0"/>
    <n v="0"/>
    <n v="0"/>
    <n v="13"/>
    <n v="22"/>
    <n v="0"/>
    <n v="1624.27"/>
    <n v="291.85000000000002"/>
    <m/>
    <n v="1607.0001847697904"/>
    <n v="219.61640797284883"/>
    <n v="0"/>
    <n v="2511.1214199999999"/>
    <n v="451.20010000000002"/>
    <n v="0"/>
    <n v="2484.422285654096"/>
    <n v="339.52696672602428"/>
  </r>
  <r>
    <s v="Regular"/>
    <x v="0"/>
    <x v="2"/>
    <x v="0"/>
    <x v="0"/>
    <x v="0"/>
    <x v="0"/>
    <x v="1"/>
    <x v="10"/>
    <n v="0"/>
    <n v="0"/>
    <n v="21.867000000000001"/>
    <n v="21.867000000000001"/>
    <n v="21.867000000000001"/>
    <n v="21.867000000000001"/>
    <n v="0"/>
    <x v="0"/>
    <n v="0"/>
    <n v="0"/>
    <n v="13"/>
    <n v="22"/>
    <n v="0"/>
    <n v="1624.27"/>
    <n v="291.85000000000002"/>
    <m/>
    <n v="1607.0001847697904"/>
    <n v="219.61640797284883"/>
    <n v="0"/>
    <n v="35517.912089999998"/>
    <n v="6381.8839500000004"/>
    <n v="0"/>
    <n v="35140.273040361011"/>
    <n v="4802.3519931422852"/>
  </r>
  <r>
    <s v="Sistema de Compensação"/>
    <x v="0"/>
    <x v="2"/>
    <x v="0"/>
    <x v="0"/>
    <x v="0"/>
    <x v="0"/>
    <x v="1"/>
    <x v="10"/>
    <n v="0"/>
    <n v="0"/>
    <n v="1.397"/>
    <n v="1.397"/>
    <n v="1.397"/>
    <n v="1.397"/>
    <n v="0"/>
    <x v="0"/>
    <n v="0"/>
    <n v="0"/>
    <n v="13"/>
    <n v="22"/>
    <n v="0"/>
    <n v="1624.27"/>
    <n v="291.85000000000002"/>
    <m/>
    <n v="1607.0001847697904"/>
    <n v="219.61640797284883"/>
    <n v="0"/>
    <n v="2269.1051900000002"/>
    <n v="407.71445000000006"/>
    <n v="0"/>
    <n v="2244.9792581233974"/>
    <n v="306.80412193806984"/>
  </r>
  <r>
    <s v="PROJETADO"/>
    <x v="0"/>
    <x v="2"/>
    <x v="0"/>
    <x v="0"/>
    <x v="0"/>
    <x v="0"/>
    <x v="1"/>
    <x v="11"/>
    <n v="0"/>
    <n v="0"/>
    <n v="21.867000000000001"/>
    <n v="21.867000000000001"/>
    <n v="21.867000000000001"/>
    <n v="21.867000000000001"/>
    <n v="0"/>
    <x v="0"/>
    <n v="0"/>
    <n v="0"/>
    <n v="13"/>
    <n v="22"/>
    <n v="0"/>
    <n v="1624.27"/>
    <n v="291.85000000000002"/>
    <m/>
    <n v="1607.0001847697904"/>
    <n v="219.61640797284883"/>
    <n v="0"/>
    <n v="35517.912089999998"/>
    <n v="6381.8839500000004"/>
    <n v="0"/>
    <n v="35140.273040361011"/>
    <n v="4802.3519931422852"/>
  </r>
  <r>
    <s v="PROJETADO"/>
    <x v="0"/>
    <x v="2"/>
    <x v="0"/>
    <x v="0"/>
    <x v="0"/>
    <x v="0"/>
    <x v="1"/>
    <x v="11"/>
    <n v="0"/>
    <n v="0"/>
    <n v="1.397"/>
    <n v="1.397"/>
    <n v="1.397"/>
    <n v="1.397"/>
    <n v="0"/>
    <x v="0"/>
    <n v="0"/>
    <n v="0"/>
    <n v="13"/>
    <n v="22"/>
    <n v="0"/>
    <n v="1624.27"/>
    <n v="291.85000000000002"/>
    <m/>
    <n v="1607.0001847697904"/>
    <n v="219.61640797284883"/>
    <n v="0"/>
    <n v="2269.1051900000002"/>
    <n v="407.71445000000006"/>
    <n v="0"/>
    <n v="2244.9792581233974"/>
    <n v="306.80412193806984"/>
  </r>
  <r>
    <s v="Sistema de Compensação"/>
    <x v="0"/>
    <x v="2"/>
    <x v="2"/>
    <x v="0"/>
    <x v="0"/>
    <x v="0"/>
    <x v="0"/>
    <x v="2"/>
    <n v="0"/>
    <n v="0"/>
    <n v="2.306"/>
    <n v="2.2137600000000002"/>
    <n v="2.306"/>
    <n v="2.2137600000000002"/>
    <n v="0"/>
    <x v="0"/>
    <n v="0"/>
    <n v="0"/>
    <n v="3"/>
    <n v="62"/>
    <n v="0"/>
    <n v="80.73"/>
    <n v="291.85000000000002"/>
    <m/>
    <n v="109.15710156873617"/>
    <n v="219.61640797284883"/>
    <n v="0"/>
    <n v="178.71684480000002"/>
    <n v="646.08585600000015"/>
    <n v="0"/>
    <n v="241.6476251688054"/>
    <n v="486.17801931397389"/>
  </r>
  <r>
    <s v="Sistema de Compensação"/>
    <x v="0"/>
    <x v="2"/>
    <x v="2"/>
    <x v="0"/>
    <x v="0"/>
    <x v="0"/>
    <x v="0"/>
    <x v="3"/>
    <n v="0"/>
    <n v="0"/>
    <n v="7.25"/>
    <n v="6.96"/>
    <n v="7.25"/>
    <n v="6.96"/>
    <n v="0"/>
    <x v="0"/>
    <n v="0"/>
    <n v="0"/>
    <n v="3"/>
    <n v="62"/>
    <n v="0"/>
    <n v="80.73"/>
    <n v="291.85000000000002"/>
    <m/>
    <n v="109.15710156873617"/>
    <n v="219.61640797284883"/>
    <n v="0"/>
    <n v="561.88080000000002"/>
    <n v="2031.2760000000001"/>
    <n v="0"/>
    <n v="759.73342691840367"/>
    <n v="1528.5301994910278"/>
  </r>
  <r>
    <s v="Sistema de Compensação"/>
    <x v="0"/>
    <x v="2"/>
    <x v="2"/>
    <x v="0"/>
    <x v="0"/>
    <x v="0"/>
    <x v="0"/>
    <x v="4"/>
    <n v="0"/>
    <n v="0"/>
    <n v="12.491"/>
    <n v="11.991359999999998"/>
    <n v="12.491"/>
    <n v="11.991359999999998"/>
    <n v="0"/>
    <x v="0"/>
    <n v="0"/>
    <n v="0"/>
    <n v="3"/>
    <n v="62"/>
    <n v="0"/>
    <n v="80.73"/>
    <n v="291.85000000000002"/>
    <m/>
    <n v="109.15710156873617"/>
    <n v="219.61640797284883"/>
    <n v="0"/>
    <n v="968.06249279999997"/>
    <n v="3499.6784159999997"/>
    <n v="0"/>
    <n v="1308.9421014672801"/>
    <n v="2633.4994099093001"/>
  </r>
  <r>
    <s v="Sistema de Compensação"/>
    <x v="0"/>
    <x v="2"/>
    <x v="2"/>
    <x v="0"/>
    <x v="0"/>
    <x v="0"/>
    <x v="0"/>
    <x v="5"/>
    <n v="0"/>
    <n v="0"/>
    <n v="8.8330000000000002"/>
    <n v="8.4796800000000001"/>
    <n v="8.8330000000000002"/>
    <n v="8.4796800000000001"/>
    <n v="0"/>
    <x v="0"/>
    <n v="0"/>
    <n v="0"/>
    <n v="3"/>
    <n v="62"/>
    <n v="0"/>
    <n v="80.73"/>
    <n v="291.85000000000002"/>
    <m/>
    <n v="109.15710156873617"/>
    <n v="219.61640797284883"/>
    <n v="0"/>
    <n v="684.56456639999999"/>
    <n v="2474.7946080000002"/>
    <n v="0"/>
    <n v="925.61729103038067"/>
    <n v="1862.2768623592069"/>
  </r>
  <r>
    <s v="Sistema de Compensação"/>
    <x v="0"/>
    <x v="2"/>
    <x v="2"/>
    <x v="0"/>
    <x v="0"/>
    <x v="0"/>
    <x v="0"/>
    <x v="6"/>
    <n v="0"/>
    <n v="0"/>
    <n v="12.132999999999999"/>
    <n v="11.647679999999999"/>
    <n v="12.132999999999999"/>
    <n v="11.647679999999999"/>
    <n v="0"/>
    <x v="0"/>
    <n v="0"/>
    <n v="0"/>
    <n v="3"/>
    <n v="62"/>
    <n v="0"/>
    <n v="80.73"/>
    <n v="291.85000000000002"/>
    <m/>
    <n v="109.15710156873617"/>
    <n v="219.61640797284883"/>
    <n v="0"/>
    <n v="940.31720640000003"/>
    <n v="3399.3754079999999"/>
    <n v="0"/>
    <n v="1271.4269888001368"/>
    <n v="2558.0216428171916"/>
  </r>
  <r>
    <s v="Sistema de Compensação"/>
    <x v="0"/>
    <x v="2"/>
    <x v="2"/>
    <x v="0"/>
    <x v="0"/>
    <x v="0"/>
    <x v="0"/>
    <x v="7"/>
    <n v="0"/>
    <n v="0"/>
    <n v="9.8719999999999999"/>
    <n v="9.4771199999999993"/>
    <n v="9.8719999999999999"/>
    <n v="9.4771199999999993"/>
    <n v="0"/>
    <x v="0"/>
    <n v="0"/>
    <n v="0"/>
    <n v="3"/>
    <n v="62"/>
    <n v="0"/>
    <n v="80.73"/>
    <n v="291.85000000000002"/>
    <m/>
    <n v="109.15710156873617"/>
    <n v="219.61640797284883"/>
    <n v="0"/>
    <n v="765.08789760000002"/>
    <n v="2765.8974720000001"/>
    <n v="0"/>
    <n v="1034.4949504191009"/>
    <n v="2081.331052327645"/>
  </r>
  <r>
    <s v="Sistema de Compensação"/>
    <x v="0"/>
    <x v="2"/>
    <x v="2"/>
    <x v="0"/>
    <x v="0"/>
    <x v="0"/>
    <x v="0"/>
    <x v="8"/>
    <n v="0"/>
    <n v="0"/>
    <n v="7.1609999999999996"/>
    <n v="6.8745599999999998"/>
    <n v="7.1609999999999996"/>
    <n v="6.8745599999999998"/>
    <n v="0"/>
    <x v="0"/>
    <n v="0"/>
    <n v="0"/>
    <n v="3"/>
    <n v="62"/>
    <n v="0"/>
    <n v="80.73"/>
    <n v="291.85000000000002"/>
    <m/>
    <n v="109.15710156873617"/>
    <n v="219.61640797284883"/>
    <n v="0"/>
    <n v="554.98322880000001"/>
    <n v="2006.340336"/>
    <n v="0"/>
    <n v="750.4070441603709"/>
    <n v="1509.7661735938277"/>
  </r>
  <r>
    <s v="Sistema de Compensação"/>
    <x v="0"/>
    <x v="2"/>
    <x v="2"/>
    <x v="0"/>
    <x v="0"/>
    <x v="0"/>
    <x v="0"/>
    <x v="9"/>
    <n v="0"/>
    <n v="0"/>
    <n v="7.3840000000000003"/>
    <n v="7.0886399999999998"/>
    <n v="7.3840000000000003"/>
    <n v="7.0886399999999998"/>
    <n v="0"/>
    <x v="0"/>
    <n v="0"/>
    <n v="0"/>
    <n v="3"/>
    <n v="62"/>
    <n v="0"/>
    <n v="80.73"/>
    <n v="291.85000000000002"/>
    <m/>
    <n v="109.15710156873617"/>
    <n v="219.61640797284883"/>
    <n v="0"/>
    <n v="572.26590720000002"/>
    <n v="2068.8195840000003"/>
    <n v="0"/>
    <n v="773.77539646420587"/>
    <n v="1556.7816542126552"/>
  </r>
  <r>
    <s v="Sistema de Compensação"/>
    <x v="0"/>
    <x v="2"/>
    <x v="2"/>
    <x v="0"/>
    <x v="0"/>
    <x v="0"/>
    <x v="0"/>
    <x v="10"/>
    <n v="0"/>
    <n v="0"/>
    <n v="8.0359999999999996"/>
    <n v="7.7145599999999996"/>
    <n v="8.0359999999999996"/>
    <n v="7.7145599999999996"/>
    <n v="0"/>
    <x v="0"/>
    <n v="0"/>
    <n v="0"/>
    <n v="3"/>
    <n v="62"/>
    <n v="0"/>
    <n v="80.73"/>
    <n v="291.85000000000002"/>
    <m/>
    <n v="109.15710156873617"/>
    <n v="219.61640797284883"/>
    <n v="0"/>
    <n v="622.79642880000006"/>
    <n v="2251.4943360000002"/>
    <n v="0"/>
    <n v="842.09900947810922"/>
    <n v="1694.2439562910206"/>
  </r>
  <r>
    <s v="PROJETADO"/>
    <x v="0"/>
    <x v="2"/>
    <x v="2"/>
    <x v="0"/>
    <x v="0"/>
    <x v="0"/>
    <x v="0"/>
    <x v="11"/>
    <n v="0"/>
    <n v="0"/>
    <n v="8.0359999999999996"/>
    <n v="7.7145599999999996"/>
    <n v="8.0359999999999996"/>
    <n v="7.7145599999999996"/>
    <n v="0"/>
    <x v="0"/>
    <n v="0"/>
    <n v="0"/>
    <n v="3"/>
    <n v="62"/>
    <n v="0"/>
    <n v="80.73"/>
    <n v="291.85000000000002"/>
    <m/>
    <n v="109.15710156873617"/>
    <n v="219.61640797284883"/>
    <n v="0"/>
    <n v="622.79642880000006"/>
    <n v="2251.4943360000002"/>
    <n v="0"/>
    <n v="842.09900947810922"/>
    <n v="1694.2439562910206"/>
  </r>
  <r>
    <s v="Sistema de Compensação"/>
    <x v="0"/>
    <x v="2"/>
    <x v="2"/>
    <x v="0"/>
    <x v="0"/>
    <x v="0"/>
    <x v="2"/>
    <x v="2"/>
    <n v="50"/>
    <n v="48"/>
    <n v="0"/>
    <n v="0"/>
    <n v="0"/>
    <n v="0"/>
    <n v="1"/>
    <x v="0"/>
    <n v="0"/>
    <n v="5"/>
    <n v="0"/>
    <n v="0"/>
    <n v="20.34"/>
    <n v="0"/>
    <n v="0"/>
    <n v="22.882430152149013"/>
    <m/>
    <m/>
    <n v="976.31999999999994"/>
    <n v="0"/>
    <n v="0"/>
    <n v="1098.3566473031526"/>
    <n v="0"/>
    <n v="0"/>
  </r>
  <r>
    <s v="Sistema de Compensação"/>
    <x v="0"/>
    <x v="2"/>
    <x v="2"/>
    <x v="0"/>
    <x v="0"/>
    <x v="0"/>
    <x v="2"/>
    <x v="3"/>
    <n v="50"/>
    <n v="48"/>
    <n v="0"/>
    <n v="0"/>
    <n v="0"/>
    <n v="0"/>
    <n v="1"/>
    <x v="0"/>
    <n v="0"/>
    <n v="5"/>
    <n v="0"/>
    <n v="0"/>
    <n v="20.34"/>
    <n v="0"/>
    <n v="0"/>
    <n v="22.882430152149013"/>
    <m/>
    <m/>
    <n v="976.31999999999994"/>
    <n v="0"/>
    <n v="0"/>
    <n v="1098.3566473031526"/>
    <n v="0"/>
    <n v="0"/>
  </r>
  <r>
    <s v="Sistema de Compensação"/>
    <x v="0"/>
    <x v="2"/>
    <x v="2"/>
    <x v="0"/>
    <x v="0"/>
    <x v="0"/>
    <x v="2"/>
    <x v="4"/>
    <n v="55"/>
    <n v="52.8"/>
    <n v="0"/>
    <n v="0"/>
    <n v="0"/>
    <n v="0"/>
    <n v="1"/>
    <x v="0"/>
    <n v="0"/>
    <n v="5"/>
    <n v="0"/>
    <n v="0"/>
    <n v="20.34"/>
    <n v="0"/>
    <n v="0"/>
    <n v="22.882430152149013"/>
    <m/>
    <m/>
    <n v="1073.952"/>
    <n v="0"/>
    <n v="0"/>
    <n v="1208.1923120334677"/>
    <n v="0"/>
    <n v="0"/>
  </r>
  <r>
    <s v="Sistema de Compensação"/>
    <x v="0"/>
    <x v="2"/>
    <x v="2"/>
    <x v="0"/>
    <x v="0"/>
    <x v="0"/>
    <x v="2"/>
    <x v="5"/>
    <n v="50"/>
    <n v="48"/>
    <n v="0"/>
    <n v="0"/>
    <n v="0"/>
    <n v="0"/>
    <n v="1"/>
    <x v="0"/>
    <n v="0"/>
    <n v="5"/>
    <n v="0"/>
    <n v="0"/>
    <n v="20.34"/>
    <n v="0"/>
    <n v="0"/>
    <n v="22.882430152149013"/>
    <m/>
    <m/>
    <n v="976.31999999999994"/>
    <n v="0"/>
    <n v="0"/>
    <n v="1098.3566473031526"/>
    <n v="0"/>
    <n v="0"/>
  </r>
  <r>
    <s v="Sistema de Compensação"/>
    <x v="0"/>
    <x v="2"/>
    <x v="2"/>
    <x v="0"/>
    <x v="0"/>
    <x v="0"/>
    <x v="2"/>
    <x v="6"/>
    <n v="54"/>
    <n v="51.839999999999996"/>
    <n v="0"/>
    <n v="0"/>
    <n v="0"/>
    <n v="0"/>
    <n v="1"/>
    <x v="0"/>
    <n v="0"/>
    <n v="5"/>
    <n v="0"/>
    <n v="0"/>
    <n v="20.34"/>
    <n v="0"/>
    <n v="0"/>
    <n v="22.882430152149013"/>
    <m/>
    <m/>
    <n v="1054.4255999999998"/>
    <n v="0"/>
    <n v="0"/>
    <n v="1186.2251790874047"/>
    <n v="0"/>
    <n v="0"/>
  </r>
  <r>
    <s v="Sistema de Compensação"/>
    <x v="0"/>
    <x v="2"/>
    <x v="2"/>
    <x v="0"/>
    <x v="0"/>
    <x v="0"/>
    <x v="2"/>
    <x v="7"/>
    <n v="52"/>
    <n v="49.92"/>
    <n v="0"/>
    <n v="0"/>
    <n v="0"/>
    <n v="0"/>
    <n v="1"/>
    <x v="0"/>
    <n v="0"/>
    <n v="5"/>
    <n v="0"/>
    <n v="0"/>
    <n v="20.34"/>
    <n v="0"/>
    <n v="0"/>
    <n v="22.882430152149013"/>
    <m/>
    <m/>
    <n v="1015.3728"/>
    <n v="0"/>
    <n v="0"/>
    <n v="1142.2909131952788"/>
    <n v="0"/>
    <n v="0"/>
  </r>
  <r>
    <s v="Sistema de Compensação"/>
    <x v="0"/>
    <x v="2"/>
    <x v="2"/>
    <x v="0"/>
    <x v="0"/>
    <x v="0"/>
    <x v="2"/>
    <x v="8"/>
    <n v="50"/>
    <n v="48"/>
    <n v="0"/>
    <n v="0"/>
    <n v="0"/>
    <n v="0"/>
    <n v="1"/>
    <x v="0"/>
    <n v="0"/>
    <n v="5"/>
    <n v="0"/>
    <n v="0"/>
    <n v="20.34"/>
    <n v="0"/>
    <n v="0"/>
    <n v="22.882430152149013"/>
    <m/>
    <m/>
    <n v="976.31999999999994"/>
    <n v="0"/>
    <n v="0"/>
    <n v="1098.3566473031526"/>
    <n v="0"/>
    <n v="0"/>
  </r>
  <r>
    <s v="Sistema de Compensação"/>
    <x v="0"/>
    <x v="2"/>
    <x v="2"/>
    <x v="0"/>
    <x v="0"/>
    <x v="0"/>
    <x v="2"/>
    <x v="9"/>
    <n v="50"/>
    <n v="48"/>
    <n v="0"/>
    <n v="0"/>
    <n v="0"/>
    <n v="0"/>
    <n v="1"/>
    <x v="0"/>
    <n v="0"/>
    <n v="5"/>
    <n v="0"/>
    <n v="0"/>
    <n v="20.34"/>
    <n v="0"/>
    <n v="0"/>
    <n v="22.882430152149013"/>
    <m/>
    <m/>
    <n v="976.31999999999994"/>
    <n v="0"/>
    <n v="0"/>
    <n v="1098.3566473031526"/>
    <n v="0"/>
    <n v="0"/>
  </r>
  <r>
    <s v="Sistema de Compensação"/>
    <x v="0"/>
    <x v="2"/>
    <x v="2"/>
    <x v="0"/>
    <x v="0"/>
    <x v="0"/>
    <x v="2"/>
    <x v="10"/>
    <n v="50"/>
    <n v="48"/>
    <n v="0"/>
    <n v="0"/>
    <n v="0"/>
    <n v="0"/>
    <n v="1"/>
    <x v="0"/>
    <n v="0"/>
    <n v="5"/>
    <n v="0"/>
    <n v="0"/>
    <n v="20.34"/>
    <n v="0"/>
    <n v="0"/>
    <n v="22.882430152149013"/>
    <m/>
    <m/>
    <n v="976.31999999999994"/>
    <n v="0"/>
    <n v="0"/>
    <n v="1098.3566473031526"/>
    <n v="0"/>
    <n v="0"/>
  </r>
  <r>
    <s v="PROJETADO"/>
    <x v="0"/>
    <x v="2"/>
    <x v="2"/>
    <x v="0"/>
    <x v="0"/>
    <x v="0"/>
    <x v="2"/>
    <x v="11"/>
    <n v="50"/>
    <n v="48"/>
    <n v="0"/>
    <n v="0"/>
    <n v="0"/>
    <n v="0"/>
    <n v="1"/>
    <x v="0"/>
    <n v="0"/>
    <n v="5"/>
    <n v="0"/>
    <n v="0"/>
    <n v="20.34"/>
    <n v="0"/>
    <n v="0"/>
    <n v="22.882430152149013"/>
    <m/>
    <m/>
    <n v="976.31999999999994"/>
    <n v="0"/>
    <n v="0"/>
    <n v="1098.3566473031526"/>
    <n v="0"/>
    <n v="0"/>
  </r>
  <r>
    <s v="Sistema de Compensação"/>
    <x v="0"/>
    <x v="2"/>
    <x v="2"/>
    <x v="0"/>
    <x v="0"/>
    <x v="0"/>
    <x v="1"/>
    <x v="2"/>
    <n v="0"/>
    <n v="0"/>
    <n v="0.70199999999999996"/>
    <n v="0.67391999999999996"/>
    <n v="0.70199999999999996"/>
    <n v="0.67391999999999996"/>
    <n v="0"/>
    <x v="0"/>
    <n v="0"/>
    <n v="0"/>
    <n v="13"/>
    <n v="22"/>
    <n v="0"/>
    <n v="1624.27"/>
    <n v="291.85000000000002"/>
    <m/>
    <n v="1607.0001847697904"/>
    <n v="219.61640797284883"/>
    <n v="0"/>
    <n v="1094.6280383999999"/>
    <n v="196.68355199999999"/>
    <n v="0"/>
    <n v="1082.989564520057"/>
    <n v="148.00388966106229"/>
  </r>
  <r>
    <s v="Sistema de Compensação"/>
    <x v="0"/>
    <x v="2"/>
    <x v="2"/>
    <x v="0"/>
    <x v="0"/>
    <x v="0"/>
    <x v="1"/>
    <x v="3"/>
    <n v="0"/>
    <n v="0"/>
    <n v="0.8"/>
    <n v="0.76800000000000002"/>
    <n v="0.8"/>
    <n v="0.76800000000000002"/>
    <n v="0"/>
    <x v="0"/>
    <n v="0"/>
    <n v="0"/>
    <n v="13"/>
    <n v="22"/>
    <n v="0"/>
    <n v="1624.27"/>
    <n v="291.85000000000002"/>
    <m/>
    <n v="1607.0001847697904"/>
    <n v="219.61640797284883"/>
    <n v="0"/>
    <n v="1247.4393600000001"/>
    <n v="224.14080000000001"/>
    <n v="0"/>
    <n v="1234.1761419031991"/>
    <n v="168.6654013231479"/>
  </r>
  <r>
    <s v="Sistema de Compensação"/>
    <x v="0"/>
    <x v="2"/>
    <x v="2"/>
    <x v="0"/>
    <x v="0"/>
    <x v="0"/>
    <x v="1"/>
    <x v="4"/>
    <n v="0"/>
    <n v="0"/>
    <n v="0.871"/>
    <n v="0.83616000000000001"/>
    <n v="0.871"/>
    <n v="0.83616000000000001"/>
    <n v="0"/>
    <x v="0"/>
    <n v="0"/>
    <n v="0"/>
    <n v="13"/>
    <n v="22"/>
    <n v="0"/>
    <n v="1624.27"/>
    <n v="291.85000000000002"/>
    <m/>
    <n v="1607.0001847697904"/>
    <n v="219.61640797284883"/>
    <n v="0"/>
    <n v="1358.1496032"/>
    <n v="244.03329600000004"/>
    <n v="0"/>
    <n v="1343.709274497108"/>
    <n v="183.63445569057728"/>
  </r>
  <r>
    <s v="Sistema de Compensação"/>
    <x v="0"/>
    <x v="2"/>
    <x v="2"/>
    <x v="0"/>
    <x v="0"/>
    <x v="0"/>
    <x v="1"/>
    <x v="5"/>
    <n v="0"/>
    <n v="0"/>
    <n v="0.68500000000000005"/>
    <n v="0.65760000000000007"/>
    <n v="0.68500000000000005"/>
    <n v="0.65760000000000007"/>
    <n v="0"/>
    <x v="0"/>
    <n v="0"/>
    <n v="0"/>
    <n v="13"/>
    <n v="22"/>
    <n v="0"/>
    <n v="1624.27"/>
    <n v="291.85000000000002"/>
    <m/>
    <n v="1607.0001847697904"/>
    <n v="219.61640797284883"/>
    <n v="0"/>
    <n v="1068.119952"/>
    <n v="191.92056000000002"/>
    <n v="0"/>
    <n v="1056.7633215046142"/>
    <n v="144.41974988294541"/>
  </r>
  <r>
    <s v="Sistema de Compensação"/>
    <x v="0"/>
    <x v="2"/>
    <x v="2"/>
    <x v="0"/>
    <x v="0"/>
    <x v="0"/>
    <x v="1"/>
    <x v="6"/>
    <n v="0"/>
    <n v="0"/>
    <n v="0.48299999999999998"/>
    <n v="0.46367999999999998"/>
    <n v="0.48299999999999998"/>
    <n v="0.46367999999999998"/>
    <n v="0"/>
    <x v="0"/>
    <n v="0"/>
    <n v="0"/>
    <n v="13"/>
    <n v="22"/>
    <n v="0"/>
    <n v="1624.27"/>
    <n v="291.85000000000002"/>
    <m/>
    <n v="1607.0001847697904"/>
    <n v="219.61640797284883"/>
    <n v="0"/>
    <n v="753.14151359999994"/>
    <n v="135.325008"/>
    <n v="0"/>
    <n v="745.13384567405637"/>
    <n v="101.83173604885054"/>
  </r>
  <r>
    <s v="Sistema de Compensação"/>
    <x v="0"/>
    <x v="2"/>
    <x v="2"/>
    <x v="0"/>
    <x v="0"/>
    <x v="0"/>
    <x v="1"/>
    <x v="7"/>
    <n v="0"/>
    <n v="0"/>
    <n v="0.35099999999999998"/>
    <n v="0.33695999999999998"/>
    <n v="0.35099999999999998"/>
    <n v="0.33695999999999998"/>
    <n v="0"/>
    <x v="0"/>
    <n v="0"/>
    <n v="0"/>
    <n v="13"/>
    <n v="22"/>
    <n v="0"/>
    <n v="1624.27"/>
    <n v="291.85000000000002"/>
    <m/>
    <n v="1607.0001847697904"/>
    <n v="219.61640797284883"/>
    <n v="0"/>
    <n v="547.31401919999996"/>
    <n v="98.341775999999996"/>
    <n v="0"/>
    <n v="541.4947822600285"/>
    <n v="74.001944830531144"/>
  </r>
  <r>
    <s v="Sistema de Compensação"/>
    <x v="0"/>
    <x v="2"/>
    <x v="2"/>
    <x v="0"/>
    <x v="0"/>
    <x v="0"/>
    <x v="1"/>
    <x v="8"/>
    <n v="0"/>
    <n v="0"/>
    <n v="0.40200000000000002"/>
    <n v="0.38591999999999999"/>
    <n v="0.40200000000000002"/>
    <n v="0.38591999999999999"/>
    <n v="0"/>
    <x v="0"/>
    <n v="0"/>
    <n v="0"/>
    <n v="13"/>
    <n v="22"/>
    <n v="0"/>
    <n v="1624.27"/>
    <n v="291.85000000000002"/>
    <m/>
    <n v="1607.0001847697904"/>
    <n v="219.61640797284883"/>
    <n v="0"/>
    <n v="626.83827839999992"/>
    <n v="112.630752"/>
    <n v="0"/>
    <n v="620.17351130635745"/>
    <n v="84.754364164881821"/>
  </r>
  <r>
    <s v="Sistema de Compensação"/>
    <x v="0"/>
    <x v="2"/>
    <x v="2"/>
    <x v="0"/>
    <x v="0"/>
    <x v="0"/>
    <x v="1"/>
    <x v="9"/>
    <n v="0"/>
    <n v="0"/>
    <n v="0.50800000000000001"/>
    <n v="0.48768"/>
    <n v="0.50800000000000001"/>
    <n v="0.48768"/>
    <n v="0"/>
    <x v="0"/>
    <n v="0"/>
    <n v="0"/>
    <n v="13"/>
    <n v="22"/>
    <n v="0"/>
    <n v="1624.27"/>
    <n v="291.85000000000002"/>
    <m/>
    <n v="1607.0001847697904"/>
    <n v="219.61640797284883"/>
    <n v="0"/>
    <n v="792.12399359999995"/>
    <n v="142.329408"/>
    <n v="0"/>
    <n v="783.7018501085314"/>
    <n v="107.10252984019893"/>
  </r>
  <r>
    <s v="Sistema de Compensação"/>
    <x v="0"/>
    <x v="2"/>
    <x v="2"/>
    <x v="0"/>
    <x v="0"/>
    <x v="0"/>
    <x v="1"/>
    <x v="10"/>
    <n v="0"/>
    <n v="0"/>
    <n v="0.435"/>
    <n v="0.41759999999999997"/>
    <n v="0.435"/>
    <n v="0.41759999999999997"/>
    <n v="0"/>
    <x v="0"/>
    <n v="0"/>
    <n v="0"/>
    <n v="13"/>
    <n v="22"/>
    <n v="0"/>
    <n v="1624.27"/>
    <n v="291.85000000000002"/>
    <m/>
    <n v="1607.0001847697904"/>
    <n v="219.61640797284883"/>
    <n v="0"/>
    <n v="678.29515199999992"/>
    <n v="121.87656"/>
    <n v="0"/>
    <n v="671.08327715986445"/>
    <n v="91.711811969461664"/>
  </r>
  <r>
    <s v="PROJETADO"/>
    <x v="0"/>
    <x v="2"/>
    <x v="2"/>
    <x v="0"/>
    <x v="0"/>
    <x v="0"/>
    <x v="1"/>
    <x v="11"/>
    <n v="0"/>
    <n v="0"/>
    <n v="0.435"/>
    <n v="0.41759999999999997"/>
    <n v="0.435"/>
    <n v="0.41759999999999997"/>
    <n v="0"/>
    <x v="0"/>
    <n v="0"/>
    <n v="0"/>
    <n v="13"/>
    <n v="22"/>
    <n v="0"/>
    <n v="1624.27"/>
    <n v="291.85000000000002"/>
    <m/>
    <n v="1607.0001847697904"/>
    <n v="219.61640797284883"/>
    <n v="0"/>
    <n v="678.29515199999992"/>
    <n v="121.87656"/>
    <n v="0"/>
    <n v="671.08327715986445"/>
    <n v="91.711811969461664"/>
  </r>
  <r>
    <s v="Regular"/>
    <x v="1"/>
    <x v="3"/>
    <x v="3"/>
    <x v="1"/>
    <x v="0"/>
    <x v="0"/>
    <x v="2"/>
    <x v="0"/>
    <n v="0"/>
    <n v="0"/>
    <n v="862.51199999999994"/>
    <n v="862.51199999999994"/>
    <n v="862.51199999999994"/>
    <n v="862.51199999999994"/>
    <n v="4573"/>
    <x v="0"/>
    <n v="0"/>
    <n v="0"/>
    <n v="16"/>
    <n v="53"/>
    <n v="0"/>
    <n v="370.66"/>
    <n v="291.85000000000002"/>
    <m/>
    <n v="419.42956266093978"/>
    <n v="219.61640797284883"/>
    <n v="0"/>
    <n v="319698.69792000001"/>
    <n v="251724.12720000002"/>
    <n v="0"/>
    <n v="361763.03094981244"/>
    <n v="189421.78727347779"/>
  </r>
  <r>
    <s v="Sistema de Compensação"/>
    <x v="1"/>
    <x v="3"/>
    <x v="3"/>
    <x v="1"/>
    <x v="0"/>
    <x v="0"/>
    <x v="2"/>
    <x v="0"/>
    <n v="0"/>
    <n v="0"/>
    <n v="23.428999999999998"/>
    <n v="23.428999999999998"/>
    <n v="23.428999999999998"/>
    <n v="23.428999999999998"/>
    <n v="124"/>
    <x v="0"/>
    <n v="0"/>
    <n v="0"/>
    <n v="16"/>
    <n v="53"/>
    <n v="0"/>
    <n v="370.66"/>
    <n v="291.85000000000002"/>
    <m/>
    <n v="419.42956266093978"/>
    <n v="219.61640797284883"/>
    <n v="0"/>
    <n v="8684.1931399999994"/>
    <n v="6837.7536499999997"/>
    <n v="0"/>
    <n v="9826.8152235831567"/>
    <n v="5145.3928223958746"/>
  </r>
  <r>
    <s v="Regular"/>
    <x v="1"/>
    <x v="3"/>
    <x v="3"/>
    <x v="1"/>
    <x v="0"/>
    <x v="0"/>
    <x v="2"/>
    <x v="1"/>
    <n v="0"/>
    <n v="0"/>
    <n v="844.38800000000003"/>
    <n v="844.38800000000003"/>
    <n v="844.38800000000003"/>
    <n v="844.38800000000003"/>
    <n v="4584"/>
    <x v="0"/>
    <n v="0"/>
    <n v="0"/>
    <n v="16"/>
    <n v="53"/>
    <n v="0"/>
    <n v="370.66"/>
    <n v="291.85000000000002"/>
    <m/>
    <n v="419.42956266093978"/>
    <n v="219.61640797284883"/>
    <n v="0"/>
    <n v="312980.85608000006"/>
    <n v="246434.63780000003"/>
    <n v="0"/>
    <n v="354161.28955614561"/>
    <n v="185441.4594953779"/>
  </r>
  <r>
    <s v="Sistema de Compensação"/>
    <x v="1"/>
    <x v="3"/>
    <x v="3"/>
    <x v="1"/>
    <x v="0"/>
    <x v="0"/>
    <x v="2"/>
    <x v="1"/>
    <n v="0"/>
    <n v="0"/>
    <n v="24.843"/>
    <n v="24.843"/>
    <n v="24.843"/>
    <n v="24.843"/>
    <n v="128"/>
    <x v="0"/>
    <n v="0"/>
    <n v="0"/>
    <n v="16"/>
    <n v="53"/>
    <n v="0"/>
    <n v="370.66"/>
    <n v="291.85000000000002"/>
    <m/>
    <n v="419.42956266093978"/>
    <n v="219.61640797284883"/>
    <n v="0"/>
    <n v="9208.30638"/>
    <n v="7250.4295500000007"/>
    <n v="0"/>
    <n v="10419.888625185728"/>
    <n v="5455.930423269484"/>
  </r>
  <r>
    <s v="Regular"/>
    <x v="1"/>
    <x v="3"/>
    <x v="3"/>
    <x v="1"/>
    <x v="0"/>
    <x v="0"/>
    <x v="2"/>
    <x v="2"/>
    <n v="0"/>
    <n v="0"/>
    <n v="898.28300000000002"/>
    <n v="898.28300000000002"/>
    <n v="898.28300000000002"/>
    <n v="898.28300000000002"/>
    <n v="4589"/>
    <x v="0"/>
    <n v="0"/>
    <n v="0"/>
    <n v="16"/>
    <n v="53"/>
    <n v="0"/>
    <n v="370.66"/>
    <n v="291.85000000000002"/>
    <m/>
    <n v="419.42956266093978"/>
    <n v="219.61640797284883"/>
    <n v="0"/>
    <n v="332957.57678"/>
    <n v="262163.89355000004"/>
    <n v="0"/>
    <n v="376766.44583575695"/>
    <n v="197277.68580307456"/>
  </r>
  <r>
    <s v="Refaturamento - Regular"/>
    <x v="1"/>
    <x v="3"/>
    <x v="3"/>
    <x v="1"/>
    <x v="0"/>
    <x v="0"/>
    <x v="2"/>
    <x v="2"/>
    <n v="0"/>
    <n v="0"/>
    <n v="-0.10299999999999999"/>
    <n v="-0.10299999999999999"/>
    <n v="-0.10299999999999999"/>
    <n v="-0.10299999999999999"/>
    <n v="0"/>
    <x v="0"/>
    <n v="0"/>
    <n v="0"/>
    <n v="16"/>
    <n v="53"/>
    <n v="0"/>
    <n v="370.66"/>
    <n v="291.85000000000002"/>
    <m/>
    <n v="419.42956266093978"/>
    <n v="219.61640797284883"/>
    <n v="0"/>
    <n v="-38.177979999999998"/>
    <n v="-30.060549999999999"/>
    <n v="0"/>
    <n v="-43.201244954076792"/>
    <n v="-22.62049002120343"/>
  </r>
  <r>
    <s v="Sistema de Compensação"/>
    <x v="1"/>
    <x v="3"/>
    <x v="3"/>
    <x v="1"/>
    <x v="0"/>
    <x v="0"/>
    <x v="2"/>
    <x v="2"/>
    <n v="0"/>
    <n v="0"/>
    <n v="16.356000000000002"/>
    <n v="16.356000000000002"/>
    <n v="16.356000000000002"/>
    <n v="16.356000000000002"/>
    <n v="144"/>
    <x v="0"/>
    <n v="0"/>
    <n v="0"/>
    <n v="16"/>
    <n v="53"/>
    <n v="0"/>
    <n v="370.66"/>
    <n v="291.85000000000002"/>
    <m/>
    <n v="419.42956266093978"/>
    <n v="219.61640797284883"/>
    <n v="0"/>
    <n v="6062.5149600000013"/>
    <n v="4773.4986000000008"/>
    <n v="0"/>
    <n v="6860.1899268823317"/>
    <n v="3592.0459688039159"/>
  </r>
  <r>
    <s v="Regular"/>
    <x v="1"/>
    <x v="3"/>
    <x v="3"/>
    <x v="1"/>
    <x v="0"/>
    <x v="0"/>
    <x v="2"/>
    <x v="3"/>
    <n v="0"/>
    <n v="0"/>
    <n v="833.47400000000005"/>
    <n v="833.47400000000005"/>
    <n v="833.47400000000005"/>
    <n v="833.47400000000005"/>
    <n v="4594"/>
    <x v="0"/>
    <n v="0"/>
    <n v="0"/>
    <n v="16"/>
    <n v="53"/>
    <n v="0"/>
    <n v="370.66"/>
    <n v="291.85000000000002"/>
    <m/>
    <n v="419.42956266093978"/>
    <n v="219.61640797284883"/>
    <n v="0"/>
    <n v="308935.47284000006"/>
    <n v="243249.38690000004"/>
    <n v="0"/>
    <n v="349583.63530926412"/>
    <n v="183044.56601876221"/>
  </r>
  <r>
    <s v="Sistema de Compensação"/>
    <x v="1"/>
    <x v="3"/>
    <x v="3"/>
    <x v="1"/>
    <x v="0"/>
    <x v="0"/>
    <x v="2"/>
    <x v="3"/>
    <n v="0"/>
    <n v="0"/>
    <n v="15.928000000000001"/>
    <n v="15.928000000000001"/>
    <n v="15.928000000000001"/>
    <n v="15.928000000000001"/>
    <n v="153"/>
    <x v="0"/>
    <n v="0"/>
    <n v="0"/>
    <n v="16"/>
    <n v="53"/>
    <n v="0"/>
    <n v="370.66"/>
    <n v="291.85000000000002"/>
    <m/>
    <n v="419.42956266093978"/>
    <n v="219.61640797284883"/>
    <n v="0"/>
    <n v="5903.8724800000009"/>
    <n v="4648.5868000000009"/>
    <n v="0"/>
    <n v="6680.6740740634496"/>
    <n v="3498.0501461915364"/>
  </r>
  <r>
    <s v="Regular"/>
    <x v="1"/>
    <x v="3"/>
    <x v="3"/>
    <x v="1"/>
    <x v="0"/>
    <x v="0"/>
    <x v="2"/>
    <x v="4"/>
    <n v="0"/>
    <n v="0"/>
    <n v="971.65700000000004"/>
    <n v="971.65700000000004"/>
    <n v="971.65700000000004"/>
    <n v="971.65700000000004"/>
    <n v="4598"/>
    <x v="0"/>
    <n v="0"/>
    <n v="0"/>
    <n v="16"/>
    <n v="53"/>
    <n v="0"/>
    <n v="370.66"/>
    <n v="291.85000000000002"/>
    <m/>
    <n v="419.42956266093978"/>
    <n v="219.61640797284883"/>
    <n v="0"/>
    <n v="360154.38362000004"/>
    <n v="283578.09545000002"/>
    <n v="0"/>
    <n v="407541.67056644079"/>
    <n v="213391.82012167439"/>
  </r>
  <r>
    <s v="Sistema de Compensação"/>
    <x v="1"/>
    <x v="3"/>
    <x v="3"/>
    <x v="1"/>
    <x v="0"/>
    <x v="0"/>
    <x v="2"/>
    <x v="4"/>
    <n v="0"/>
    <n v="0"/>
    <n v="21.492999999999999"/>
    <n v="21.492999999999999"/>
    <n v="21.492999999999999"/>
    <n v="21.492999999999999"/>
    <n v="162"/>
    <x v="0"/>
    <n v="0"/>
    <n v="0"/>
    <n v="16"/>
    <n v="53"/>
    <n v="0"/>
    <n v="370.66"/>
    <n v="291.85000000000002"/>
    <m/>
    <n v="419.42956266093978"/>
    <n v="219.61640797284883"/>
    <n v="0"/>
    <n v="7966.5953799999997"/>
    <n v="6272.7320499999996"/>
    <n v="0"/>
    <n v="9014.7995902715775"/>
    <n v="4720.2154565604396"/>
  </r>
  <r>
    <s v="Regular"/>
    <x v="1"/>
    <x v="3"/>
    <x v="3"/>
    <x v="1"/>
    <x v="0"/>
    <x v="0"/>
    <x v="2"/>
    <x v="5"/>
    <n v="0"/>
    <n v="0"/>
    <n v="1195.203"/>
    <n v="1195.203"/>
    <n v="1195.203"/>
    <n v="1195.203"/>
    <n v="4511"/>
    <x v="0"/>
    <n v="0"/>
    <n v="0"/>
    <n v="16"/>
    <n v="53"/>
    <n v="0"/>
    <n v="370.66"/>
    <n v="291.85000000000002"/>
    <m/>
    <n v="419.42956266093978"/>
    <n v="219.61640797284883"/>
    <n v="0"/>
    <n v="443013.94398000004"/>
    <n v="348819.99554999999"/>
    <n v="0"/>
    <n v="501303.47158104321"/>
    <n v="262486.18965837284"/>
  </r>
  <r>
    <s v="Sistema de Compensação"/>
    <x v="1"/>
    <x v="3"/>
    <x v="3"/>
    <x v="1"/>
    <x v="0"/>
    <x v="0"/>
    <x v="2"/>
    <x v="5"/>
    <n v="0"/>
    <n v="0"/>
    <n v="25.963000000000001"/>
    <n v="25.963000000000001"/>
    <n v="25.963000000000001"/>
    <n v="25.963000000000001"/>
    <n v="170"/>
    <x v="0"/>
    <n v="0"/>
    <n v="0"/>
    <n v="16"/>
    <n v="53"/>
    <n v="0"/>
    <n v="370.66"/>
    <n v="291.85000000000002"/>
    <m/>
    <n v="419.42956266093978"/>
    <n v="219.61640797284883"/>
    <n v="0"/>
    <n v="9623.4455800000014"/>
    <n v="7577.301550000001"/>
    <n v="0"/>
    <n v="10889.64973536598"/>
    <n v="5701.9008001990742"/>
  </r>
  <r>
    <s v="Regular"/>
    <x v="1"/>
    <x v="3"/>
    <x v="3"/>
    <x v="1"/>
    <x v="0"/>
    <x v="0"/>
    <x v="2"/>
    <x v="6"/>
    <n v="0"/>
    <n v="0"/>
    <n v="1109.6759999999999"/>
    <n v="1109.6759999999999"/>
    <n v="1109.6759999999999"/>
    <n v="1109.6759999999999"/>
    <n v="4508"/>
    <x v="0"/>
    <n v="0"/>
    <n v="0"/>
    <n v="16"/>
    <n v="53"/>
    <n v="0"/>
    <n v="370.66"/>
    <n v="291.85000000000002"/>
    <m/>
    <n v="419.42956266093978"/>
    <n v="219.61640797284883"/>
    <n v="0"/>
    <n v="411312.50615999999"/>
    <n v="323858.94060000003"/>
    <n v="0"/>
    <n v="465430.91937534098"/>
    <n v="243703.05713367899"/>
  </r>
  <r>
    <s v="Refaturamento - Regular"/>
    <x v="1"/>
    <x v="3"/>
    <x v="3"/>
    <x v="1"/>
    <x v="0"/>
    <x v="0"/>
    <x v="2"/>
    <x v="6"/>
    <n v="0"/>
    <n v="0"/>
    <n v="-0.311"/>
    <n v="-0.311"/>
    <n v="-0.311"/>
    <n v="-0.311"/>
    <n v="0"/>
    <x v="0"/>
    <n v="0"/>
    <n v="0"/>
    <n v="16"/>
    <n v="53"/>
    <n v="0"/>
    <n v="370.66"/>
    <n v="291.85000000000002"/>
    <m/>
    <n v="419.42956266093978"/>
    <n v="219.61640797284883"/>
    <n v="0"/>
    <n v="-115.27526"/>
    <n v="-90.765350000000012"/>
    <n v="0"/>
    <n v="-130.44259398755227"/>
    <n v="-68.300702879555985"/>
  </r>
  <r>
    <s v="Sistema de Compensação"/>
    <x v="1"/>
    <x v="3"/>
    <x v="3"/>
    <x v="1"/>
    <x v="0"/>
    <x v="0"/>
    <x v="2"/>
    <x v="6"/>
    <n v="0"/>
    <n v="0"/>
    <n v="29.984999999999999"/>
    <n v="29.984999999999999"/>
    <n v="29.984999999999999"/>
    <n v="29.984999999999999"/>
    <n v="176"/>
    <x v="0"/>
    <n v="0"/>
    <n v="0"/>
    <n v="16"/>
    <n v="53"/>
    <n v="0"/>
    <n v="370.66"/>
    <n v="291.85000000000002"/>
    <m/>
    <n v="419.42956266093978"/>
    <n v="219.61640797284883"/>
    <n v="0"/>
    <n v="11114.240100000001"/>
    <n v="8751.1222500000003"/>
    <n v="0"/>
    <n v="12576.595436388279"/>
    <n v="6585.1979930658717"/>
  </r>
  <r>
    <s v="Regular"/>
    <x v="1"/>
    <x v="3"/>
    <x v="3"/>
    <x v="1"/>
    <x v="0"/>
    <x v="0"/>
    <x v="2"/>
    <x v="7"/>
    <n v="0"/>
    <n v="0"/>
    <n v="793.52200000000005"/>
    <n v="793.52200000000005"/>
    <n v="793.52200000000005"/>
    <n v="793.52200000000005"/>
    <n v="4498"/>
    <x v="0"/>
    <n v="0"/>
    <n v="0"/>
    <n v="16"/>
    <n v="53"/>
    <n v="0"/>
    <n v="370.66"/>
    <n v="291.85000000000002"/>
    <m/>
    <n v="419.42956266093978"/>
    <n v="219.61640797284883"/>
    <n v="0"/>
    <n v="294126.86452000006"/>
    <n v="231589.39570000002"/>
    <n v="0"/>
    <n v="332826.58542183426"/>
    <n v="174270.45128743097"/>
  </r>
  <r>
    <s v="Refaturamento - Regular"/>
    <x v="1"/>
    <x v="3"/>
    <x v="3"/>
    <x v="1"/>
    <x v="0"/>
    <x v="0"/>
    <x v="2"/>
    <x v="7"/>
    <n v="0"/>
    <n v="0"/>
    <n v="-100.259"/>
    <n v="-100.259"/>
    <n v="-100.259"/>
    <n v="-100.259"/>
    <n v="0"/>
    <x v="0"/>
    <n v="0"/>
    <n v="0"/>
    <n v="16"/>
    <n v="53"/>
    <n v="0"/>
    <n v="370.66"/>
    <n v="291.85000000000002"/>
    <m/>
    <n v="419.42956266093978"/>
    <n v="219.61640797284883"/>
    <n v="0"/>
    <n v="-37162.000940000005"/>
    <n v="-29260.589150000003"/>
    <n v="0"/>
    <n v="-42051.588522823164"/>
    <n v="-22018.52144694985"/>
  </r>
  <r>
    <s v="Sistema de Compensação"/>
    <x v="1"/>
    <x v="3"/>
    <x v="3"/>
    <x v="1"/>
    <x v="0"/>
    <x v="0"/>
    <x v="2"/>
    <x v="7"/>
    <n v="0"/>
    <n v="0"/>
    <n v="24.300999999999998"/>
    <n v="24.300999999999998"/>
    <n v="24.300999999999998"/>
    <n v="24.300999999999998"/>
    <n v="192"/>
    <x v="0"/>
    <n v="0"/>
    <n v="0"/>
    <n v="16"/>
    <n v="53"/>
    <n v="0"/>
    <n v="370.66"/>
    <n v="291.85000000000002"/>
    <m/>
    <n v="419.42956266093978"/>
    <n v="219.61640797284883"/>
    <n v="0"/>
    <n v="9007.4086599999991"/>
    <n v="7092.2468500000004"/>
    <n v="0"/>
    <n v="10192.557802223497"/>
    <n v="5336.8983301481994"/>
  </r>
  <r>
    <s v="Sistema de Compensação"/>
    <x v="1"/>
    <x v="3"/>
    <x v="3"/>
    <x v="1"/>
    <x v="0"/>
    <x v="0"/>
    <x v="2"/>
    <x v="7"/>
    <n v="0"/>
    <n v="0"/>
    <n v="-0.36199999999999999"/>
    <n v="-0.36199999999999999"/>
    <n v="-0.36199999999999999"/>
    <n v="-0.36199999999999999"/>
    <n v="2"/>
    <x v="0"/>
    <n v="0"/>
    <n v="0"/>
    <n v="16"/>
    <n v="53"/>
    <n v="0"/>
    <n v="370.66"/>
    <n v="291.85000000000002"/>
    <m/>
    <n v="419.42956266093978"/>
    <n v="219.61640797284883"/>
    <n v="0"/>
    <n v="-134.17892000000001"/>
    <n v="-105.64970000000001"/>
    <n v="0"/>
    <n v="-151.83350168326021"/>
    <n v="-79.501139686171271"/>
  </r>
  <r>
    <s v="Regular"/>
    <x v="1"/>
    <x v="3"/>
    <x v="3"/>
    <x v="1"/>
    <x v="0"/>
    <x v="0"/>
    <x v="2"/>
    <x v="8"/>
    <n v="0"/>
    <n v="0"/>
    <n v="777.67899999999997"/>
    <n v="777.67899999999997"/>
    <n v="777.67899999999997"/>
    <n v="777.67899999999997"/>
    <n v="4481"/>
    <x v="0"/>
    <n v="0"/>
    <n v="0"/>
    <n v="16"/>
    <n v="53"/>
    <n v="0"/>
    <n v="370.66"/>
    <n v="291.85000000000002"/>
    <m/>
    <n v="419.42956266093978"/>
    <n v="219.61640797284883"/>
    <n v="0"/>
    <n v="288254.49813999998"/>
    <n v="226965.61615000002"/>
    <n v="0"/>
    <n v="326181.56286059698"/>
    <n v="170791.06853591709"/>
  </r>
  <r>
    <s v="Sistema de Compensação"/>
    <x v="1"/>
    <x v="3"/>
    <x v="3"/>
    <x v="1"/>
    <x v="0"/>
    <x v="0"/>
    <x v="2"/>
    <x v="8"/>
    <n v="0"/>
    <n v="0"/>
    <n v="27.635000000000002"/>
    <n v="27.635000000000002"/>
    <n v="27.635000000000002"/>
    <n v="27.635000000000002"/>
    <n v="212"/>
    <x v="0"/>
    <n v="0"/>
    <n v="0"/>
    <n v="16"/>
    <n v="53"/>
    <n v="0"/>
    <n v="370.66"/>
    <n v="291.85000000000002"/>
    <m/>
    <n v="419.42956266093978"/>
    <n v="219.61640797284883"/>
    <n v="0"/>
    <n v="10243.189100000001"/>
    <n v="8065.2747500000014"/>
    <n v="0"/>
    <n v="11590.935964135071"/>
    <n v="6069.0994343296779"/>
  </r>
  <r>
    <s v="Regular"/>
    <x v="1"/>
    <x v="3"/>
    <x v="3"/>
    <x v="1"/>
    <x v="0"/>
    <x v="0"/>
    <x v="2"/>
    <x v="9"/>
    <n v="0"/>
    <n v="0"/>
    <n v="839.471"/>
    <n v="839.471"/>
    <n v="839.471"/>
    <n v="839.471"/>
    <n v="4495"/>
    <x v="0"/>
    <n v="0"/>
    <n v="0"/>
    <n v="16"/>
    <n v="53"/>
    <n v="0"/>
    <n v="370.66"/>
    <n v="291.85000000000002"/>
    <m/>
    <n v="419.42956266093978"/>
    <n v="219.61640797284883"/>
    <n v="0"/>
    <n v="311158.32086000004"/>
    <n v="244999.61135000002"/>
    <n v="0"/>
    <n v="352098.95439654175"/>
    <n v="184361.60561737538"/>
  </r>
  <r>
    <s v="Refaturamento - Regular"/>
    <x v="1"/>
    <x v="3"/>
    <x v="3"/>
    <x v="1"/>
    <x v="0"/>
    <x v="0"/>
    <x v="2"/>
    <x v="9"/>
    <n v="0"/>
    <n v="0"/>
    <n v="0.224"/>
    <n v="0.224"/>
    <n v="0.224"/>
    <n v="0.224"/>
    <n v="0"/>
    <x v="0"/>
    <n v="0"/>
    <n v="0"/>
    <n v="16"/>
    <n v="53"/>
    <n v="0"/>
    <n v="370.66"/>
    <n v="291.85000000000002"/>
    <m/>
    <n v="419.42956266093978"/>
    <n v="219.61640797284883"/>
    <n v="0"/>
    <n v="83.027840000000012"/>
    <n v="65.374400000000009"/>
    <n v="0"/>
    <n v="93.952222036050514"/>
    <n v="49.19407538591814"/>
  </r>
  <r>
    <s v="Sistema de Compensação"/>
    <x v="1"/>
    <x v="3"/>
    <x v="3"/>
    <x v="1"/>
    <x v="0"/>
    <x v="0"/>
    <x v="2"/>
    <x v="9"/>
    <n v="0"/>
    <n v="0"/>
    <n v="33.921999999999997"/>
    <n v="33.921999999999997"/>
    <n v="33.921999999999997"/>
    <n v="33.921999999999997"/>
    <n v="217"/>
    <x v="0"/>
    <n v="0"/>
    <n v="0"/>
    <n v="16"/>
    <n v="53"/>
    <n v="0"/>
    <n v="370.66"/>
    <n v="291.85000000000002"/>
    <m/>
    <n v="419.42956266093978"/>
    <n v="219.61640797284883"/>
    <n v="0"/>
    <n v="12573.52852"/>
    <n v="9900.1357000000007"/>
    <n v="0"/>
    <n v="14227.889624584397"/>
    <n v="7449.8277912549775"/>
  </r>
  <r>
    <s v="Regular"/>
    <x v="1"/>
    <x v="3"/>
    <x v="3"/>
    <x v="1"/>
    <x v="0"/>
    <x v="0"/>
    <x v="2"/>
    <x v="10"/>
    <n v="0"/>
    <n v="0"/>
    <n v="816.24300000000005"/>
    <n v="816.24300000000005"/>
    <n v="816.24300000000005"/>
    <n v="816.24300000000005"/>
    <n v="4541"/>
    <x v="0"/>
    <n v="0"/>
    <n v="0"/>
    <n v="16"/>
    <n v="53"/>
    <n v="0"/>
    <n v="370.66"/>
    <n v="291.85000000000002"/>
    <m/>
    <n v="419.42956266093978"/>
    <n v="219.61640797284883"/>
    <n v="0"/>
    <n v="302548.63038000005"/>
    <n v="238220.51955000003"/>
    <n v="0"/>
    <n v="342356.44451505347"/>
    <n v="179260.35569298206"/>
  </r>
  <r>
    <s v="Sistema de Compensação"/>
    <x v="1"/>
    <x v="3"/>
    <x v="3"/>
    <x v="1"/>
    <x v="0"/>
    <x v="0"/>
    <x v="2"/>
    <x v="10"/>
    <n v="0"/>
    <n v="0"/>
    <n v="34.292999999999999"/>
    <n v="34.292999999999999"/>
    <n v="34.292999999999999"/>
    <n v="34.292999999999999"/>
    <n v="216"/>
    <x v="0"/>
    <n v="0"/>
    <n v="0"/>
    <n v="16"/>
    <n v="53"/>
    <n v="0"/>
    <n v="370.66"/>
    <n v="291.85000000000002"/>
    <m/>
    <n v="419.42956266093978"/>
    <n v="219.61640797284883"/>
    <n v="0"/>
    <n v="12711.043380000001"/>
    <n v="10008.412050000001"/>
    <n v="0"/>
    <n v="14383.497992331608"/>
    <n v="7531.3054786129051"/>
  </r>
  <r>
    <s v="PROJETADO"/>
    <x v="1"/>
    <x v="3"/>
    <x v="3"/>
    <x v="1"/>
    <x v="0"/>
    <x v="0"/>
    <x v="2"/>
    <x v="11"/>
    <n v="0"/>
    <n v="0"/>
    <n v="816.24300000000005"/>
    <n v="816.24300000000005"/>
    <n v="816.24300000000005"/>
    <n v="816.24300000000005"/>
    <n v="4541"/>
    <x v="0"/>
    <n v="0"/>
    <n v="0"/>
    <n v="16"/>
    <n v="53"/>
    <n v="0"/>
    <n v="370.66"/>
    <n v="291.85000000000002"/>
    <m/>
    <n v="419.42956266093978"/>
    <n v="219.61640797284883"/>
    <n v="0"/>
    <n v="302548.63038000005"/>
    <n v="238220.51955000003"/>
    <n v="0"/>
    <n v="342356.44451505347"/>
    <n v="179260.35569298206"/>
  </r>
  <r>
    <s v="PROJETADO"/>
    <x v="1"/>
    <x v="3"/>
    <x v="3"/>
    <x v="1"/>
    <x v="0"/>
    <x v="0"/>
    <x v="2"/>
    <x v="11"/>
    <n v="0"/>
    <n v="0"/>
    <n v="34.292999999999999"/>
    <n v="34.292999999999999"/>
    <n v="34.292999999999999"/>
    <n v="34.292999999999999"/>
    <n v="216"/>
    <x v="0"/>
    <n v="0"/>
    <n v="0"/>
    <n v="16"/>
    <n v="53"/>
    <n v="0"/>
    <n v="370.66"/>
    <n v="291.85000000000002"/>
    <m/>
    <n v="419.42956266093978"/>
    <n v="219.61640797284883"/>
    <n v="0"/>
    <n v="12711.043380000001"/>
    <n v="10008.412050000001"/>
    <n v="0"/>
    <n v="14383.497992331608"/>
    <n v="7531.3054786129051"/>
  </r>
  <r>
    <s v="Regular"/>
    <x v="1"/>
    <x v="3"/>
    <x v="3"/>
    <x v="2"/>
    <x v="0"/>
    <x v="0"/>
    <x v="2"/>
    <x v="0"/>
    <n v="0"/>
    <n v="0"/>
    <n v="5.58"/>
    <n v="5.58"/>
    <n v="5.58"/>
    <n v="5.58"/>
    <n v="7"/>
    <x v="0"/>
    <n v="0"/>
    <n v="0"/>
    <n v="14"/>
    <n v="52"/>
    <n v="0"/>
    <n v="106.78"/>
    <n v="102.15"/>
    <m/>
    <n v="109.77314099414674"/>
    <n v="76.86574279049708"/>
    <n v="0"/>
    <n v="595.83240000000001"/>
    <n v="569.99700000000007"/>
    <n v="0"/>
    <n v="612.53412674733886"/>
    <n v="428.91084477097371"/>
  </r>
  <r>
    <s v="Regular"/>
    <x v="1"/>
    <x v="3"/>
    <x v="3"/>
    <x v="2"/>
    <x v="0"/>
    <x v="0"/>
    <x v="2"/>
    <x v="1"/>
    <n v="0"/>
    <n v="0"/>
    <n v="5.6550000000000002"/>
    <n v="5.6550000000000002"/>
    <n v="5.6550000000000002"/>
    <n v="5.6550000000000002"/>
    <n v="9"/>
    <x v="0"/>
    <n v="0"/>
    <n v="0"/>
    <n v="14"/>
    <n v="52"/>
    <n v="0"/>
    <n v="106.78"/>
    <n v="102.15"/>
    <m/>
    <n v="109.77314099414674"/>
    <n v="76.86574279049708"/>
    <n v="0"/>
    <n v="603.84090000000003"/>
    <n v="577.65825000000007"/>
    <n v="0"/>
    <n v="620.76711232189984"/>
    <n v="434.675775480261"/>
  </r>
  <r>
    <s v="Regular"/>
    <x v="1"/>
    <x v="3"/>
    <x v="3"/>
    <x v="2"/>
    <x v="0"/>
    <x v="0"/>
    <x v="2"/>
    <x v="2"/>
    <n v="0"/>
    <n v="0"/>
    <n v="5.55"/>
    <n v="5.55"/>
    <n v="5.55"/>
    <n v="5.55"/>
    <n v="4"/>
    <x v="0"/>
    <n v="0"/>
    <n v="0"/>
    <n v="14"/>
    <n v="52"/>
    <n v="0"/>
    <n v="106.78"/>
    <n v="102.15"/>
    <m/>
    <n v="109.77314099414674"/>
    <n v="76.86574279049708"/>
    <n v="0"/>
    <n v="592.62900000000002"/>
    <n v="566.9325"/>
    <n v="0"/>
    <n v="609.24093251751435"/>
    <n v="426.60487248725877"/>
  </r>
  <r>
    <s v="Regular"/>
    <x v="1"/>
    <x v="3"/>
    <x v="3"/>
    <x v="2"/>
    <x v="0"/>
    <x v="0"/>
    <x v="2"/>
    <x v="3"/>
    <n v="0"/>
    <n v="0"/>
    <n v="5.58"/>
    <n v="5.58"/>
    <n v="5.58"/>
    <n v="5.58"/>
    <n v="8"/>
    <x v="0"/>
    <n v="0"/>
    <n v="0"/>
    <n v="14"/>
    <n v="52"/>
    <n v="0"/>
    <n v="106.78"/>
    <n v="102.15"/>
    <m/>
    <n v="109.77314099414674"/>
    <n v="76.86574279049708"/>
    <n v="0"/>
    <n v="595.83240000000001"/>
    <n v="569.99700000000007"/>
    <n v="0"/>
    <n v="612.53412674733886"/>
    <n v="428.91084477097371"/>
  </r>
  <r>
    <s v="Regular"/>
    <x v="1"/>
    <x v="3"/>
    <x v="3"/>
    <x v="2"/>
    <x v="0"/>
    <x v="0"/>
    <x v="2"/>
    <x v="4"/>
    <n v="0"/>
    <n v="0"/>
    <n v="5.61"/>
    <n v="5.61"/>
    <n v="5.61"/>
    <n v="5.61"/>
    <n v="10"/>
    <x v="0"/>
    <n v="0"/>
    <n v="0"/>
    <n v="14"/>
    <n v="52"/>
    <n v="0"/>
    <n v="106.78"/>
    <n v="102.15"/>
    <m/>
    <n v="109.77314099414674"/>
    <n v="76.86574279049708"/>
    <n v="0"/>
    <n v="599.03579999999999"/>
    <n v="573.06150000000002"/>
    <n v="0"/>
    <n v="615.82732097716325"/>
    <n v="431.21681705468865"/>
  </r>
  <r>
    <s v="Regular"/>
    <x v="1"/>
    <x v="3"/>
    <x v="3"/>
    <x v="2"/>
    <x v="0"/>
    <x v="0"/>
    <x v="2"/>
    <x v="5"/>
    <n v="0"/>
    <n v="0"/>
    <n v="8.19"/>
    <n v="8.19"/>
    <n v="8.19"/>
    <n v="8.19"/>
    <n v="16"/>
    <x v="0"/>
    <n v="0"/>
    <n v="0"/>
    <n v="14"/>
    <n v="52"/>
    <n v="0"/>
    <n v="106.78"/>
    <n v="102.15"/>
    <m/>
    <n v="109.77314099414674"/>
    <n v="76.86574279049708"/>
    <n v="0"/>
    <n v="874.52819999999997"/>
    <n v="836.60850000000005"/>
    <n v="0"/>
    <n v="899.04202474206181"/>
    <n v="629.53043345417109"/>
  </r>
  <r>
    <s v="Regular"/>
    <x v="1"/>
    <x v="3"/>
    <x v="3"/>
    <x v="2"/>
    <x v="0"/>
    <x v="0"/>
    <x v="2"/>
    <x v="6"/>
    <n v="0"/>
    <n v="0"/>
    <n v="8.43"/>
    <n v="8.43"/>
    <n v="8.43"/>
    <n v="8.43"/>
    <n v="13"/>
    <x v="0"/>
    <n v="0"/>
    <n v="0"/>
    <n v="14"/>
    <n v="52"/>
    <n v="0"/>
    <n v="106.78"/>
    <n v="102.15"/>
    <m/>
    <n v="109.77314099414674"/>
    <n v="76.86574279049708"/>
    <n v="0"/>
    <n v="900.15539999999999"/>
    <n v="861.12450000000001"/>
    <n v="0"/>
    <n v="925.38757858065696"/>
    <n v="647.97821172389035"/>
  </r>
  <r>
    <s v="Regular"/>
    <x v="1"/>
    <x v="3"/>
    <x v="3"/>
    <x v="2"/>
    <x v="0"/>
    <x v="0"/>
    <x v="2"/>
    <x v="7"/>
    <n v="0"/>
    <n v="0"/>
    <n v="8.64"/>
    <n v="8.64"/>
    <n v="8.64"/>
    <n v="8.64"/>
    <n v="15"/>
    <x v="0"/>
    <n v="0"/>
    <n v="0"/>
    <n v="14"/>
    <n v="52"/>
    <n v="0"/>
    <n v="106.78"/>
    <n v="102.15"/>
    <m/>
    <n v="109.77314099414674"/>
    <n v="76.86574279049708"/>
    <n v="0"/>
    <n v="922.57920000000001"/>
    <n v="882.57600000000014"/>
    <n v="0"/>
    <n v="948.43993818942795"/>
    <n v="664.1200177098948"/>
  </r>
  <r>
    <s v="Regular"/>
    <x v="1"/>
    <x v="3"/>
    <x v="3"/>
    <x v="2"/>
    <x v="0"/>
    <x v="0"/>
    <x v="2"/>
    <x v="8"/>
    <n v="0"/>
    <n v="0"/>
    <n v="9.39"/>
    <n v="9.39"/>
    <n v="9.39"/>
    <n v="9.39"/>
    <n v="14"/>
    <x v="0"/>
    <n v="0"/>
    <n v="0"/>
    <n v="14"/>
    <n v="52"/>
    <n v="0"/>
    <n v="106.78"/>
    <n v="102.15"/>
    <m/>
    <n v="109.77314099414674"/>
    <n v="76.86574279049708"/>
    <n v="0"/>
    <n v="1002.6642000000001"/>
    <n v="959.18850000000009"/>
    <n v="0"/>
    <n v="1030.769793935038"/>
    <n v="721.76932480276764"/>
  </r>
  <r>
    <s v="Regular"/>
    <x v="1"/>
    <x v="3"/>
    <x v="3"/>
    <x v="2"/>
    <x v="0"/>
    <x v="0"/>
    <x v="2"/>
    <x v="9"/>
    <n v="0"/>
    <n v="0"/>
    <n v="9"/>
    <n v="9"/>
    <n v="9"/>
    <n v="9"/>
    <n v="14"/>
    <x v="0"/>
    <n v="0"/>
    <n v="0"/>
    <n v="14"/>
    <n v="52"/>
    <n v="0"/>
    <n v="106.78"/>
    <n v="102.15"/>
    <m/>
    <n v="109.77314099414674"/>
    <n v="76.86574279049708"/>
    <n v="0"/>
    <n v="961.02"/>
    <n v="919.35"/>
    <n v="0"/>
    <n v="987.95826894732068"/>
    <n v="691.79168511447369"/>
  </r>
  <r>
    <s v="Regular"/>
    <x v="1"/>
    <x v="3"/>
    <x v="3"/>
    <x v="2"/>
    <x v="0"/>
    <x v="0"/>
    <x v="2"/>
    <x v="10"/>
    <n v="0"/>
    <n v="0"/>
    <n v="7.83"/>
    <n v="7.83"/>
    <n v="7.83"/>
    <n v="7.83"/>
    <n v="10"/>
    <x v="0"/>
    <n v="0"/>
    <n v="0"/>
    <n v="14"/>
    <n v="52"/>
    <n v="0"/>
    <n v="106.78"/>
    <n v="102.15"/>
    <m/>
    <n v="109.77314099414674"/>
    <n v="76.86574279049708"/>
    <n v="0"/>
    <n v="836.0874"/>
    <n v="799.83450000000005"/>
    <n v="0"/>
    <n v="859.52369398416897"/>
    <n v="601.85876604959219"/>
  </r>
  <r>
    <s v="PROJETADO"/>
    <x v="1"/>
    <x v="3"/>
    <x v="3"/>
    <x v="2"/>
    <x v="0"/>
    <x v="0"/>
    <x v="2"/>
    <x v="11"/>
    <n v="0"/>
    <n v="0"/>
    <n v="7.83"/>
    <n v="7.83"/>
    <n v="7.83"/>
    <n v="7.83"/>
    <n v="10"/>
    <x v="0"/>
    <n v="0"/>
    <n v="0"/>
    <n v="14"/>
    <n v="52"/>
    <n v="0"/>
    <n v="106.78"/>
    <n v="102.15"/>
    <m/>
    <n v="109.77314099414674"/>
    <n v="76.86574279049708"/>
    <n v="0"/>
    <n v="836.0874"/>
    <n v="799.83450000000005"/>
    <n v="0"/>
    <n v="859.52369398416897"/>
    <n v="601.85876604959219"/>
  </r>
  <r>
    <s v="Regular"/>
    <x v="1"/>
    <x v="3"/>
    <x v="3"/>
    <x v="3"/>
    <x v="0"/>
    <x v="0"/>
    <x v="2"/>
    <x v="0"/>
    <n v="0"/>
    <n v="0"/>
    <n v="11.752000000000001"/>
    <n v="11.752000000000001"/>
    <n v="11.752000000000001"/>
    <n v="11.752000000000001"/>
    <n v="28"/>
    <x v="0"/>
    <n v="0"/>
    <n v="0"/>
    <n v="12"/>
    <n v="63"/>
    <n v="0"/>
    <n v="183.06"/>
    <n v="175.11"/>
    <m/>
    <n v="188.18252741853726"/>
    <n v="131.76984478370929"/>
    <n v="0"/>
    <n v="2151.3211200000001"/>
    <n v="2057.8927200000003"/>
    <n v="0"/>
    <n v="2211.52106222265"/>
    <n v="1548.5592158981517"/>
  </r>
  <r>
    <s v="Regular"/>
    <x v="1"/>
    <x v="3"/>
    <x v="3"/>
    <x v="3"/>
    <x v="0"/>
    <x v="0"/>
    <x v="2"/>
    <x v="1"/>
    <n v="0"/>
    <n v="0"/>
    <n v="11.974"/>
    <n v="11.974"/>
    <n v="11.974"/>
    <n v="11.974"/>
    <n v="24"/>
    <x v="0"/>
    <n v="0"/>
    <n v="0"/>
    <n v="12"/>
    <n v="63"/>
    <n v="0"/>
    <n v="183.06"/>
    <n v="175.11"/>
    <m/>
    <n v="188.18252741853726"/>
    <n v="131.76984478370929"/>
    <n v="0"/>
    <n v="2191.9604400000003"/>
    <n v="2096.7671400000004"/>
    <n v="0"/>
    <n v="2253.2975833095652"/>
    <n v="1577.8121214401351"/>
  </r>
  <r>
    <s v="Regular"/>
    <x v="1"/>
    <x v="3"/>
    <x v="3"/>
    <x v="3"/>
    <x v="0"/>
    <x v="0"/>
    <x v="2"/>
    <x v="2"/>
    <n v="0"/>
    <n v="0"/>
    <n v="12.063000000000001"/>
    <n v="12.063000000000001"/>
    <n v="12.063000000000001"/>
    <n v="12.063000000000001"/>
    <n v="21"/>
    <x v="0"/>
    <n v="0"/>
    <n v="0"/>
    <n v="12"/>
    <n v="63"/>
    <n v="0"/>
    <n v="183.06"/>
    <n v="175.11"/>
    <m/>
    <n v="188.18252741853726"/>
    <n v="131.76984478370929"/>
    <n v="0"/>
    <n v="2208.2527800000003"/>
    <n v="2112.3519300000003"/>
    <n v="0"/>
    <n v="2270.0458282498153"/>
    <n v="1589.5396376258852"/>
  </r>
  <r>
    <s v="Regular"/>
    <x v="1"/>
    <x v="3"/>
    <x v="3"/>
    <x v="3"/>
    <x v="0"/>
    <x v="0"/>
    <x v="2"/>
    <x v="3"/>
    <n v="0"/>
    <n v="0"/>
    <n v="11.632"/>
    <n v="11.632"/>
    <n v="11.632"/>
    <n v="11.632"/>
    <n v="33"/>
    <x v="0"/>
    <n v="0"/>
    <n v="0"/>
    <n v="12"/>
    <n v="63"/>
    <n v="0"/>
    <n v="183.06"/>
    <n v="175.11"/>
    <m/>
    <n v="188.18252741853726"/>
    <n v="131.76984478370929"/>
    <n v="0"/>
    <n v="2129.35392"/>
    <n v="2036.8795200000002"/>
    <n v="0"/>
    <n v="2188.9391589324255"/>
    <n v="1532.7468345241064"/>
  </r>
  <r>
    <s v="Regular"/>
    <x v="1"/>
    <x v="3"/>
    <x v="3"/>
    <x v="3"/>
    <x v="0"/>
    <x v="0"/>
    <x v="2"/>
    <x v="4"/>
    <n v="0"/>
    <n v="0"/>
    <n v="11.725"/>
    <n v="11.725"/>
    <n v="11.725"/>
    <n v="11.725"/>
    <n v="23"/>
    <x v="0"/>
    <n v="0"/>
    <n v="0"/>
    <n v="12"/>
    <n v="63"/>
    <n v="0"/>
    <n v="183.06"/>
    <n v="175.11"/>
    <m/>
    <n v="188.18252741853726"/>
    <n v="131.76984478370929"/>
    <n v="0"/>
    <n v="2146.3784999999998"/>
    <n v="2053.1647499999999"/>
    <n v="0"/>
    <n v="2206.4401339823494"/>
    <n v="1545.0014300889914"/>
  </r>
  <r>
    <s v="Regular"/>
    <x v="1"/>
    <x v="3"/>
    <x v="3"/>
    <x v="3"/>
    <x v="0"/>
    <x v="0"/>
    <x v="2"/>
    <x v="5"/>
    <n v="0"/>
    <n v="0"/>
    <n v="17.297000000000001"/>
    <n v="17.297000000000001"/>
    <n v="17.297000000000001"/>
    <n v="17.297000000000001"/>
    <n v="27"/>
    <x v="0"/>
    <n v="0"/>
    <n v="0"/>
    <n v="12"/>
    <n v="63"/>
    <n v="0"/>
    <n v="183.06"/>
    <n v="175.11"/>
    <m/>
    <n v="188.18252741853726"/>
    <n v="131.76984478370929"/>
    <n v="0"/>
    <n v="3166.3888200000001"/>
    <n v="3028.8776700000003"/>
    <n v="0"/>
    <n v="3254.9931767584389"/>
    <n v="2279.2230052238197"/>
  </r>
  <r>
    <s v="Regular"/>
    <x v="1"/>
    <x v="3"/>
    <x v="3"/>
    <x v="3"/>
    <x v="0"/>
    <x v="0"/>
    <x v="2"/>
    <x v="6"/>
    <n v="0"/>
    <n v="0"/>
    <n v="17.948"/>
    <n v="17.948"/>
    <n v="17.948"/>
    <n v="17.948"/>
    <n v="32"/>
    <x v="0"/>
    <n v="0"/>
    <n v="0"/>
    <n v="12"/>
    <n v="63"/>
    <n v="0"/>
    <n v="183.06"/>
    <n v="175.11"/>
    <m/>
    <n v="188.18252741853726"/>
    <n v="131.76984478370929"/>
    <n v="0"/>
    <n v="3285.56088"/>
    <n v="3142.8742800000005"/>
    <n v="0"/>
    <n v="3377.5000021079068"/>
    <n v="2365.0051741780144"/>
  </r>
  <r>
    <s v="Regular"/>
    <x v="1"/>
    <x v="3"/>
    <x v="3"/>
    <x v="3"/>
    <x v="0"/>
    <x v="0"/>
    <x v="2"/>
    <x v="7"/>
    <n v="0"/>
    <n v="0"/>
    <n v="18.116"/>
    <n v="18.116"/>
    <n v="18.116"/>
    <n v="18.116"/>
    <n v="38"/>
    <x v="0"/>
    <n v="0"/>
    <n v="0"/>
    <n v="12"/>
    <n v="63"/>
    <n v="0"/>
    <n v="183.06"/>
    <n v="175.11"/>
    <m/>
    <n v="188.18252741853726"/>
    <n v="131.76984478370929"/>
    <n v="0"/>
    <n v="3316.3149600000002"/>
    <n v="3172.2927600000003"/>
    <n v="0"/>
    <n v="3409.1146667142211"/>
    <n v="2387.1425081016773"/>
  </r>
  <r>
    <s v="Regular"/>
    <x v="1"/>
    <x v="3"/>
    <x v="3"/>
    <x v="3"/>
    <x v="0"/>
    <x v="0"/>
    <x v="2"/>
    <x v="8"/>
    <n v="0"/>
    <n v="0"/>
    <n v="19.456"/>
    <n v="19.456"/>
    <n v="19.456"/>
    <n v="19.456"/>
    <n v="50"/>
    <x v="0"/>
    <n v="0"/>
    <n v="0"/>
    <n v="12"/>
    <n v="63"/>
    <n v="0"/>
    <n v="183.06"/>
    <n v="175.11"/>
    <m/>
    <n v="188.18252741853726"/>
    <n v="131.76984478370929"/>
    <n v="0"/>
    <n v="3561.6153599999998"/>
    <n v="3406.9401600000001"/>
    <n v="0"/>
    <n v="3661.2792534550608"/>
    <n v="2563.714100111848"/>
  </r>
  <r>
    <s v="Regular"/>
    <x v="1"/>
    <x v="3"/>
    <x v="3"/>
    <x v="3"/>
    <x v="0"/>
    <x v="0"/>
    <x v="2"/>
    <x v="9"/>
    <n v="0"/>
    <n v="0"/>
    <n v="18.814"/>
    <n v="18.814"/>
    <n v="18.814"/>
    <n v="18.814"/>
    <n v="41"/>
    <x v="0"/>
    <n v="0"/>
    <n v="0"/>
    <n v="12"/>
    <n v="63"/>
    <n v="0"/>
    <n v="183.06"/>
    <n v="175.11"/>
    <m/>
    <n v="188.18252741853726"/>
    <n v="131.76984478370929"/>
    <n v="0"/>
    <n v="3444.0908399999998"/>
    <n v="3294.5195400000002"/>
    <n v="0"/>
    <n v="3540.4660708523602"/>
    <n v="2479.1178597607068"/>
  </r>
  <r>
    <s v="Regular"/>
    <x v="1"/>
    <x v="3"/>
    <x v="3"/>
    <x v="3"/>
    <x v="0"/>
    <x v="0"/>
    <x v="2"/>
    <x v="10"/>
    <n v="0"/>
    <n v="0"/>
    <n v="16.195"/>
    <n v="16.195"/>
    <n v="16.195"/>
    <n v="16.195"/>
    <n v="47"/>
    <x v="0"/>
    <n v="0"/>
    <n v="0"/>
    <n v="12"/>
    <n v="63"/>
    <n v="0"/>
    <n v="183.06"/>
    <n v="175.11"/>
    <m/>
    <n v="188.18252741853726"/>
    <n v="131.76984478370929"/>
    <n v="0"/>
    <n v="2964.6567"/>
    <n v="2835.9064500000004"/>
    <n v="0"/>
    <n v="3047.6160315432112"/>
    <n v="2134.0126362721721"/>
  </r>
  <r>
    <s v="PROJETADO"/>
    <x v="1"/>
    <x v="3"/>
    <x v="3"/>
    <x v="3"/>
    <x v="0"/>
    <x v="0"/>
    <x v="2"/>
    <x v="11"/>
    <n v="0"/>
    <n v="0"/>
    <n v="16.195"/>
    <n v="16.195"/>
    <n v="16.195"/>
    <n v="16.195"/>
    <n v="47"/>
    <x v="0"/>
    <n v="0"/>
    <n v="0"/>
    <n v="12"/>
    <n v="63"/>
    <n v="0"/>
    <n v="183.06"/>
    <n v="175.11"/>
    <m/>
    <n v="188.18252741853726"/>
    <n v="131.76984478370929"/>
    <n v="0"/>
    <n v="2964.6567"/>
    <n v="2835.9064500000004"/>
    <n v="0"/>
    <n v="3047.6160315432112"/>
    <n v="2134.0126362721721"/>
  </r>
  <r>
    <s v="Regular"/>
    <x v="1"/>
    <x v="3"/>
    <x v="3"/>
    <x v="4"/>
    <x v="0"/>
    <x v="0"/>
    <x v="2"/>
    <x v="0"/>
    <n v="0"/>
    <n v="0"/>
    <n v="12.407999999999999"/>
    <n v="12.407999999999999"/>
    <n v="12.407999999999999"/>
    <n v="12.407999999999999"/>
    <n v="98"/>
    <x v="0"/>
    <n v="0"/>
    <n v="0"/>
    <n v="2"/>
    <n v="60"/>
    <n v="0"/>
    <n v="274.58999999999997"/>
    <n v="262.67"/>
    <m/>
    <n v="282.27379112780591"/>
    <n v="197.65476717556396"/>
    <n v="0"/>
    <n v="3407.1127199999996"/>
    <n v="3259.2093599999998"/>
    <n v="0"/>
    <n v="3502.4532003138156"/>
    <n v="2452.5003511143977"/>
  </r>
  <r>
    <s v="Regular"/>
    <x v="1"/>
    <x v="3"/>
    <x v="3"/>
    <x v="4"/>
    <x v="0"/>
    <x v="0"/>
    <x v="2"/>
    <x v="1"/>
    <n v="0"/>
    <n v="0"/>
    <n v="12.455"/>
    <n v="12.455"/>
    <n v="12.455"/>
    <n v="12.455"/>
    <n v="98"/>
    <x v="0"/>
    <n v="0"/>
    <n v="0"/>
    <n v="2"/>
    <n v="60"/>
    <n v="0"/>
    <n v="274.58999999999997"/>
    <n v="262.67"/>
    <m/>
    <n v="282.27379112780591"/>
    <n v="197.65476717556396"/>
    <n v="0"/>
    <n v="3420.0184499999996"/>
    <n v="3271.5548500000004"/>
    <n v="0"/>
    <n v="3515.7200684968225"/>
    <n v="2461.7901251716489"/>
  </r>
  <r>
    <s v="Regular"/>
    <x v="1"/>
    <x v="3"/>
    <x v="3"/>
    <x v="4"/>
    <x v="0"/>
    <x v="0"/>
    <x v="2"/>
    <x v="2"/>
    <n v="0"/>
    <n v="0"/>
    <n v="13.506"/>
    <n v="13.506"/>
    <n v="13.506"/>
    <n v="13.506"/>
    <n v="101"/>
    <x v="0"/>
    <n v="0"/>
    <n v="0"/>
    <n v="2"/>
    <n v="60"/>
    <n v="0"/>
    <n v="274.58999999999997"/>
    <n v="262.67"/>
    <m/>
    <n v="282.27379112780591"/>
    <n v="197.65476717556396"/>
    <n v="0"/>
    <n v="3708.6125399999996"/>
    <n v="3547.6210200000005"/>
    <n v="0"/>
    <n v="3812.3898229721467"/>
    <n v="2669.5252854731671"/>
  </r>
  <r>
    <s v="Regular"/>
    <x v="1"/>
    <x v="3"/>
    <x v="3"/>
    <x v="4"/>
    <x v="0"/>
    <x v="0"/>
    <x v="2"/>
    <x v="3"/>
    <n v="0"/>
    <n v="0"/>
    <n v="11.481999999999999"/>
    <n v="11.481999999999999"/>
    <n v="11.481999999999999"/>
    <n v="11.481999999999999"/>
    <n v="97"/>
    <x v="0"/>
    <n v="0"/>
    <n v="0"/>
    <n v="2"/>
    <n v="60"/>
    <n v="0"/>
    <n v="274.58999999999997"/>
    <n v="262.67"/>
    <m/>
    <n v="282.27379112780591"/>
    <n v="197.65476717556396"/>
    <n v="0"/>
    <n v="3152.8423799999996"/>
    <n v="3015.97694"/>
    <n v="0"/>
    <n v="3241.0676697294671"/>
    <n v="2269.4720367098253"/>
  </r>
  <r>
    <s v="Regular"/>
    <x v="1"/>
    <x v="3"/>
    <x v="3"/>
    <x v="4"/>
    <x v="0"/>
    <x v="0"/>
    <x v="2"/>
    <x v="4"/>
    <n v="0"/>
    <n v="0"/>
    <n v="13.247999999999999"/>
    <n v="13.247999999999999"/>
    <n v="13.247999999999999"/>
    <n v="13.247999999999999"/>
    <n v="93"/>
    <x v="0"/>
    <n v="0"/>
    <n v="0"/>
    <n v="2"/>
    <n v="60"/>
    <n v="0"/>
    <n v="274.58999999999997"/>
    <n v="262.67"/>
    <m/>
    <n v="282.27379112780591"/>
    <n v="197.65476717556396"/>
    <n v="0"/>
    <n v="3637.7683199999997"/>
    <n v="3479.8521599999999"/>
    <n v="0"/>
    <n v="3739.5631848611724"/>
    <n v="2618.5303555418714"/>
  </r>
  <r>
    <s v="Regular"/>
    <x v="1"/>
    <x v="3"/>
    <x v="3"/>
    <x v="4"/>
    <x v="0"/>
    <x v="0"/>
    <x v="2"/>
    <x v="5"/>
    <n v="0"/>
    <n v="0"/>
    <n v="22.48"/>
    <n v="22.48"/>
    <n v="22.48"/>
    <n v="22.48"/>
    <n v="100"/>
    <x v="0"/>
    <n v="0"/>
    <n v="0"/>
    <n v="2"/>
    <n v="60"/>
    <n v="0"/>
    <n v="274.58999999999997"/>
    <n v="262.67"/>
    <m/>
    <n v="282.27379112780591"/>
    <n v="197.65476717556396"/>
    <n v="0"/>
    <n v="6172.7831999999999"/>
    <n v="5904.8216000000002"/>
    <n v="0"/>
    <n v="6345.5148245530772"/>
    <n v="4443.2791661066776"/>
  </r>
  <r>
    <s v="Regular"/>
    <x v="1"/>
    <x v="3"/>
    <x v="3"/>
    <x v="4"/>
    <x v="0"/>
    <x v="0"/>
    <x v="2"/>
    <x v="6"/>
    <n v="0"/>
    <n v="0"/>
    <n v="21.47"/>
    <n v="21.47"/>
    <n v="21.47"/>
    <n v="21.47"/>
    <n v="126"/>
    <x v="0"/>
    <n v="0"/>
    <n v="0"/>
    <n v="2"/>
    <n v="60"/>
    <n v="0"/>
    <n v="274.58999999999997"/>
    <n v="262.67"/>
    <m/>
    <n v="282.27379112780591"/>
    <n v="197.65476717556396"/>
    <n v="0"/>
    <n v="5895.4472999999989"/>
    <n v="5639.5249000000003"/>
    <n v="0"/>
    <n v="6060.4182955139922"/>
    <n v="4243.6478512593576"/>
  </r>
  <r>
    <s v="Regular"/>
    <x v="1"/>
    <x v="3"/>
    <x v="3"/>
    <x v="4"/>
    <x v="0"/>
    <x v="0"/>
    <x v="2"/>
    <x v="7"/>
    <n v="0"/>
    <n v="0"/>
    <n v="18.599"/>
    <n v="18.599"/>
    <n v="18.599"/>
    <n v="18.599"/>
    <n v="161"/>
    <x v="0"/>
    <n v="0"/>
    <n v="0"/>
    <n v="2"/>
    <n v="60"/>
    <n v="0"/>
    <n v="274.58999999999997"/>
    <n v="262.67"/>
    <m/>
    <n v="282.27379112780591"/>
    <n v="197.65476717556396"/>
    <n v="0"/>
    <n v="5107.0994099999998"/>
    <n v="4885.3993300000002"/>
    <n v="0"/>
    <n v="5250.0102411860626"/>
    <n v="3676.1810146983144"/>
  </r>
  <r>
    <s v="Regular"/>
    <x v="1"/>
    <x v="3"/>
    <x v="3"/>
    <x v="4"/>
    <x v="0"/>
    <x v="0"/>
    <x v="2"/>
    <x v="8"/>
    <n v="0"/>
    <n v="0"/>
    <n v="19.41"/>
    <n v="19.41"/>
    <n v="19.41"/>
    <n v="19.41"/>
    <n v="170"/>
    <x v="0"/>
    <n v="0"/>
    <n v="0"/>
    <n v="2"/>
    <n v="60"/>
    <n v="0"/>
    <n v="274.58999999999997"/>
    <n v="262.67"/>
    <m/>
    <n v="282.27379112780591"/>
    <n v="197.65476717556396"/>
    <n v="0"/>
    <n v="5329.7918999999993"/>
    <n v="5098.4247000000005"/>
    <n v="0"/>
    <n v="5478.9342857907131"/>
    <n v="3836.4790308776965"/>
  </r>
  <r>
    <s v="Regular"/>
    <x v="1"/>
    <x v="3"/>
    <x v="3"/>
    <x v="4"/>
    <x v="0"/>
    <x v="0"/>
    <x v="2"/>
    <x v="9"/>
    <n v="0"/>
    <n v="0"/>
    <n v="20.244"/>
    <n v="20.244"/>
    <n v="20.244"/>
    <n v="20.244"/>
    <n v="153"/>
    <x v="0"/>
    <n v="0"/>
    <n v="0"/>
    <n v="2"/>
    <n v="60"/>
    <n v="0"/>
    <n v="274.58999999999997"/>
    <n v="262.67"/>
    <m/>
    <n v="282.27379112780591"/>
    <n v="197.65476717556396"/>
    <n v="0"/>
    <n v="5558.7999599999994"/>
    <n v="5317.4914800000006"/>
    <n v="0"/>
    <n v="5714.3506275913023"/>
    <n v="4001.323106702117"/>
  </r>
  <r>
    <s v="Regular"/>
    <x v="1"/>
    <x v="3"/>
    <x v="3"/>
    <x v="4"/>
    <x v="0"/>
    <x v="0"/>
    <x v="2"/>
    <x v="10"/>
    <n v="0"/>
    <n v="0"/>
    <n v="17.539000000000001"/>
    <n v="17.539000000000001"/>
    <n v="17.539000000000001"/>
    <n v="17.539000000000001"/>
    <n v="123"/>
    <x v="0"/>
    <n v="0"/>
    <n v="0"/>
    <n v="2"/>
    <n v="60"/>
    <n v="0"/>
    <n v="274.58999999999997"/>
    <n v="262.67"/>
    <m/>
    <n v="282.27379112780591"/>
    <n v="197.65476717556396"/>
    <n v="0"/>
    <n v="4816.0340100000003"/>
    <n v="4606.9691300000004"/>
    <n v="0"/>
    <n v="4950.800022590588"/>
    <n v="3466.6669614922166"/>
  </r>
  <r>
    <s v="PROJETADO"/>
    <x v="1"/>
    <x v="3"/>
    <x v="3"/>
    <x v="4"/>
    <x v="0"/>
    <x v="0"/>
    <x v="2"/>
    <x v="11"/>
    <n v="0"/>
    <n v="0"/>
    <n v="17.539000000000001"/>
    <n v="17.539000000000001"/>
    <n v="17.539000000000001"/>
    <n v="17.539000000000001"/>
    <n v="123"/>
    <x v="0"/>
    <n v="0"/>
    <n v="0"/>
    <n v="2"/>
    <n v="60"/>
    <n v="0"/>
    <n v="274.58999999999997"/>
    <n v="262.67"/>
    <m/>
    <n v="282.27379112780591"/>
    <n v="197.65476717556396"/>
    <n v="0"/>
    <n v="4816.0340100000003"/>
    <n v="4606.9691300000004"/>
    <n v="0"/>
    <n v="4950.800022590588"/>
    <n v="3466.6669614922166"/>
  </r>
  <r>
    <s v="Regular"/>
    <x v="1"/>
    <x v="3"/>
    <x v="3"/>
    <x v="5"/>
    <x v="0"/>
    <x v="0"/>
    <x v="2"/>
    <x v="0"/>
    <n v="0"/>
    <n v="0"/>
    <n v="3.452"/>
    <n v="3.452"/>
    <n v="3.452"/>
    <n v="3.452"/>
    <n v="53"/>
    <x v="0"/>
    <n v="0"/>
    <n v="0"/>
    <n v="6"/>
    <n v="54"/>
    <n v="0"/>
    <n v="305.10000000000002"/>
    <n v="291.85000000000002"/>
    <m/>
    <n v="313.63754569756213"/>
    <n v="219.61640797284883"/>
    <n v="0"/>
    <n v="1053.2052000000001"/>
    <n v="1007.4662000000001"/>
    <n v="0"/>
    <n v="1082.6768077479844"/>
    <n v="758.11584032227415"/>
  </r>
  <r>
    <s v="Regular"/>
    <x v="1"/>
    <x v="3"/>
    <x v="3"/>
    <x v="5"/>
    <x v="0"/>
    <x v="0"/>
    <x v="2"/>
    <x v="1"/>
    <n v="0"/>
    <n v="0"/>
    <n v="4.0410000000000004"/>
    <n v="4.0410000000000004"/>
    <n v="4.0410000000000004"/>
    <n v="4.0410000000000004"/>
    <n v="57"/>
    <x v="0"/>
    <n v="0"/>
    <n v="0"/>
    <n v="6"/>
    <n v="54"/>
    <n v="0"/>
    <n v="305.10000000000002"/>
    <n v="291.85000000000002"/>
    <m/>
    <n v="313.63754569756213"/>
    <n v="219.61640797284883"/>
    <n v="0"/>
    <n v="1232.9091000000003"/>
    <n v="1179.3658500000001"/>
    <n v="0"/>
    <n v="1267.4093221638486"/>
    <n v="887.46990461828227"/>
  </r>
  <r>
    <s v="Regular"/>
    <x v="1"/>
    <x v="3"/>
    <x v="3"/>
    <x v="5"/>
    <x v="0"/>
    <x v="0"/>
    <x v="2"/>
    <x v="2"/>
    <n v="0"/>
    <n v="0"/>
    <n v="4.5439999999999996"/>
    <n v="4.5439999999999996"/>
    <n v="4.5439999999999996"/>
    <n v="4.5439999999999996"/>
    <n v="59"/>
    <x v="0"/>
    <n v="0"/>
    <n v="0"/>
    <n v="6"/>
    <n v="54"/>
    <n v="0"/>
    <n v="305.10000000000002"/>
    <n v="291.85000000000002"/>
    <m/>
    <n v="313.63754569756213"/>
    <n v="219.61640797284883"/>
    <n v="0"/>
    <n v="1386.3743999999999"/>
    <n v="1326.1664000000001"/>
    <n v="0"/>
    <n v="1425.1690076497223"/>
    <n v="997.93695782862505"/>
  </r>
  <r>
    <s v="Regular"/>
    <x v="1"/>
    <x v="3"/>
    <x v="3"/>
    <x v="5"/>
    <x v="0"/>
    <x v="0"/>
    <x v="2"/>
    <x v="3"/>
    <n v="0"/>
    <n v="0"/>
    <n v="2.8109999999999999"/>
    <n v="2.8109999999999999"/>
    <n v="2.8109999999999999"/>
    <n v="2.8109999999999999"/>
    <n v="48"/>
    <x v="0"/>
    <n v="0"/>
    <n v="0"/>
    <n v="6"/>
    <n v="54"/>
    <n v="0"/>
    <n v="305.10000000000002"/>
    <n v="291.85000000000002"/>
    <m/>
    <n v="313.63754569756213"/>
    <n v="219.61640797284883"/>
    <n v="0"/>
    <n v="857.63610000000006"/>
    <n v="820.39035000000001"/>
    <n v="0"/>
    <n v="881.63514095584719"/>
    <n v="617.3417228116781"/>
  </r>
  <r>
    <s v="Regular"/>
    <x v="1"/>
    <x v="3"/>
    <x v="3"/>
    <x v="5"/>
    <x v="0"/>
    <x v="0"/>
    <x v="2"/>
    <x v="4"/>
    <n v="0"/>
    <n v="0"/>
    <n v="4.9960000000000004"/>
    <n v="4.9960000000000004"/>
    <n v="4.9960000000000004"/>
    <n v="4.9960000000000004"/>
    <n v="61"/>
    <x v="0"/>
    <n v="0"/>
    <n v="0"/>
    <n v="6"/>
    <n v="54"/>
    <n v="0"/>
    <n v="305.10000000000002"/>
    <n v="291.85000000000002"/>
    <m/>
    <n v="313.63754569756213"/>
    <n v="219.61640797284883"/>
    <n v="0"/>
    <n v="1524.2796000000003"/>
    <n v="1458.0826000000002"/>
    <n v="0"/>
    <n v="1566.9331783050206"/>
    <n v="1097.2035742323528"/>
  </r>
  <r>
    <s v="Regular"/>
    <x v="1"/>
    <x v="3"/>
    <x v="3"/>
    <x v="5"/>
    <x v="0"/>
    <x v="0"/>
    <x v="2"/>
    <x v="5"/>
    <n v="0"/>
    <n v="0"/>
    <n v="16.841000000000001"/>
    <n v="16.841000000000001"/>
    <n v="16.841000000000001"/>
    <n v="16.841000000000001"/>
    <n v="130"/>
    <x v="0"/>
    <n v="0"/>
    <n v="0"/>
    <n v="6"/>
    <n v="54"/>
    <n v="0"/>
    <n v="305.10000000000002"/>
    <n v="291.85000000000002"/>
    <m/>
    <n v="313.63754569756213"/>
    <n v="219.61640797284883"/>
    <n v="0"/>
    <n v="5138.1891000000005"/>
    <n v="4915.0458500000004"/>
    <n v="0"/>
    <n v="5281.9699070926445"/>
    <n v="3698.5599266707472"/>
  </r>
  <r>
    <s v="Regular"/>
    <x v="1"/>
    <x v="3"/>
    <x v="3"/>
    <x v="5"/>
    <x v="0"/>
    <x v="0"/>
    <x v="2"/>
    <x v="6"/>
    <n v="0"/>
    <n v="0"/>
    <n v="11.708"/>
    <n v="11.708"/>
    <n v="11.708"/>
    <n v="11.708"/>
    <n v="110"/>
    <x v="0"/>
    <n v="0"/>
    <n v="0"/>
    <n v="6"/>
    <n v="54"/>
    <n v="0"/>
    <n v="305.10000000000002"/>
    <n v="291.85000000000002"/>
    <m/>
    <n v="313.63754569756213"/>
    <n v="219.61640797284883"/>
    <n v="0"/>
    <n v="3572.1108000000004"/>
    <n v="3416.9798000000005"/>
    <n v="0"/>
    <n v="3672.0683850270575"/>
    <n v="2571.2689045461143"/>
  </r>
  <r>
    <s v="Regular"/>
    <x v="1"/>
    <x v="3"/>
    <x v="3"/>
    <x v="5"/>
    <x v="0"/>
    <x v="0"/>
    <x v="2"/>
    <x v="7"/>
    <n v="0"/>
    <n v="0"/>
    <n v="5.2409999999999997"/>
    <n v="5.2409999999999997"/>
    <n v="5.2409999999999997"/>
    <n v="5.2409999999999997"/>
    <n v="74"/>
    <x v="0"/>
    <n v="0"/>
    <n v="0"/>
    <n v="6"/>
    <n v="54"/>
    <n v="0"/>
    <n v="305.10000000000002"/>
    <n v="291.85000000000002"/>
    <m/>
    <n v="313.63754569756213"/>
    <n v="219.61640797284883"/>
    <n v="0"/>
    <n v="1599.0291"/>
    <n v="1529.5858499999999"/>
    <n v="0"/>
    <n v="1643.7743770009231"/>
    <n v="1151.0095941857007"/>
  </r>
  <r>
    <s v="Regular"/>
    <x v="1"/>
    <x v="3"/>
    <x v="3"/>
    <x v="5"/>
    <x v="0"/>
    <x v="0"/>
    <x v="2"/>
    <x v="8"/>
    <n v="0"/>
    <n v="0"/>
    <n v="5.3920000000000003"/>
    <n v="5.3920000000000003"/>
    <n v="5.3920000000000003"/>
    <n v="5.3920000000000003"/>
    <n v="79"/>
    <x v="0"/>
    <n v="0"/>
    <n v="0"/>
    <n v="6"/>
    <n v="54"/>
    <n v="0"/>
    <n v="305.10000000000002"/>
    <n v="291.85000000000002"/>
    <m/>
    <n v="313.63754569756213"/>
    <n v="219.61640797284883"/>
    <n v="0"/>
    <n v="1645.0992000000003"/>
    <n v="1573.6552000000001"/>
    <n v="0"/>
    <n v="1691.1336464012552"/>
    <n v="1184.1716717896011"/>
  </r>
  <r>
    <s v="Regular"/>
    <x v="1"/>
    <x v="3"/>
    <x v="3"/>
    <x v="5"/>
    <x v="0"/>
    <x v="0"/>
    <x v="2"/>
    <x v="9"/>
    <n v="0"/>
    <n v="0"/>
    <n v="8.2720000000000002"/>
    <n v="8.2720000000000002"/>
    <n v="8.2720000000000002"/>
    <n v="8.2720000000000002"/>
    <n v="92"/>
    <x v="0"/>
    <n v="0"/>
    <n v="0"/>
    <n v="6"/>
    <n v="54"/>
    <n v="0"/>
    <n v="305.10000000000002"/>
    <n v="291.85000000000002"/>
    <m/>
    <n v="313.63754569756213"/>
    <n v="219.61640797284883"/>
    <n v="0"/>
    <n v="2523.7872000000002"/>
    <n v="2414.1832000000004"/>
    <n v="0"/>
    <n v="2594.4097780102338"/>
    <n v="1816.6669267514055"/>
  </r>
  <r>
    <s v="Regular"/>
    <x v="1"/>
    <x v="3"/>
    <x v="3"/>
    <x v="5"/>
    <x v="0"/>
    <x v="0"/>
    <x v="2"/>
    <x v="10"/>
    <n v="0"/>
    <n v="0"/>
    <n v="6.8289999999999997"/>
    <n v="6.8289999999999997"/>
    <n v="6.8289999999999997"/>
    <n v="6.8289999999999997"/>
    <n v="81"/>
    <x v="0"/>
    <n v="0"/>
    <n v="0"/>
    <n v="6"/>
    <n v="54"/>
    <n v="0"/>
    <n v="305.10000000000002"/>
    <n v="291.85000000000002"/>
    <m/>
    <n v="313.63754569756213"/>
    <n v="219.61640797284883"/>
    <n v="0"/>
    <n v="2083.5279"/>
    <n v="1993.0436500000001"/>
    <n v="0"/>
    <n v="2141.8307995686519"/>
    <n v="1499.7604500465845"/>
  </r>
  <r>
    <s v="PROJETADO"/>
    <x v="1"/>
    <x v="3"/>
    <x v="3"/>
    <x v="5"/>
    <x v="0"/>
    <x v="0"/>
    <x v="2"/>
    <x v="11"/>
    <n v="0"/>
    <n v="0"/>
    <n v="6.8289999999999997"/>
    <n v="6.8289999999999997"/>
    <n v="6.8289999999999997"/>
    <n v="6.8289999999999997"/>
    <n v="81"/>
    <x v="0"/>
    <n v="0"/>
    <n v="0"/>
    <n v="6"/>
    <n v="54"/>
    <n v="0"/>
    <n v="305.10000000000002"/>
    <n v="291.85000000000002"/>
    <m/>
    <n v="313.63754569756213"/>
    <n v="219.61640797284883"/>
    <n v="0"/>
    <n v="2083.5279"/>
    <n v="1993.0436500000001"/>
    <n v="0"/>
    <n v="2141.8307995686519"/>
    <n v="1499.7604500465845"/>
  </r>
  <r>
    <s v="Regular"/>
    <x v="2"/>
    <x v="3"/>
    <x v="2"/>
    <x v="6"/>
    <x v="2"/>
    <x v="0"/>
    <x v="2"/>
    <x v="0"/>
    <n v="0"/>
    <n v="0"/>
    <n v="133.84200000000001"/>
    <n v="133.84200000000001"/>
    <n v="133.84200000000001"/>
    <n v="133.84200000000001"/>
    <n v="0"/>
    <x v="0"/>
    <n v="0"/>
    <n v="0"/>
    <n v="36"/>
    <n v="80"/>
    <n v="0"/>
    <n v="326.19"/>
    <n v="256.83"/>
    <m/>
    <n v="394.26378890128336"/>
    <n v="206.43942349447789"/>
    <n v="0"/>
    <n v="43657.921980000006"/>
    <n v="34374.64086"/>
    <n v="0"/>
    <n v="52769.054034125576"/>
    <n v="27630.265319347913"/>
  </r>
  <r>
    <s v="Sistema de Compensação"/>
    <x v="2"/>
    <x v="3"/>
    <x v="2"/>
    <x v="6"/>
    <x v="2"/>
    <x v="0"/>
    <x v="2"/>
    <x v="0"/>
    <n v="0"/>
    <n v="0"/>
    <n v="4.0759999999999996"/>
    <n v="4.0759999999999996"/>
    <n v="4.0759999999999996"/>
    <n v="4.0759999999999996"/>
    <n v="0"/>
    <x v="0"/>
    <n v="0"/>
    <n v="0"/>
    <n v="36"/>
    <n v="80"/>
    <n v="0"/>
    <n v="326.19"/>
    <n v="256.83"/>
    <m/>
    <n v="394.26378890128336"/>
    <n v="206.43942349447789"/>
    <n v="0"/>
    <n v="1329.55044"/>
    <n v="1046.8390799999997"/>
    <n v="0"/>
    <n v="1607.0192035616308"/>
    <n v="841.44709016349179"/>
  </r>
  <r>
    <s v="Regular"/>
    <x v="2"/>
    <x v="3"/>
    <x v="2"/>
    <x v="6"/>
    <x v="2"/>
    <x v="0"/>
    <x v="2"/>
    <x v="1"/>
    <n v="0"/>
    <n v="0"/>
    <n v="181.97499999999999"/>
    <n v="181.97499999999999"/>
    <n v="181.97499999999999"/>
    <n v="181.97499999999999"/>
    <n v="0"/>
    <x v="0"/>
    <n v="0"/>
    <n v="0"/>
    <n v="36"/>
    <n v="80"/>
    <n v="0"/>
    <n v="326.19"/>
    <n v="256.83"/>
    <m/>
    <n v="394.26378890128336"/>
    <n v="206.43942349447789"/>
    <n v="0"/>
    <n v="59358.42525"/>
    <n v="46736.639249999993"/>
    <n v="0"/>
    <n v="71746.152985311041"/>
    <n v="37566.814090407614"/>
  </r>
  <r>
    <s v="Sistema de Compensação"/>
    <x v="2"/>
    <x v="3"/>
    <x v="2"/>
    <x v="6"/>
    <x v="2"/>
    <x v="0"/>
    <x v="2"/>
    <x v="1"/>
    <n v="0"/>
    <n v="0"/>
    <n v="1.5580000000000001"/>
    <n v="1.5580000000000001"/>
    <n v="1.5580000000000001"/>
    <n v="1.5580000000000001"/>
    <n v="0"/>
    <x v="0"/>
    <n v="0"/>
    <n v="0"/>
    <n v="36"/>
    <n v="80"/>
    <n v="0"/>
    <n v="326.19"/>
    <n v="256.83"/>
    <m/>
    <n v="394.26378890128336"/>
    <n v="206.43942349447789"/>
    <n v="0"/>
    <n v="508.20402000000001"/>
    <n v="400.14114000000001"/>
    <n v="0"/>
    <n v="614.26298310819948"/>
    <n v="321.63262180439659"/>
  </r>
  <r>
    <s v="Regular"/>
    <x v="2"/>
    <x v="3"/>
    <x v="2"/>
    <x v="6"/>
    <x v="2"/>
    <x v="0"/>
    <x v="2"/>
    <x v="2"/>
    <n v="0"/>
    <n v="0"/>
    <n v="131.28299999999999"/>
    <n v="131.28299999999999"/>
    <n v="131.28299999999999"/>
    <n v="131.28299999999999"/>
    <n v="0"/>
    <x v="0"/>
    <n v="0"/>
    <n v="0"/>
    <n v="36"/>
    <n v="80"/>
    <n v="0"/>
    <n v="326.19"/>
    <n v="256.83"/>
    <m/>
    <n v="394.26378890128336"/>
    <n v="206.43942349447789"/>
    <n v="0"/>
    <n v="42823.201769999992"/>
    <n v="33717.412889999992"/>
    <n v="0"/>
    <n v="51760.132998327179"/>
    <n v="27101.986834625539"/>
  </r>
  <r>
    <s v="Sistema de Compensação"/>
    <x v="2"/>
    <x v="3"/>
    <x v="2"/>
    <x v="6"/>
    <x v="2"/>
    <x v="0"/>
    <x v="2"/>
    <x v="2"/>
    <n v="0"/>
    <n v="0"/>
    <n v="2.0630000000000002"/>
    <n v="2.0630000000000002"/>
    <n v="2.0630000000000002"/>
    <n v="2.0630000000000002"/>
    <n v="0"/>
    <x v="0"/>
    <n v="0"/>
    <n v="0"/>
    <n v="36"/>
    <n v="80"/>
    <n v="0"/>
    <n v="326.19"/>
    <n v="256.83"/>
    <m/>
    <n v="394.26378890128336"/>
    <n v="206.43942349447789"/>
    <n v="0"/>
    <n v="672.92997000000003"/>
    <n v="529.84028999999998"/>
    <n v="0"/>
    <n v="813.36619650334762"/>
    <n v="425.8845306691079"/>
  </r>
  <r>
    <s v="Regular"/>
    <x v="2"/>
    <x v="3"/>
    <x v="2"/>
    <x v="6"/>
    <x v="2"/>
    <x v="0"/>
    <x v="2"/>
    <x v="3"/>
    <n v="0"/>
    <n v="0"/>
    <n v="115.495"/>
    <n v="115.495"/>
    <n v="115.495"/>
    <n v="115.495"/>
    <n v="0"/>
    <x v="0"/>
    <n v="0"/>
    <n v="0"/>
    <n v="36"/>
    <n v="80"/>
    <n v="0"/>
    <n v="326.19"/>
    <n v="256.83"/>
    <m/>
    <n v="394.26378890128336"/>
    <n v="206.43942349447789"/>
    <n v="0"/>
    <n v="37673.314050000001"/>
    <n v="29662.580849999998"/>
    <n v="0"/>
    <n v="45535.496299153725"/>
    <n v="23842.721216494727"/>
  </r>
  <r>
    <s v="Sistema de Compensação"/>
    <x v="2"/>
    <x v="3"/>
    <x v="2"/>
    <x v="6"/>
    <x v="2"/>
    <x v="0"/>
    <x v="2"/>
    <x v="3"/>
    <n v="0"/>
    <n v="0"/>
    <n v="2.5190000000000001"/>
    <n v="2.5190000000000001"/>
    <n v="2.5190000000000001"/>
    <n v="2.5190000000000001"/>
    <n v="0"/>
    <x v="0"/>
    <n v="0"/>
    <n v="0"/>
    <n v="36"/>
    <n v="80"/>
    <n v="0"/>
    <n v="326.19"/>
    <n v="256.83"/>
    <m/>
    <n v="394.26378890128336"/>
    <n v="206.43942349447789"/>
    <n v="0"/>
    <n v="821.67261000000008"/>
    <n v="646.95476999999994"/>
    <n v="0"/>
    <n v="993.15048424233282"/>
    <n v="520.0209077825898"/>
  </r>
  <r>
    <s v="Regular"/>
    <x v="2"/>
    <x v="3"/>
    <x v="2"/>
    <x v="6"/>
    <x v="2"/>
    <x v="0"/>
    <x v="2"/>
    <x v="4"/>
    <n v="0"/>
    <n v="0"/>
    <n v="131.422"/>
    <n v="131.422"/>
    <n v="131.422"/>
    <n v="131.422"/>
    <n v="0"/>
    <x v="0"/>
    <n v="0"/>
    <n v="0"/>
    <n v="36"/>
    <n v="80"/>
    <n v="0"/>
    <n v="326.19"/>
    <n v="256.83"/>
    <m/>
    <n v="394.26378890128336"/>
    <n v="206.43942349447789"/>
    <n v="0"/>
    <n v="42868.542179999997"/>
    <n v="33753.112259999994"/>
    <n v="0"/>
    <n v="51814.935664984463"/>
    <n v="27130.681914491273"/>
  </r>
  <r>
    <s v="Sistema de Compensação"/>
    <x v="2"/>
    <x v="3"/>
    <x v="2"/>
    <x v="6"/>
    <x v="2"/>
    <x v="0"/>
    <x v="2"/>
    <x v="4"/>
    <n v="0"/>
    <n v="0"/>
    <n v="5.9550000000000001"/>
    <n v="5.9550000000000001"/>
    <n v="5.9550000000000001"/>
    <n v="5.9550000000000001"/>
    <n v="0"/>
    <x v="0"/>
    <n v="0"/>
    <n v="0"/>
    <n v="36"/>
    <n v="80"/>
    <n v="0"/>
    <n v="326.19"/>
    <n v="256.83"/>
    <m/>
    <n v="394.26378890128336"/>
    <n v="206.43942349447789"/>
    <n v="0"/>
    <n v="1942.46145"/>
    <n v="1529.42265"/>
    <n v="0"/>
    <n v="2347.8408629071423"/>
    <n v="1229.3467669096158"/>
  </r>
  <r>
    <s v="Regular"/>
    <x v="2"/>
    <x v="3"/>
    <x v="2"/>
    <x v="6"/>
    <x v="2"/>
    <x v="0"/>
    <x v="2"/>
    <x v="5"/>
    <n v="0"/>
    <n v="0"/>
    <n v="146.76900000000001"/>
    <n v="146.76900000000001"/>
    <n v="146.76900000000001"/>
    <n v="146.76900000000001"/>
    <n v="0"/>
    <x v="0"/>
    <n v="0"/>
    <n v="0"/>
    <n v="36"/>
    <n v="80"/>
    <n v="0"/>
    <n v="326.19"/>
    <n v="256.83"/>
    <m/>
    <n v="394.26378890128336"/>
    <n v="206.43942349447789"/>
    <n v="0"/>
    <n v="47874.580110000003"/>
    <n v="37694.682269999998"/>
    <n v="0"/>
    <n v="57865.702033252463"/>
    <n v="30298.907746861027"/>
  </r>
  <r>
    <s v="Sistema de Compensação"/>
    <x v="2"/>
    <x v="3"/>
    <x v="2"/>
    <x v="6"/>
    <x v="2"/>
    <x v="0"/>
    <x v="2"/>
    <x v="5"/>
    <n v="0"/>
    <n v="0"/>
    <n v="3.589"/>
    <n v="3.589"/>
    <n v="3.589"/>
    <n v="3.589"/>
    <n v="0"/>
    <x v="0"/>
    <n v="0"/>
    <n v="0"/>
    <n v="36"/>
    <n v="80"/>
    <n v="0"/>
    <n v="326.19"/>
    <n v="256.83"/>
    <m/>
    <n v="394.26378890128336"/>
    <n v="206.43942349447789"/>
    <n v="0"/>
    <n v="1170.6959099999999"/>
    <n v="921.76286999999991"/>
    <n v="0"/>
    <n v="1415.0127383667059"/>
    <n v="740.91109092168119"/>
  </r>
  <r>
    <s v="Regular"/>
    <x v="2"/>
    <x v="3"/>
    <x v="2"/>
    <x v="6"/>
    <x v="2"/>
    <x v="0"/>
    <x v="2"/>
    <x v="6"/>
    <n v="0"/>
    <n v="0"/>
    <n v="170.96600000000001"/>
    <n v="170.96600000000001"/>
    <n v="170.96600000000001"/>
    <n v="170.96600000000001"/>
    <n v="0"/>
    <x v="0"/>
    <n v="0"/>
    <n v="0"/>
    <n v="36"/>
    <n v="80"/>
    <n v="0"/>
    <n v="326.19"/>
    <n v="256.83"/>
    <m/>
    <n v="394.26378890128336"/>
    <n v="206.43942349447789"/>
    <n v="0"/>
    <n v="55767.399540000006"/>
    <n v="43909.197780000002"/>
    <n v="0"/>
    <n v="67405.702933296809"/>
    <n v="35294.12247715691"/>
  </r>
  <r>
    <s v="Sistema de Compensação"/>
    <x v="2"/>
    <x v="3"/>
    <x v="2"/>
    <x v="6"/>
    <x v="2"/>
    <x v="0"/>
    <x v="2"/>
    <x v="6"/>
    <n v="0"/>
    <n v="0"/>
    <n v="10.715"/>
    <n v="10.715"/>
    <n v="10.715"/>
    <n v="10.715"/>
    <n v="0"/>
    <x v="0"/>
    <n v="0"/>
    <n v="0"/>
    <n v="36"/>
    <n v="80"/>
    <n v="0"/>
    <n v="326.19"/>
    <n v="256.83"/>
    <m/>
    <n v="394.26378890128336"/>
    <n v="206.43942349447789"/>
    <n v="0"/>
    <n v="3495.1258499999999"/>
    <n v="2751.93345"/>
    <n v="0"/>
    <n v="4224.5364980772511"/>
    <n v="2211.9984227433306"/>
  </r>
  <r>
    <s v="Regular"/>
    <x v="2"/>
    <x v="3"/>
    <x v="2"/>
    <x v="6"/>
    <x v="2"/>
    <x v="0"/>
    <x v="2"/>
    <x v="7"/>
    <n v="0"/>
    <n v="0"/>
    <n v="165.13200000000001"/>
    <n v="165.13200000000001"/>
    <n v="165.13200000000001"/>
    <n v="165.13200000000001"/>
    <n v="0"/>
    <x v="0"/>
    <n v="0"/>
    <n v="0"/>
    <n v="36"/>
    <n v="80"/>
    <n v="0"/>
    <n v="326.19"/>
    <n v="256.83"/>
    <m/>
    <n v="394.26378890128336"/>
    <n v="206.43942349447789"/>
    <n v="0"/>
    <n v="53864.407080000004"/>
    <n v="42410.851559999996"/>
    <n v="0"/>
    <n v="65105.567988846728"/>
    <n v="34089.754880490123"/>
  </r>
  <r>
    <s v="Refaturamento - Regular"/>
    <x v="2"/>
    <x v="3"/>
    <x v="2"/>
    <x v="6"/>
    <x v="2"/>
    <x v="0"/>
    <x v="2"/>
    <x v="7"/>
    <n v="0"/>
    <n v="0"/>
    <n v="-0.29399999999999998"/>
    <n v="-0.29399999999999998"/>
    <n v="-0.29399999999999998"/>
    <n v="-0.29399999999999998"/>
    <n v="0"/>
    <x v="0"/>
    <n v="0"/>
    <n v="0"/>
    <n v="36"/>
    <n v="80"/>
    <n v="0"/>
    <n v="326.19"/>
    <n v="256.83"/>
    <m/>
    <n v="394.26378890128336"/>
    <n v="206.43942349447789"/>
    <n v="0"/>
    <n v="-95.89985999999999"/>
    <n v="-75.508019999999988"/>
    <n v="0"/>
    <n v="-115.91355393697731"/>
    <n v="-60.693190507376499"/>
  </r>
  <r>
    <s v="Sistema de Compensação"/>
    <x v="2"/>
    <x v="3"/>
    <x v="2"/>
    <x v="6"/>
    <x v="2"/>
    <x v="0"/>
    <x v="2"/>
    <x v="7"/>
    <n v="0"/>
    <n v="0"/>
    <n v="15.925000000000001"/>
    <n v="15.925000000000001"/>
    <n v="15.925000000000001"/>
    <n v="15.925000000000001"/>
    <n v="0"/>
    <x v="0"/>
    <n v="0"/>
    <n v="0"/>
    <n v="36"/>
    <n v="80"/>
    <n v="0"/>
    <n v="326.19"/>
    <n v="256.83"/>
    <m/>
    <n v="394.26378890128336"/>
    <n v="206.43942349447789"/>
    <n v="0"/>
    <n v="5194.57575"/>
    <n v="4090.01775"/>
    <n v="0"/>
    <n v="6278.6508382529382"/>
    <n v="3287.5478191495604"/>
  </r>
  <r>
    <s v="Sistema de Compensação"/>
    <x v="2"/>
    <x v="3"/>
    <x v="2"/>
    <x v="6"/>
    <x v="2"/>
    <x v="0"/>
    <x v="2"/>
    <x v="7"/>
    <n v="0"/>
    <n v="0"/>
    <n v="-14.53"/>
    <n v="-14.53"/>
    <n v="-14.53"/>
    <n v="-14.53"/>
    <n v="0"/>
    <x v="0"/>
    <n v="0"/>
    <n v="0"/>
    <n v="36"/>
    <n v="80"/>
    <n v="0"/>
    <n v="326.19"/>
    <n v="256.83"/>
    <m/>
    <n v="394.26378890128336"/>
    <n v="206.43942349447789"/>
    <n v="0"/>
    <n v="-4739.5406999999996"/>
    <n v="-3731.7398999999996"/>
    <n v="0"/>
    <n v="-5728.6528527356468"/>
    <n v="-2999.5648233747638"/>
  </r>
  <r>
    <s v="Regular"/>
    <x v="2"/>
    <x v="3"/>
    <x v="2"/>
    <x v="6"/>
    <x v="2"/>
    <x v="0"/>
    <x v="2"/>
    <x v="8"/>
    <n v="0"/>
    <n v="0"/>
    <n v="155.02699999999999"/>
    <n v="155.02699999999999"/>
    <n v="155.02699999999999"/>
    <n v="155.02699999999999"/>
    <n v="0"/>
    <x v="0"/>
    <n v="0"/>
    <n v="0"/>
    <n v="36"/>
    <n v="80"/>
    <n v="0"/>
    <n v="326.19"/>
    <n v="256.83"/>
    <m/>
    <n v="394.26378890128336"/>
    <n v="206.43942349447789"/>
    <n v="0"/>
    <n v="50568.257129999998"/>
    <n v="39815.584409999996"/>
    <n v="0"/>
    <n v="61121.532401999248"/>
    <n v="32003.684506078422"/>
  </r>
  <r>
    <s v="Sistema de Compensação"/>
    <x v="2"/>
    <x v="3"/>
    <x v="2"/>
    <x v="6"/>
    <x v="2"/>
    <x v="0"/>
    <x v="2"/>
    <x v="8"/>
    <n v="0"/>
    <n v="0"/>
    <n v="3.8679999999999999"/>
    <n v="3.8679999999999999"/>
    <n v="3.8679999999999999"/>
    <n v="3.8679999999999999"/>
    <n v="0"/>
    <x v="0"/>
    <n v="0"/>
    <n v="0"/>
    <n v="36"/>
    <n v="80"/>
    <n v="0"/>
    <n v="326.19"/>
    <n v="256.83"/>
    <m/>
    <n v="394.26378890128336"/>
    <n v="206.43942349447789"/>
    <n v="0"/>
    <n v="1261.7029199999999"/>
    <n v="993.41843999999992"/>
    <n v="0"/>
    <n v="1525.0123354701641"/>
    <n v="798.50769007664042"/>
  </r>
  <r>
    <s v="Sistema de Compensação"/>
    <x v="2"/>
    <x v="3"/>
    <x v="2"/>
    <x v="6"/>
    <x v="2"/>
    <x v="0"/>
    <x v="2"/>
    <x v="8"/>
    <n v="0"/>
    <n v="0"/>
    <n v="-11.319000000000001"/>
    <n v="-11.319000000000001"/>
    <n v="-11.319000000000001"/>
    <n v="-11.319000000000001"/>
    <n v="0"/>
    <x v="0"/>
    <n v="0"/>
    <n v="0"/>
    <n v="36"/>
    <n v="80"/>
    <n v="0"/>
    <n v="326.19"/>
    <n v="256.83"/>
    <m/>
    <n v="394.26378890128336"/>
    <n v="206.43942349447789"/>
    <n v="0"/>
    <n v="-3692.1446100000003"/>
    <n v="-2907.0587700000001"/>
    <n v="0"/>
    <n v="-4462.6718265736263"/>
    <n v="-2336.6878345339956"/>
  </r>
  <r>
    <s v="Regular"/>
    <x v="2"/>
    <x v="3"/>
    <x v="2"/>
    <x v="6"/>
    <x v="2"/>
    <x v="0"/>
    <x v="2"/>
    <x v="9"/>
    <n v="0"/>
    <n v="0"/>
    <n v="138.32900000000001"/>
    <n v="138.32900000000001"/>
    <n v="138.32900000000001"/>
    <n v="138.32900000000001"/>
    <n v="0"/>
    <x v="0"/>
    <n v="0"/>
    <n v="0"/>
    <n v="36"/>
    <n v="80"/>
    <n v="0"/>
    <n v="326.19"/>
    <n v="256.83"/>
    <m/>
    <n v="394.26378890128336"/>
    <n v="206.43942349447789"/>
    <n v="0"/>
    <n v="45121.536510000005"/>
    <n v="35527.037069999998"/>
    <n v="0"/>
    <n v="54538.115654925627"/>
    <n v="28556.559012567635"/>
  </r>
  <r>
    <s v="Refaturamento - Regular"/>
    <x v="2"/>
    <x v="3"/>
    <x v="2"/>
    <x v="6"/>
    <x v="2"/>
    <x v="0"/>
    <x v="2"/>
    <x v="9"/>
    <n v="0"/>
    <n v="0"/>
    <n v="2E-3"/>
    <n v="2E-3"/>
    <n v="2E-3"/>
    <n v="2E-3"/>
    <n v="0"/>
    <x v="0"/>
    <n v="0"/>
    <n v="0"/>
    <n v="36"/>
    <n v="80"/>
    <n v="0"/>
    <n v="326.19"/>
    <n v="256.83"/>
    <m/>
    <n v="394.26378890128336"/>
    <n v="206.43942349447789"/>
    <n v="0"/>
    <n v="0.65237999999999996"/>
    <n v="0.51366000000000001"/>
    <n v="0"/>
    <n v="0.78852757780256677"/>
    <n v="0.41287884698895577"/>
  </r>
  <r>
    <s v="Sistema de Compensação"/>
    <x v="2"/>
    <x v="3"/>
    <x v="2"/>
    <x v="6"/>
    <x v="2"/>
    <x v="0"/>
    <x v="2"/>
    <x v="9"/>
    <n v="0"/>
    <n v="0"/>
    <n v="3.1179999999999999"/>
    <n v="3.1179999999999999"/>
    <n v="3.1179999999999999"/>
    <n v="3.1179999999999999"/>
    <n v="0"/>
    <x v="0"/>
    <n v="0"/>
    <n v="0"/>
    <n v="36"/>
    <n v="80"/>
    <n v="0"/>
    <n v="326.19"/>
    <n v="256.83"/>
    <m/>
    <n v="394.26378890128336"/>
    <n v="206.43942349447789"/>
    <n v="0"/>
    <n v="1017.0604199999999"/>
    <n v="800.79593999999997"/>
    <n v="0"/>
    <n v="1229.3144937942016"/>
    <n v="643.67812245578205"/>
  </r>
  <r>
    <s v="Regular"/>
    <x v="2"/>
    <x v="3"/>
    <x v="2"/>
    <x v="6"/>
    <x v="2"/>
    <x v="0"/>
    <x v="2"/>
    <x v="10"/>
    <n v="0"/>
    <n v="0"/>
    <n v="106.161"/>
    <n v="106.161"/>
    <n v="106.161"/>
    <n v="106.161"/>
    <n v="0"/>
    <x v="0"/>
    <n v="0"/>
    <n v="0"/>
    <n v="36"/>
    <n v="80"/>
    <n v="0"/>
    <n v="326.19"/>
    <n v="256.83"/>
    <m/>
    <n v="394.26378890128336"/>
    <n v="206.43942349447789"/>
    <n v="0"/>
    <n v="34628.656589999999"/>
    <n v="27265.32963"/>
    <n v="0"/>
    <n v="41855.438093549143"/>
    <n v="21915.815637597269"/>
  </r>
  <r>
    <s v="Sistema de Compensação"/>
    <x v="2"/>
    <x v="3"/>
    <x v="2"/>
    <x v="6"/>
    <x v="2"/>
    <x v="0"/>
    <x v="2"/>
    <x v="10"/>
    <n v="0"/>
    <n v="0"/>
    <n v="6.8719999999999999"/>
    <n v="6.8719999999999999"/>
    <n v="6.8719999999999999"/>
    <n v="6.8719999999999999"/>
    <n v="0"/>
    <x v="0"/>
    <n v="0"/>
    <n v="0"/>
    <n v="36"/>
    <n v="80"/>
    <n v="0"/>
    <n v="326.19"/>
    <n v="256.83"/>
    <m/>
    <n v="394.26378890128336"/>
    <n v="206.43942349447789"/>
    <n v="0"/>
    <n v="2241.5776799999999"/>
    <n v="1764.9357599999998"/>
    <n v="0"/>
    <n v="2709.3807573296194"/>
    <n v="1418.651718254052"/>
  </r>
  <r>
    <s v="PROJETADO"/>
    <x v="2"/>
    <x v="3"/>
    <x v="2"/>
    <x v="6"/>
    <x v="2"/>
    <x v="0"/>
    <x v="2"/>
    <x v="11"/>
    <n v="0"/>
    <n v="0"/>
    <n v="106.161"/>
    <n v="106.161"/>
    <n v="106.161"/>
    <n v="106.161"/>
    <n v="0"/>
    <x v="0"/>
    <n v="0"/>
    <n v="0"/>
    <n v="36"/>
    <n v="80"/>
    <n v="0"/>
    <n v="326.19"/>
    <n v="256.83"/>
    <m/>
    <n v="394.26378890128336"/>
    <n v="206.43942349447789"/>
    <n v="0"/>
    <n v="34628.656589999999"/>
    <n v="27265.32963"/>
    <n v="0"/>
    <n v="41855.438093549143"/>
    <n v="21915.815637597269"/>
  </r>
  <r>
    <s v="PROJETADO"/>
    <x v="2"/>
    <x v="3"/>
    <x v="2"/>
    <x v="6"/>
    <x v="2"/>
    <x v="0"/>
    <x v="2"/>
    <x v="11"/>
    <n v="0"/>
    <n v="0"/>
    <n v="6.8719999999999999"/>
    <n v="6.8719999999999999"/>
    <n v="6.8719999999999999"/>
    <n v="6.8719999999999999"/>
    <n v="0"/>
    <x v="0"/>
    <n v="0"/>
    <n v="0"/>
    <n v="36"/>
    <n v="80"/>
    <n v="0"/>
    <n v="326.19"/>
    <n v="256.83"/>
    <m/>
    <n v="394.26378890128336"/>
    <n v="206.43942349447789"/>
    <n v="0"/>
    <n v="2241.5776799999999"/>
    <n v="1764.9357599999998"/>
    <n v="0"/>
    <n v="2709.3807573296194"/>
    <n v="1418.651718254052"/>
  </r>
  <r>
    <s v="Regular"/>
    <x v="2"/>
    <x v="3"/>
    <x v="2"/>
    <x v="6"/>
    <x v="3"/>
    <x v="0"/>
    <x v="2"/>
    <x v="0"/>
    <n v="0"/>
    <n v="0"/>
    <n v="141.75899999999999"/>
    <n v="56.703600000000002"/>
    <n v="141.75899999999999"/>
    <n v="56.703600000000002"/>
    <n v="0"/>
    <x v="0"/>
    <n v="0"/>
    <n v="0"/>
    <n v="36"/>
    <n v="80"/>
    <n v="0"/>
    <n v="326.19"/>
    <n v="256.83"/>
    <m/>
    <n v="394.26378890128336"/>
    <n v="206.43942349447789"/>
    <n v="0"/>
    <n v="18496.147283999999"/>
    <n v="14563.185588"/>
    <n v="0"/>
    <n v="22356.176180342813"/>
    <n v="11705.858494061476"/>
  </r>
  <r>
    <s v="Sistema de Compensação"/>
    <x v="2"/>
    <x v="3"/>
    <x v="2"/>
    <x v="6"/>
    <x v="3"/>
    <x v="0"/>
    <x v="2"/>
    <x v="0"/>
    <n v="0"/>
    <n v="0"/>
    <n v="5.782"/>
    <n v="5.782"/>
    <n v="5.782"/>
    <n v="5.782"/>
    <n v="0"/>
    <x v="0"/>
    <n v="0"/>
    <n v="0"/>
    <n v="36"/>
    <n v="80"/>
    <n v="0"/>
    <n v="326.19"/>
    <n v="256.83"/>
    <m/>
    <n v="394.26378890128336"/>
    <n v="206.43942349447789"/>
    <n v="0"/>
    <n v="1886.0305800000001"/>
    <n v="1484.9910599999998"/>
    <n v="0"/>
    <n v="2279.6332274272204"/>
    <n v="1193.6327466450712"/>
  </r>
  <r>
    <s v="Regular"/>
    <x v="2"/>
    <x v="3"/>
    <x v="2"/>
    <x v="6"/>
    <x v="3"/>
    <x v="0"/>
    <x v="2"/>
    <x v="1"/>
    <n v="0"/>
    <n v="0"/>
    <n v="152.84700000000001"/>
    <n v="61.138800000000003"/>
    <n v="152.84700000000001"/>
    <n v="61.138800000000003"/>
    <n v="0"/>
    <x v="0"/>
    <n v="0"/>
    <n v="0"/>
    <n v="36"/>
    <n v="80"/>
    <n v="0"/>
    <n v="326.19"/>
    <n v="256.83"/>
    <m/>
    <n v="394.26378890128336"/>
    <n v="206.43942349447789"/>
    <n v="0"/>
    <n v="19942.865172000002"/>
    <n v="15702.278004"/>
    <n v="0"/>
    <n v="24104.814936877785"/>
    <n v="12621.458625144185"/>
  </r>
  <r>
    <s v="Sistema de Compensação"/>
    <x v="2"/>
    <x v="3"/>
    <x v="2"/>
    <x v="6"/>
    <x v="3"/>
    <x v="0"/>
    <x v="2"/>
    <x v="1"/>
    <n v="0"/>
    <n v="0"/>
    <n v="5.9429999999999996"/>
    <n v="5.9429999999999996"/>
    <n v="5.9429999999999996"/>
    <n v="5.9429999999999996"/>
    <n v="0"/>
    <x v="0"/>
    <n v="0"/>
    <n v="0"/>
    <n v="36"/>
    <n v="80"/>
    <n v="0"/>
    <n v="326.19"/>
    <n v="256.83"/>
    <m/>
    <n v="394.26378890128336"/>
    <n v="206.43942349447789"/>
    <n v="0"/>
    <n v="1938.5471699999998"/>
    <n v="1526.3406899999998"/>
    <n v="0"/>
    <n v="2343.1096974403267"/>
    <n v="1226.8694938276819"/>
  </r>
  <r>
    <s v="Regular"/>
    <x v="2"/>
    <x v="3"/>
    <x v="2"/>
    <x v="6"/>
    <x v="3"/>
    <x v="0"/>
    <x v="2"/>
    <x v="2"/>
    <n v="0"/>
    <n v="0"/>
    <n v="160.99299999999999"/>
    <n v="64.397199999999998"/>
    <n v="160.99299999999999"/>
    <n v="64.397199999999998"/>
    <n v="0"/>
    <x v="0"/>
    <n v="0"/>
    <n v="0"/>
    <n v="36"/>
    <n v="80"/>
    <n v="0"/>
    <n v="326.19"/>
    <n v="256.83"/>
    <m/>
    <n v="394.26378890128336"/>
    <n v="206.43942349447789"/>
    <n v="0"/>
    <n v="21005.722667999999"/>
    <n v="16539.132876"/>
    <n v="0"/>
    <n v="25389.484066633726"/>
    <n v="13294.120842658591"/>
  </r>
  <r>
    <s v="Sistema de Compensação"/>
    <x v="2"/>
    <x v="3"/>
    <x v="2"/>
    <x v="6"/>
    <x v="3"/>
    <x v="0"/>
    <x v="2"/>
    <x v="2"/>
    <n v="0"/>
    <n v="0"/>
    <n v="6.2729999999999997"/>
    <n v="6.2729999999999997"/>
    <n v="6.2729999999999997"/>
    <n v="6.2729999999999997"/>
    <n v="0"/>
    <x v="0"/>
    <n v="0"/>
    <n v="0"/>
    <n v="36"/>
    <n v="80"/>
    <n v="0"/>
    <n v="326.19"/>
    <n v="256.83"/>
    <m/>
    <n v="394.26378890128336"/>
    <n v="206.43942349447789"/>
    <n v="0"/>
    <n v="2046.1898699999999"/>
    <n v="1611.0945899999999"/>
    <n v="0"/>
    <n v="2473.2167477777502"/>
    <n v="1294.9945035808598"/>
  </r>
  <r>
    <s v="Regular"/>
    <x v="2"/>
    <x v="3"/>
    <x v="2"/>
    <x v="6"/>
    <x v="3"/>
    <x v="0"/>
    <x v="2"/>
    <x v="3"/>
    <n v="0"/>
    <n v="0"/>
    <n v="138.024"/>
    <n v="55.209600000000002"/>
    <n v="138.024"/>
    <n v="55.209600000000002"/>
    <n v="0"/>
    <x v="0"/>
    <n v="0"/>
    <n v="0"/>
    <n v="36"/>
    <n v="80"/>
    <n v="0"/>
    <n v="326.19"/>
    <n v="256.83"/>
    <m/>
    <n v="394.26378890128336"/>
    <n v="206.43942349447789"/>
    <n v="0"/>
    <n v="18008.819424000001"/>
    <n v="14179.481567999999"/>
    <n v="0"/>
    <n v="21767.146079724294"/>
    <n v="11397.437995360728"/>
  </r>
  <r>
    <s v="Sistema de Compensação"/>
    <x v="2"/>
    <x v="3"/>
    <x v="2"/>
    <x v="6"/>
    <x v="3"/>
    <x v="0"/>
    <x v="2"/>
    <x v="3"/>
    <n v="0"/>
    <n v="0"/>
    <n v="7.1980000000000004"/>
    <n v="7.1980000000000004"/>
    <n v="7.1980000000000004"/>
    <n v="7.1980000000000004"/>
    <n v="0"/>
    <x v="0"/>
    <n v="0"/>
    <n v="0"/>
    <n v="36"/>
    <n v="80"/>
    <n v="0"/>
    <n v="326.19"/>
    <n v="256.83"/>
    <m/>
    <n v="394.26378890128336"/>
    <n v="206.43942349447789"/>
    <n v="0"/>
    <n v="2347.9156200000002"/>
    <n v="1848.6623400000001"/>
    <n v="0"/>
    <n v="2837.9107525114377"/>
    <n v="1485.9509703132519"/>
  </r>
  <r>
    <s v="Regular"/>
    <x v="2"/>
    <x v="3"/>
    <x v="2"/>
    <x v="6"/>
    <x v="3"/>
    <x v="0"/>
    <x v="2"/>
    <x v="4"/>
    <n v="0"/>
    <n v="0"/>
    <n v="143.86799999999999"/>
    <n v="57.547199999999997"/>
    <n v="143.86799999999999"/>
    <n v="57.547199999999997"/>
    <n v="0"/>
    <x v="0"/>
    <n v="0"/>
    <n v="0"/>
    <n v="36"/>
    <n v="80"/>
    <n v="0"/>
    <n v="326.19"/>
    <n v="256.83"/>
    <m/>
    <n v="394.26378890128336"/>
    <n v="206.43942349447789"/>
    <n v="0"/>
    <n v="18771.321167999999"/>
    <n v="14779.847375999998"/>
    <n v="0"/>
    <n v="22688.777112659933"/>
    <n v="11880.010791721417"/>
  </r>
  <r>
    <s v="Sistema de Compensação"/>
    <x v="2"/>
    <x v="3"/>
    <x v="2"/>
    <x v="6"/>
    <x v="3"/>
    <x v="0"/>
    <x v="2"/>
    <x v="4"/>
    <n v="0"/>
    <n v="0"/>
    <n v="6.5640000000000001"/>
    <n v="6.5640000000000001"/>
    <n v="6.5640000000000001"/>
    <n v="6.5640000000000001"/>
    <n v="0"/>
    <x v="0"/>
    <n v="0"/>
    <n v="0"/>
    <n v="36"/>
    <n v="80"/>
    <n v="0"/>
    <n v="326.19"/>
    <n v="256.83"/>
    <m/>
    <n v="394.26378890128336"/>
    <n v="206.43942349447789"/>
    <n v="0"/>
    <n v="2141.1111599999999"/>
    <n v="1685.8321199999998"/>
    <n v="0"/>
    <n v="2587.947510348024"/>
    <n v="1355.0683758177529"/>
  </r>
  <r>
    <s v="Regular"/>
    <x v="2"/>
    <x v="3"/>
    <x v="2"/>
    <x v="6"/>
    <x v="3"/>
    <x v="0"/>
    <x v="2"/>
    <x v="5"/>
    <n v="0"/>
    <n v="0"/>
    <n v="168.44300000000001"/>
    <n v="67.377200000000002"/>
    <n v="168.44300000000001"/>
    <n v="67.377200000000002"/>
    <n v="0"/>
    <x v="0"/>
    <n v="0"/>
    <n v="0"/>
    <n v="36"/>
    <n v="80"/>
    <n v="0"/>
    <n v="326.19"/>
    <n v="256.83"/>
    <m/>
    <n v="394.26378890128336"/>
    <n v="206.43942349447789"/>
    <n v="0"/>
    <n v="21977.768867999999"/>
    <n v="17304.486276"/>
    <n v="0"/>
    <n v="26564.390157559552"/>
    <n v="13909.310324672137"/>
  </r>
  <r>
    <s v="Sistema de Compensação"/>
    <x v="2"/>
    <x v="3"/>
    <x v="2"/>
    <x v="6"/>
    <x v="3"/>
    <x v="0"/>
    <x v="2"/>
    <x v="5"/>
    <n v="0"/>
    <n v="0"/>
    <n v="4.17"/>
    <n v="4.17"/>
    <n v="4.17"/>
    <n v="4.17"/>
    <n v="0"/>
    <x v="0"/>
    <n v="0"/>
    <n v="0"/>
    <n v="36"/>
    <n v="80"/>
    <n v="0"/>
    <n v="326.19"/>
    <n v="256.83"/>
    <m/>
    <n v="394.26378890128336"/>
    <n v="206.43942349447789"/>
    <n v="0"/>
    <n v="1360.2122999999999"/>
    <n v="1070.9811"/>
    <n v="0"/>
    <n v="1644.0799997183517"/>
    <n v="860.85239597197278"/>
  </r>
  <r>
    <s v="Regular"/>
    <x v="2"/>
    <x v="3"/>
    <x v="2"/>
    <x v="6"/>
    <x v="3"/>
    <x v="0"/>
    <x v="2"/>
    <x v="6"/>
    <n v="0"/>
    <n v="0"/>
    <n v="160.76499999999999"/>
    <n v="64.305999999999997"/>
    <n v="160.76499999999999"/>
    <n v="64.305999999999997"/>
    <n v="0"/>
    <x v="0"/>
    <n v="0"/>
    <n v="0"/>
    <n v="36"/>
    <n v="80"/>
    <n v="0"/>
    <n v="326.19"/>
    <n v="256.83"/>
    <m/>
    <n v="394.26378890128336"/>
    <n v="206.43942349447789"/>
    <n v="0"/>
    <n v="20975.974139999998"/>
    <n v="16515.70998"/>
    <n v="0"/>
    <n v="25353.527209085925"/>
    <n v="13275.293567235894"/>
  </r>
  <r>
    <s v="Sistema de Compensação"/>
    <x v="2"/>
    <x v="3"/>
    <x v="2"/>
    <x v="6"/>
    <x v="3"/>
    <x v="0"/>
    <x v="2"/>
    <x v="6"/>
    <n v="0"/>
    <n v="0"/>
    <n v="10.577999999999999"/>
    <n v="10.577999999999999"/>
    <n v="10.577999999999999"/>
    <n v="10.577999999999999"/>
    <n v="0"/>
    <x v="0"/>
    <n v="0"/>
    <n v="0"/>
    <n v="36"/>
    <n v="80"/>
    <n v="0"/>
    <n v="326.19"/>
    <n v="256.83"/>
    <m/>
    <n v="394.26378890128336"/>
    <n v="206.43942349447789"/>
    <n v="0"/>
    <n v="3450.4378199999996"/>
    <n v="2716.7477399999998"/>
    <n v="0"/>
    <n v="4170.522358997775"/>
    <n v="2183.7162217245868"/>
  </r>
  <r>
    <s v="Regular"/>
    <x v="2"/>
    <x v="3"/>
    <x v="2"/>
    <x v="6"/>
    <x v="3"/>
    <x v="0"/>
    <x v="2"/>
    <x v="7"/>
    <n v="0"/>
    <n v="0"/>
    <n v="154.96299999999999"/>
    <n v="61.985199999999999"/>
    <n v="154.96299999999999"/>
    <n v="61.985199999999999"/>
    <n v="0"/>
    <x v="0"/>
    <n v="0"/>
    <n v="0"/>
    <n v="36"/>
    <n v="80"/>
    <n v="0"/>
    <n v="326.19"/>
    <n v="256.83"/>
    <m/>
    <n v="394.26378890128336"/>
    <n v="206.43942349447789"/>
    <n v="0"/>
    <n v="20218.952387999998"/>
    <n v="15919.658915999998"/>
    <n v="0"/>
    <n v="24438.51980780383"/>
    <n v="12796.188953189911"/>
  </r>
  <r>
    <s v="Refaturamento - Regular"/>
    <x v="2"/>
    <x v="3"/>
    <x v="2"/>
    <x v="6"/>
    <x v="3"/>
    <x v="0"/>
    <x v="2"/>
    <x v="7"/>
    <n v="0"/>
    <n v="0"/>
    <n v="0.29299999999999998"/>
    <n v="0.1172"/>
    <n v="0.29299999999999998"/>
    <n v="0.1172"/>
    <n v="0"/>
    <x v="0"/>
    <n v="0"/>
    <n v="0"/>
    <n v="36"/>
    <n v="80"/>
    <n v="0"/>
    <n v="326.19"/>
    <n v="256.83"/>
    <m/>
    <n v="394.26378890128336"/>
    <n v="206.43942349447789"/>
    <n v="0"/>
    <n v="38.229467999999997"/>
    <n v="30.100475999999997"/>
    <n v="0"/>
    <n v="46.207716059230407"/>
    <n v="24.194700433552807"/>
  </r>
  <r>
    <s v="Sistema de Compensação"/>
    <x v="2"/>
    <x v="3"/>
    <x v="2"/>
    <x v="6"/>
    <x v="3"/>
    <x v="0"/>
    <x v="2"/>
    <x v="7"/>
    <n v="0"/>
    <n v="0"/>
    <n v="19.370999999999999"/>
    <n v="19.370999999999999"/>
    <n v="19.370999999999999"/>
    <n v="19.370999999999999"/>
    <n v="0"/>
    <x v="0"/>
    <n v="0"/>
    <n v="0"/>
    <n v="36"/>
    <n v="80"/>
    <n v="0"/>
    <n v="326.19"/>
    <n v="256.83"/>
    <m/>
    <n v="394.26378890128336"/>
    <n v="206.43942349447789"/>
    <n v="0"/>
    <n v="6318.6264899999996"/>
    <n v="4975.0539299999991"/>
    <n v="0"/>
    <n v="7637.2838548067593"/>
    <n v="3998.9380725115311"/>
  </r>
  <r>
    <s v="Sistema de Compensação"/>
    <x v="2"/>
    <x v="3"/>
    <x v="2"/>
    <x v="6"/>
    <x v="3"/>
    <x v="0"/>
    <x v="2"/>
    <x v="7"/>
    <n v="0"/>
    <n v="0"/>
    <n v="14.53"/>
    <n v="14.53"/>
    <n v="14.53"/>
    <n v="14.53"/>
    <n v="0"/>
    <x v="0"/>
    <n v="0"/>
    <n v="0"/>
    <n v="36"/>
    <n v="80"/>
    <n v="0"/>
    <n v="326.19"/>
    <n v="256.83"/>
    <m/>
    <n v="394.26378890128336"/>
    <n v="206.43942349447789"/>
    <n v="0"/>
    <n v="4739.5406999999996"/>
    <n v="3731.7398999999996"/>
    <n v="0"/>
    <n v="5728.6528527356468"/>
    <n v="2999.5648233747638"/>
  </r>
  <r>
    <s v="Regular"/>
    <x v="2"/>
    <x v="3"/>
    <x v="2"/>
    <x v="6"/>
    <x v="3"/>
    <x v="0"/>
    <x v="2"/>
    <x v="8"/>
    <n v="0"/>
    <n v="0"/>
    <n v="165.768"/>
    <n v="66.307199999999995"/>
    <n v="165.768"/>
    <n v="66.307199999999995"/>
    <n v="0"/>
    <x v="0"/>
    <n v="0"/>
    <n v="0"/>
    <n v="36"/>
    <n v="80"/>
    <n v="0"/>
    <n v="326.19"/>
    <n v="256.83"/>
    <m/>
    <n v="394.26378890128336"/>
    <n v="206.43942349447789"/>
    <n v="0"/>
    <n v="21628.745567999998"/>
    <n v="17029.678175999998"/>
    <n v="0"/>
    <n v="26142.527903435173"/>
    <n v="13688.420141533043"/>
  </r>
  <r>
    <s v="Sistema de Compensação"/>
    <x v="2"/>
    <x v="3"/>
    <x v="2"/>
    <x v="6"/>
    <x v="3"/>
    <x v="0"/>
    <x v="2"/>
    <x v="8"/>
    <n v="0"/>
    <n v="0"/>
    <n v="19.545000000000002"/>
    <n v="19.545000000000002"/>
    <n v="19.545000000000002"/>
    <n v="19.545000000000002"/>
    <n v="0"/>
    <x v="0"/>
    <n v="0"/>
    <n v="0"/>
    <n v="36"/>
    <n v="80"/>
    <n v="0"/>
    <n v="326.19"/>
    <n v="256.83"/>
    <m/>
    <n v="394.26378890128336"/>
    <n v="206.43942349447789"/>
    <n v="0"/>
    <n v="6375.3835500000005"/>
    <n v="5019.7423500000004"/>
    <n v="0"/>
    <n v="7705.8857540755844"/>
    <n v="4034.8585321995706"/>
  </r>
  <r>
    <s v="Sistema de Compensação"/>
    <x v="2"/>
    <x v="3"/>
    <x v="2"/>
    <x v="6"/>
    <x v="3"/>
    <x v="0"/>
    <x v="2"/>
    <x v="8"/>
    <n v="0"/>
    <n v="0"/>
    <n v="12.291"/>
    <n v="12.291"/>
    <n v="12.291"/>
    <n v="12.291"/>
    <n v="0"/>
    <x v="0"/>
    <n v="0"/>
    <n v="0"/>
    <n v="36"/>
    <n v="80"/>
    <n v="0"/>
    <n v="326.19"/>
    <n v="256.83"/>
    <m/>
    <n v="394.26378890128336"/>
    <n v="206.43942349447789"/>
    <n v="0"/>
    <n v="4009.20129"/>
    <n v="3156.6975299999999"/>
    <n v="0"/>
    <n v="4845.8962293856739"/>
    <n v="2537.3469541706277"/>
  </r>
  <r>
    <s v="Regular"/>
    <x v="2"/>
    <x v="3"/>
    <x v="2"/>
    <x v="6"/>
    <x v="3"/>
    <x v="0"/>
    <x v="2"/>
    <x v="9"/>
    <n v="0"/>
    <n v="0"/>
    <n v="146.125"/>
    <n v="58.45"/>
    <n v="146.125"/>
    <n v="58.45"/>
    <n v="0"/>
    <x v="0"/>
    <n v="0"/>
    <n v="0"/>
    <n v="36"/>
    <n v="80"/>
    <n v="0"/>
    <n v="326.19"/>
    <n v="256.83"/>
    <m/>
    <n v="394.26378890128336"/>
    <n v="206.43942349447789"/>
    <n v="0"/>
    <n v="19065.805500000002"/>
    <n v="15011.7135"/>
    <n v="0"/>
    <n v="23044.718461280012"/>
    <n v="12066.384303252233"/>
  </r>
  <r>
    <s v="Refaturamento - Regular"/>
    <x v="2"/>
    <x v="3"/>
    <x v="2"/>
    <x v="6"/>
    <x v="3"/>
    <x v="0"/>
    <x v="2"/>
    <x v="9"/>
    <n v="0"/>
    <n v="0"/>
    <n v="-12.4"/>
    <n v="-4.96"/>
    <n v="-12.4"/>
    <n v="-4.96"/>
    <n v="0"/>
    <x v="0"/>
    <n v="0"/>
    <n v="0"/>
    <n v="36"/>
    <n v="80"/>
    <n v="0"/>
    <n v="326.19"/>
    <n v="256.83"/>
    <m/>
    <n v="394.26378890128336"/>
    <n v="206.43942349447789"/>
    <n v="0"/>
    <n v="-1617.9023999999999"/>
    <n v="-1273.8768"/>
    <n v="0"/>
    <n v="-1955.5483929503655"/>
    <n v="-1023.9395405326103"/>
  </r>
  <r>
    <s v="Sistema de Compensação"/>
    <x v="2"/>
    <x v="3"/>
    <x v="2"/>
    <x v="6"/>
    <x v="3"/>
    <x v="0"/>
    <x v="2"/>
    <x v="9"/>
    <n v="0"/>
    <n v="0"/>
    <n v="13.478999999999999"/>
    <n v="13.478999999999999"/>
    <n v="13.478999999999999"/>
    <n v="13.478999999999999"/>
    <n v="0"/>
    <x v="0"/>
    <n v="0"/>
    <n v="0"/>
    <n v="36"/>
    <n v="80"/>
    <n v="0"/>
    <n v="326.19"/>
    <n v="256.83"/>
    <m/>
    <n v="394.26378890128336"/>
    <n v="206.43942349447789"/>
    <n v="0"/>
    <n v="4396.7150099999999"/>
    <n v="3461.8115699999994"/>
    <n v="0"/>
    <n v="5314.2816106003984"/>
    <n v="2782.5969892820672"/>
  </r>
  <r>
    <s v="Regular"/>
    <x v="2"/>
    <x v="3"/>
    <x v="2"/>
    <x v="6"/>
    <x v="3"/>
    <x v="0"/>
    <x v="2"/>
    <x v="10"/>
    <n v="0"/>
    <n v="0"/>
    <n v="120.61499999999999"/>
    <n v="48.246000000000002"/>
    <n v="120.61499999999999"/>
    <n v="48.246000000000002"/>
    <n v="0"/>
    <x v="0"/>
    <n v="0"/>
    <n v="0"/>
    <n v="36"/>
    <n v="80"/>
    <n v="0"/>
    <n v="326.19"/>
    <n v="256.83"/>
    <m/>
    <n v="394.26378890128336"/>
    <n v="206.43942349447789"/>
    <n v="0"/>
    <n v="15737.36274"/>
    <n v="12391.02018"/>
    <n v="0"/>
    <n v="19021.650759331318"/>
    <n v="9959.876425914581"/>
  </r>
  <r>
    <s v="Sistema de Compensação"/>
    <x v="2"/>
    <x v="3"/>
    <x v="2"/>
    <x v="6"/>
    <x v="3"/>
    <x v="0"/>
    <x v="2"/>
    <x v="10"/>
    <n v="0"/>
    <n v="0"/>
    <n v="19.254000000000001"/>
    <n v="19.254000000000001"/>
    <n v="19.254000000000001"/>
    <n v="19.254000000000001"/>
    <n v="0"/>
    <x v="0"/>
    <n v="0"/>
    <n v="0"/>
    <n v="36"/>
    <n v="80"/>
    <n v="0"/>
    <n v="326.19"/>
    <n v="256.83"/>
    <m/>
    <n v="394.26378890128336"/>
    <n v="206.43942349447789"/>
    <n v="0"/>
    <n v="6280.4622600000002"/>
    <n v="4945.0048200000001"/>
    <n v="0"/>
    <n v="7591.1549915053101"/>
    <n v="3974.7846599626778"/>
  </r>
  <r>
    <s v="PROJETADO"/>
    <x v="2"/>
    <x v="3"/>
    <x v="2"/>
    <x v="6"/>
    <x v="3"/>
    <x v="0"/>
    <x v="2"/>
    <x v="11"/>
    <n v="0"/>
    <n v="0"/>
    <n v="120.61499999999999"/>
    <n v="48.246000000000002"/>
    <n v="120.61499999999999"/>
    <n v="48.246000000000002"/>
    <n v="0"/>
    <x v="0"/>
    <n v="0"/>
    <n v="0"/>
    <n v="36"/>
    <n v="80"/>
    <n v="0"/>
    <n v="326.19"/>
    <n v="256.83"/>
    <m/>
    <n v="394.26378890128336"/>
    <n v="206.43942349447789"/>
    <n v="0"/>
    <n v="15737.36274"/>
    <n v="12391.02018"/>
    <n v="0"/>
    <n v="19021.650759331318"/>
    <n v="9959.876425914581"/>
  </r>
  <r>
    <s v="PROJETADO"/>
    <x v="2"/>
    <x v="3"/>
    <x v="2"/>
    <x v="6"/>
    <x v="3"/>
    <x v="0"/>
    <x v="2"/>
    <x v="11"/>
    <n v="0"/>
    <n v="0"/>
    <n v="19.254000000000001"/>
    <n v="19.254000000000001"/>
    <n v="19.254000000000001"/>
    <n v="19.254000000000001"/>
    <n v="0"/>
    <x v="0"/>
    <n v="0"/>
    <n v="0"/>
    <n v="36"/>
    <n v="80"/>
    <n v="0"/>
    <n v="326.19"/>
    <n v="256.83"/>
    <m/>
    <n v="394.26378890128336"/>
    <n v="206.43942349447789"/>
    <n v="0"/>
    <n v="6280.4622600000002"/>
    <n v="4945.0048200000001"/>
    <n v="0"/>
    <n v="7591.1549915053101"/>
    <n v="3974.7846599626778"/>
  </r>
  <r>
    <s v="Regular"/>
    <x v="2"/>
    <x v="3"/>
    <x v="2"/>
    <x v="0"/>
    <x v="0"/>
    <x v="0"/>
    <x v="2"/>
    <x v="0"/>
    <n v="0"/>
    <n v="0"/>
    <n v="945.65700000000004"/>
    <n v="945.65700000000004"/>
    <n v="945.65700000000004"/>
    <n v="945.65700000000004"/>
    <n v="2502"/>
    <x v="0"/>
    <n v="0"/>
    <n v="0"/>
    <n v="36"/>
    <n v="80"/>
    <n v="0"/>
    <n v="326.19"/>
    <n v="256.83"/>
    <m/>
    <n v="394.26378890128336"/>
    <n v="206.43942349447789"/>
    <n v="0"/>
    <n v="308463.85683"/>
    <n v="242873.08731"/>
    <n v="0"/>
    <n v="372838.31182102096"/>
    <n v="195220.88590351748"/>
  </r>
  <r>
    <s v="Sistema de Compensação"/>
    <x v="2"/>
    <x v="3"/>
    <x v="2"/>
    <x v="0"/>
    <x v="0"/>
    <x v="0"/>
    <x v="2"/>
    <x v="0"/>
    <n v="0"/>
    <n v="0"/>
    <n v="51.381"/>
    <n v="51.381"/>
    <n v="51.381"/>
    <n v="51.381"/>
    <n v="82"/>
    <x v="0"/>
    <n v="0"/>
    <n v="0"/>
    <n v="36"/>
    <n v="80"/>
    <n v="0"/>
    <n v="326.19"/>
    <n v="256.83"/>
    <m/>
    <n v="394.26378890128336"/>
    <n v="206.43942349447789"/>
    <n v="0"/>
    <n v="16759.968389999998"/>
    <n v="13196.182229999999"/>
    <n v="0"/>
    <n v="20257.667737536842"/>
    <n v="10607.064018569768"/>
  </r>
  <r>
    <s v="Regular"/>
    <x v="2"/>
    <x v="3"/>
    <x v="2"/>
    <x v="0"/>
    <x v="0"/>
    <x v="0"/>
    <x v="2"/>
    <x v="1"/>
    <n v="0"/>
    <n v="0"/>
    <n v="962.3"/>
    <n v="962.3"/>
    <n v="962.3"/>
    <n v="962.3"/>
    <n v="2496"/>
    <x v="0"/>
    <n v="0"/>
    <n v="0"/>
    <n v="36"/>
    <n v="80"/>
    <n v="0"/>
    <n v="326.19"/>
    <n v="256.83"/>
    <m/>
    <n v="394.26378890128336"/>
    <n v="206.43942349447789"/>
    <n v="0"/>
    <n v="313892.63699999999"/>
    <n v="247147.50899999996"/>
    <n v="0"/>
    <n v="379400.04405970499"/>
    <n v="198656.65722873606"/>
  </r>
  <r>
    <s v="Refaturamento - Regular"/>
    <x v="2"/>
    <x v="3"/>
    <x v="2"/>
    <x v="0"/>
    <x v="0"/>
    <x v="0"/>
    <x v="2"/>
    <x v="1"/>
    <n v="0"/>
    <n v="0"/>
    <n v="-0.17899999999999999"/>
    <n v="-0.17899999999999999"/>
    <n v="-0.17899999999999999"/>
    <n v="-0.17899999999999999"/>
    <n v="0"/>
    <x v="0"/>
    <n v="0"/>
    <n v="0"/>
    <n v="36"/>
    <n v="80"/>
    <n v="0"/>
    <n v="326.19"/>
    <n v="256.83"/>
    <m/>
    <n v="394.26378890128336"/>
    <n v="206.43942349447789"/>
    <n v="0"/>
    <n v="-58.388009999999994"/>
    <n v="-45.972569999999997"/>
    <n v="0"/>
    <n v="-70.573218213329724"/>
    <n v="-36.952656805511545"/>
  </r>
  <r>
    <s v="Sistema de Compensação"/>
    <x v="2"/>
    <x v="3"/>
    <x v="2"/>
    <x v="0"/>
    <x v="0"/>
    <x v="0"/>
    <x v="2"/>
    <x v="1"/>
    <n v="0"/>
    <n v="0"/>
    <n v="66.06"/>
    <n v="66.06"/>
    <n v="66.06"/>
    <n v="66.06"/>
    <n v="85"/>
    <x v="0"/>
    <n v="0"/>
    <n v="0"/>
    <n v="36"/>
    <n v="80"/>
    <n v="0"/>
    <n v="326.19"/>
    <n v="256.83"/>
    <m/>
    <n v="394.26378890128336"/>
    <n v="206.43942349447789"/>
    <n v="0"/>
    <n v="21548.111400000002"/>
    <n v="16966.1898"/>
    <n v="0"/>
    <n v="26045.065894818781"/>
    <n v="13637.38831604521"/>
  </r>
  <r>
    <s v="Regular"/>
    <x v="2"/>
    <x v="3"/>
    <x v="2"/>
    <x v="0"/>
    <x v="0"/>
    <x v="0"/>
    <x v="2"/>
    <x v="2"/>
    <n v="0"/>
    <n v="0"/>
    <n v="1024.6300000000001"/>
    <n v="1024.6300000000001"/>
    <n v="1024.6300000000001"/>
    <n v="1024.6300000000001"/>
    <n v="2475"/>
    <x v="0"/>
    <n v="0"/>
    <n v="0"/>
    <n v="36"/>
    <n v="80"/>
    <n v="0"/>
    <n v="326.19"/>
    <n v="256.83"/>
    <m/>
    <n v="394.26378890128336"/>
    <n v="206.43942349447789"/>
    <n v="0"/>
    <n v="334224.05970000004"/>
    <n v="263155.72289999999"/>
    <n v="0"/>
    <n v="403974.50602192199"/>
    <n v="211524.02649514691"/>
  </r>
  <r>
    <s v="Sistema de Compensação"/>
    <x v="2"/>
    <x v="3"/>
    <x v="2"/>
    <x v="0"/>
    <x v="0"/>
    <x v="0"/>
    <x v="2"/>
    <x v="2"/>
    <n v="0"/>
    <n v="0"/>
    <n v="22.878"/>
    <n v="22.878"/>
    <n v="22.878"/>
    <n v="22.878"/>
    <n v="99"/>
    <x v="0"/>
    <n v="0"/>
    <n v="0"/>
    <n v="36"/>
    <n v="80"/>
    <n v="0"/>
    <n v="326.19"/>
    <n v="256.83"/>
    <m/>
    <n v="394.26378890128336"/>
    <n v="206.43942349447789"/>
    <n v="0"/>
    <n v="7462.5748199999998"/>
    <n v="5875.7567399999998"/>
    <n v="0"/>
    <n v="9019.9669624835606"/>
    <n v="4722.9211307066653"/>
  </r>
  <r>
    <s v="Regular"/>
    <x v="2"/>
    <x v="3"/>
    <x v="2"/>
    <x v="0"/>
    <x v="0"/>
    <x v="0"/>
    <x v="2"/>
    <x v="3"/>
    <n v="0"/>
    <n v="0"/>
    <n v="861.80700000000002"/>
    <n v="861.80700000000002"/>
    <n v="861.80700000000002"/>
    <n v="861.80700000000002"/>
    <n v="2464"/>
    <x v="0"/>
    <n v="0"/>
    <n v="0"/>
    <n v="36"/>
    <n v="80"/>
    <n v="0"/>
    <n v="326.19"/>
    <n v="256.83"/>
    <m/>
    <n v="394.26378890128336"/>
    <n v="206.43942349447789"/>
    <n v="0"/>
    <n v="281112.82533000002"/>
    <n v="221337.89181"/>
    <n v="0"/>
    <n v="339779.29312164831"/>
    <n v="177910.94024350552"/>
  </r>
  <r>
    <s v="Sistema de Compensação"/>
    <x v="2"/>
    <x v="3"/>
    <x v="2"/>
    <x v="0"/>
    <x v="0"/>
    <x v="0"/>
    <x v="2"/>
    <x v="3"/>
    <n v="0"/>
    <n v="0"/>
    <n v="47.197000000000003"/>
    <n v="47.197000000000003"/>
    <n v="47.197000000000003"/>
    <n v="47.197000000000003"/>
    <n v="109"/>
    <x v="0"/>
    <n v="0"/>
    <n v="0"/>
    <n v="36"/>
    <n v="80"/>
    <n v="0"/>
    <n v="326.19"/>
    <n v="256.83"/>
    <m/>
    <n v="394.26378890128336"/>
    <n v="206.43942349447789"/>
    <n v="0"/>
    <n v="15395.18943"/>
    <n v="12121.605509999999"/>
    <n v="0"/>
    <n v="18608.06804477387"/>
    <n v="9743.3214706688741"/>
  </r>
  <r>
    <s v="Regular"/>
    <x v="2"/>
    <x v="3"/>
    <x v="2"/>
    <x v="0"/>
    <x v="0"/>
    <x v="0"/>
    <x v="2"/>
    <x v="4"/>
    <n v="0"/>
    <n v="0"/>
    <n v="940.94"/>
    <n v="940.94"/>
    <n v="940.94"/>
    <n v="940.94"/>
    <n v="2457"/>
    <x v="0"/>
    <n v="0"/>
    <n v="0"/>
    <n v="36"/>
    <n v="80"/>
    <n v="0"/>
    <n v="326.19"/>
    <n v="256.83"/>
    <m/>
    <n v="394.26378890128336"/>
    <n v="206.43942349447789"/>
    <n v="0"/>
    <n v="306925.21860000002"/>
    <n v="241661.6202"/>
    <n v="0"/>
    <n v="370978.5695287736"/>
    <n v="194247.11114289405"/>
  </r>
  <r>
    <s v="Sistema de Compensação"/>
    <x v="2"/>
    <x v="3"/>
    <x v="2"/>
    <x v="0"/>
    <x v="0"/>
    <x v="0"/>
    <x v="2"/>
    <x v="4"/>
    <n v="0"/>
    <n v="0"/>
    <n v="43.276000000000003"/>
    <n v="43.276000000000003"/>
    <n v="43.276000000000003"/>
    <n v="43.276000000000003"/>
    <n v="112"/>
    <x v="0"/>
    <n v="0"/>
    <n v="0"/>
    <n v="36"/>
    <n v="80"/>
    <n v="0"/>
    <n v="326.19"/>
    <n v="256.83"/>
    <m/>
    <n v="394.26378890128336"/>
    <n v="206.43942349447789"/>
    <n v="0"/>
    <n v="14116.19844"/>
    <n v="11114.575080000001"/>
    <n v="0"/>
    <n v="17062.159728491941"/>
    <n v="8933.8724911470254"/>
  </r>
  <r>
    <s v="Regular"/>
    <x v="2"/>
    <x v="3"/>
    <x v="2"/>
    <x v="0"/>
    <x v="0"/>
    <x v="0"/>
    <x v="2"/>
    <x v="5"/>
    <n v="0"/>
    <n v="0"/>
    <n v="1002.748"/>
    <n v="1002.748"/>
    <n v="1002.748"/>
    <n v="1002.748"/>
    <n v="2447"/>
    <x v="0"/>
    <n v="0"/>
    <n v="0"/>
    <n v="36"/>
    <n v="80"/>
    <n v="0"/>
    <n v="326.19"/>
    <n v="256.83"/>
    <m/>
    <n v="394.26378890128336"/>
    <n v="206.43942349447789"/>
    <n v="0"/>
    <n v="327086.37012000004"/>
    <n v="257535.76884"/>
    <n v="0"/>
    <n v="395347.22579318413"/>
    <n v="207006.71903024073"/>
  </r>
  <r>
    <s v="Refaturamento - Regular"/>
    <x v="2"/>
    <x v="3"/>
    <x v="2"/>
    <x v="0"/>
    <x v="0"/>
    <x v="0"/>
    <x v="2"/>
    <x v="5"/>
    <n v="0"/>
    <n v="0"/>
    <n v="-0.46"/>
    <n v="-0.46"/>
    <n v="-0.46"/>
    <n v="-0.46"/>
    <n v="0"/>
    <x v="0"/>
    <n v="0"/>
    <n v="0"/>
    <n v="36"/>
    <n v="80"/>
    <n v="0"/>
    <n v="326.19"/>
    <n v="256.83"/>
    <m/>
    <n v="394.26378890128336"/>
    <n v="206.43942349447789"/>
    <n v="0"/>
    <n v="-150.04740000000001"/>
    <n v="-118.1418"/>
    <n v="0"/>
    <n v="-181.36134289459036"/>
    <n v="-94.962134807459833"/>
  </r>
  <r>
    <s v="Sistema de Compensação"/>
    <x v="2"/>
    <x v="3"/>
    <x v="2"/>
    <x v="0"/>
    <x v="0"/>
    <x v="0"/>
    <x v="2"/>
    <x v="5"/>
    <n v="0"/>
    <n v="0"/>
    <n v="51.188000000000002"/>
    <n v="51.188000000000002"/>
    <n v="51.188000000000002"/>
    <n v="51.188000000000002"/>
    <n v="118"/>
    <x v="0"/>
    <n v="0"/>
    <n v="0"/>
    <n v="36"/>
    <n v="80"/>
    <n v="0"/>
    <n v="326.19"/>
    <n v="256.83"/>
    <m/>
    <n v="394.26378890128336"/>
    <n v="206.43942349447789"/>
    <n v="0"/>
    <n v="16697.013719999999"/>
    <n v="13146.61404"/>
    <n v="0"/>
    <n v="20181.574826278895"/>
    <n v="10567.221209835336"/>
  </r>
  <r>
    <s v="Regular"/>
    <x v="2"/>
    <x v="3"/>
    <x v="2"/>
    <x v="0"/>
    <x v="0"/>
    <x v="0"/>
    <x v="2"/>
    <x v="6"/>
    <n v="0"/>
    <n v="0"/>
    <n v="892.37699999999995"/>
    <n v="892.37699999999995"/>
    <n v="892.37699999999995"/>
    <n v="892.37699999999995"/>
    <n v="2436"/>
    <x v="0"/>
    <n v="0"/>
    <n v="0"/>
    <n v="36"/>
    <n v="80"/>
    <n v="0"/>
    <n v="326.19"/>
    <n v="256.83"/>
    <m/>
    <n v="394.26378890128336"/>
    <n v="206.43942349447789"/>
    <n v="0"/>
    <n v="291084.45363"/>
    <n v="229189.18490999998"/>
    <n v="0"/>
    <n v="351831.93714836054"/>
    <n v="184221.79341973169"/>
  </r>
  <r>
    <s v="Sistema de Compensação"/>
    <x v="2"/>
    <x v="3"/>
    <x v="2"/>
    <x v="0"/>
    <x v="0"/>
    <x v="0"/>
    <x v="2"/>
    <x v="6"/>
    <n v="0"/>
    <n v="0"/>
    <n v="72.465000000000003"/>
    <n v="72.465000000000003"/>
    <n v="72.465000000000003"/>
    <n v="72.465000000000003"/>
    <n v="128"/>
    <x v="0"/>
    <n v="0"/>
    <n v="0"/>
    <n v="36"/>
    <n v="80"/>
    <n v="0"/>
    <n v="326.19"/>
    <n v="256.83"/>
    <m/>
    <n v="394.26378890128336"/>
    <n v="206.43942349447789"/>
    <n v="0"/>
    <n v="23637.358350000002"/>
    <n v="18611.185949999999"/>
    <n v="0"/>
    <n v="28570.3254627315"/>
    <n v="14959.632823527341"/>
  </r>
  <r>
    <s v="Regular"/>
    <x v="2"/>
    <x v="3"/>
    <x v="2"/>
    <x v="0"/>
    <x v="0"/>
    <x v="0"/>
    <x v="2"/>
    <x v="7"/>
    <n v="0"/>
    <n v="0"/>
    <n v="769.93399999999997"/>
    <n v="769.93399999999997"/>
    <n v="769.93399999999997"/>
    <n v="769.93399999999997"/>
    <n v="2423"/>
    <x v="0"/>
    <n v="0"/>
    <n v="0"/>
    <n v="36"/>
    <n v="80"/>
    <n v="0"/>
    <n v="326.19"/>
    <n v="256.83"/>
    <m/>
    <n v="394.26378890128336"/>
    <n v="206.43942349447789"/>
    <n v="0"/>
    <n v="251144.77145999999"/>
    <n v="197742.14921999999"/>
    <n v="0"/>
    <n v="303557.09604392067"/>
    <n v="158944.73108879733"/>
  </r>
  <r>
    <s v="Sistema de Compensação"/>
    <x v="2"/>
    <x v="3"/>
    <x v="2"/>
    <x v="0"/>
    <x v="0"/>
    <x v="0"/>
    <x v="2"/>
    <x v="7"/>
    <n v="0"/>
    <n v="0"/>
    <n v="79.855000000000004"/>
    <n v="79.855000000000004"/>
    <n v="79.855000000000004"/>
    <n v="79.855000000000004"/>
    <n v="138"/>
    <x v="0"/>
    <n v="0"/>
    <n v="0"/>
    <n v="36"/>
    <n v="80"/>
    <n v="0"/>
    <n v="326.19"/>
    <n v="256.83"/>
    <m/>
    <n v="394.26378890128336"/>
    <n v="206.43942349447789"/>
    <n v="0"/>
    <n v="26047.902450000001"/>
    <n v="20509.159650000001"/>
    <n v="0"/>
    <n v="31483.934862711983"/>
    <n v="16485.220163151535"/>
  </r>
  <r>
    <s v="Sistema de Compensação"/>
    <x v="2"/>
    <x v="3"/>
    <x v="2"/>
    <x v="0"/>
    <x v="0"/>
    <x v="0"/>
    <x v="2"/>
    <x v="7"/>
    <n v="0"/>
    <n v="0"/>
    <n v="-2.6030000000000002"/>
    <n v="-2.6030000000000002"/>
    <n v="-2.6030000000000002"/>
    <n v="-2.6030000000000002"/>
    <n v="2"/>
    <x v="0"/>
    <n v="0"/>
    <n v="0"/>
    <n v="36"/>
    <n v="80"/>
    <n v="0"/>
    <n v="326.19"/>
    <n v="256.83"/>
    <m/>
    <n v="394.26378890128336"/>
    <n v="206.43942349447789"/>
    <n v="0"/>
    <n v="-849.07257000000004"/>
    <n v="-668.52849000000003"/>
    <n v="0"/>
    <n v="-1026.2686425100408"/>
    <n v="-537.36181935612603"/>
  </r>
  <r>
    <s v="Regular"/>
    <x v="2"/>
    <x v="3"/>
    <x v="2"/>
    <x v="0"/>
    <x v="0"/>
    <x v="0"/>
    <x v="2"/>
    <x v="8"/>
    <n v="0"/>
    <n v="0"/>
    <n v="781.57899999999995"/>
    <n v="781.57899999999995"/>
    <n v="781.57899999999995"/>
    <n v="781.57899999999995"/>
    <n v="2400"/>
    <x v="0"/>
    <n v="0"/>
    <n v="0"/>
    <n v="36"/>
    <n v="80"/>
    <n v="0"/>
    <n v="326.19"/>
    <n v="256.83"/>
    <m/>
    <n v="394.26378890128336"/>
    <n v="206.43942349447789"/>
    <n v="0"/>
    <n v="254943.25400999998"/>
    <n v="200732.93456999998"/>
    <n v="0"/>
    <n v="308148.29786567611"/>
    <n v="161348.71817539053"/>
  </r>
  <r>
    <s v="Sistema de Compensação"/>
    <x v="2"/>
    <x v="3"/>
    <x v="2"/>
    <x v="0"/>
    <x v="0"/>
    <x v="0"/>
    <x v="2"/>
    <x v="8"/>
    <n v="0"/>
    <n v="0"/>
    <n v="80"/>
    <n v="80"/>
    <n v="80"/>
    <n v="80"/>
    <n v="151"/>
    <x v="0"/>
    <n v="0"/>
    <n v="0"/>
    <n v="36"/>
    <n v="80"/>
    <n v="0"/>
    <n v="326.19"/>
    <n v="256.83"/>
    <m/>
    <n v="394.26378890128336"/>
    <n v="206.43942349447789"/>
    <n v="0"/>
    <n v="26095.200000000001"/>
    <n v="20546.399999999998"/>
    <n v="0"/>
    <n v="31541.103112102668"/>
    <n v="16515.153879558231"/>
  </r>
  <r>
    <s v="Regular"/>
    <x v="2"/>
    <x v="3"/>
    <x v="2"/>
    <x v="0"/>
    <x v="0"/>
    <x v="0"/>
    <x v="2"/>
    <x v="9"/>
    <n v="0"/>
    <n v="0"/>
    <n v="823.94200000000001"/>
    <n v="823.94200000000001"/>
    <n v="823.94200000000001"/>
    <n v="823.94200000000001"/>
    <n v="2394"/>
    <x v="0"/>
    <n v="0"/>
    <n v="0"/>
    <n v="36"/>
    <n v="80"/>
    <n v="0"/>
    <n v="326.19"/>
    <n v="256.83"/>
    <m/>
    <n v="394.26378890128336"/>
    <n v="206.43942349447789"/>
    <n v="0"/>
    <n v="268761.64098000003"/>
    <n v="211613.02385999999"/>
    <n v="0"/>
    <n v="324850.49475490121"/>
    <n v="170094.1114728871"/>
  </r>
  <r>
    <s v="Refaturamento - Regular"/>
    <x v="2"/>
    <x v="3"/>
    <x v="2"/>
    <x v="0"/>
    <x v="0"/>
    <x v="0"/>
    <x v="2"/>
    <x v="9"/>
    <n v="0"/>
    <n v="0"/>
    <n v="0.66"/>
    <n v="0.66"/>
    <n v="0.66"/>
    <n v="0.66"/>
    <n v="0"/>
    <x v="0"/>
    <n v="0"/>
    <n v="0"/>
    <n v="36"/>
    <n v="80"/>
    <n v="0"/>
    <n v="326.19"/>
    <n v="256.83"/>
    <m/>
    <n v="394.26378890128336"/>
    <n v="206.43942349447789"/>
    <n v="0"/>
    <n v="215.28540000000001"/>
    <n v="169.5078"/>
    <n v="0"/>
    <n v="260.21410067484703"/>
    <n v="136.25001950635541"/>
  </r>
  <r>
    <s v="Sistema de Compensação"/>
    <x v="2"/>
    <x v="3"/>
    <x v="2"/>
    <x v="0"/>
    <x v="0"/>
    <x v="0"/>
    <x v="2"/>
    <x v="9"/>
    <n v="0"/>
    <n v="0"/>
    <n v="105.79600000000001"/>
    <n v="105.79600000000001"/>
    <n v="105.79600000000001"/>
    <n v="105.79600000000001"/>
    <n v="153"/>
    <x v="0"/>
    <n v="0"/>
    <n v="0"/>
    <n v="36"/>
    <n v="80"/>
    <n v="0"/>
    <n v="326.19"/>
    <n v="256.83"/>
    <m/>
    <n v="394.26378890128336"/>
    <n v="206.43942349447789"/>
    <n v="0"/>
    <n v="34509.597240000003"/>
    <n v="27171.58668"/>
    <n v="0"/>
    <n v="41711.53181060018"/>
    <n v="21840.465248021785"/>
  </r>
  <r>
    <s v="Regular"/>
    <x v="2"/>
    <x v="3"/>
    <x v="2"/>
    <x v="0"/>
    <x v="0"/>
    <x v="0"/>
    <x v="2"/>
    <x v="10"/>
    <n v="0"/>
    <n v="0"/>
    <n v="803.98800000000006"/>
    <n v="803.98800000000006"/>
    <n v="803.98800000000006"/>
    <n v="803.98800000000006"/>
    <n v="2383"/>
    <x v="0"/>
    <n v="0"/>
    <n v="0"/>
    <n v="36"/>
    <n v="80"/>
    <n v="0"/>
    <n v="326.19"/>
    <n v="256.83"/>
    <m/>
    <n v="394.26378890128336"/>
    <n v="206.43942349447789"/>
    <n v="0"/>
    <n v="262252.84572000004"/>
    <n v="206488.23804"/>
    <n v="0"/>
    <n v="316983.35511116503"/>
    <n v="165974.8192164783"/>
  </r>
  <r>
    <s v="Sistema de Compensação"/>
    <x v="2"/>
    <x v="3"/>
    <x v="2"/>
    <x v="0"/>
    <x v="0"/>
    <x v="0"/>
    <x v="2"/>
    <x v="10"/>
    <n v="0"/>
    <n v="0"/>
    <n v="122.72499999999999"/>
    <n v="122.72499999999999"/>
    <n v="122.72499999999999"/>
    <n v="122.72499999999999"/>
    <n v="162"/>
    <x v="0"/>
    <n v="0"/>
    <n v="0"/>
    <n v="36"/>
    <n v="80"/>
    <n v="0"/>
    <n v="326.19"/>
    <n v="256.83"/>
    <m/>
    <n v="394.26378890128336"/>
    <n v="206.43942349447789"/>
    <n v="0"/>
    <n v="40031.667750000001"/>
    <n v="31519.461749999995"/>
    <n v="0"/>
    <n v="48386.023492909997"/>
    <n v="25335.278248359798"/>
  </r>
  <r>
    <s v="Sistema de Compensação"/>
    <x v="2"/>
    <x v="3"/>
    <x v="2"/>
    <x v="0"/>
    <x v="0"/>
    <x v="0"/>
    <x v="2"/>
    <x v="10"/>
    <n v="0"/>
    <n v="0"/>
    <n v="-4.1040000000000001"/>
    <n v="-4.1040000000000001"/>
    <n v="-4.1040000000000001"/>
    <n v="-4.1040000000000001"/>
    <n v="0"/>
    <x v="0"/>
    <n v="0"/>
    <n v="0"/>
    <n v="36"/>
    <n v="80"/>
    <n v="0"/>
    <n v="326.19"/>
    <n v="256.83"/>
    <m/>
    <n v="394.26378890128336"/>
    <n v="206.43942349447789"/>
    <n v="0"/>
    <n v="-1338.6837600000001"/>
    <n v="-1054.0303199999998"/>
    <n v="0"/>
    <n v="-1618.0585896508669"/>
    <n v="-847.22739402133732"/>
  </r>
  <r>
    <s v="PROJETADO"/>
    <x v="2"/>
    <x v="3"/>
    <x v="2"/>
    <x v="0"/>
    <x v="0"/>
    <x v="0"/>
    <x v="2"/>
    <x v="11"/>
    <n v="0"/>
    <n v="0"/>
    <n v="803.98800000000006"/>
    <n v="803.98800000000006"/>
    <n v="803.98800000000006"/>
    <n v="803.98800000000006"/>
    <n v="2383"/>
    <x v="0"/>
    <n v="0"/>
    <n v="0"/>
    <n v="36"/>
    <n v="80"/>
    <n v="0"/>
    <n v="326.19"/>
    <n v="256.83"/>
    <m/>
    <n v="394.26378890128336"/>
    <n v="206.43942349447789"/>
    <n v="0"/>
    <n v="262252.84572000004"/>
    <n v="206488.23804"/>
    <n v="0"/>
    <n v="316983.35511116503"/>
    <n v="165974.8192164783"/>
  </r>
  <r>
    <s v="PROJETADO"/>
    <x v="2"/>
    <x v="3"/>
    <x v="2"/>
    <x v="0"/>
    <x v="0"/>
    <x v="0"/>
    <x v="2"/>
    <x v="11"/>
    <n v="0"/>
    <n v="0"/>
    <n v="122.72499999999999"/>
    <n v="122.72499999999999"/>
    <n v="122.72499999999999"/>
    <n v="122.72499999999999"/>
    <n v="162"/>
    <x v="0"/>
    <n v="0"/>
    <n v="0"/>
    <n v="36"/>
    <n v="80"/>
    <n v="0"/>
    <n v="326.19"/>
    <n v="256.83"/>
    <m/>
    <n v="394.26378890128336"/>
    <n v="206.43942349447789"/>
    <n v="0"/>
    <n v="40031.667750000001"/>
    <n v="31519.461749999995"/>
    <n v="0"/>
    <n v="48386.023492909997"/>
    <n v="25335.278248359798"/>
  </r>
  <r>
    <s v="PROJETADO"/>
    <x v="2"/>
    <x v="3"/>
    <x v="2"/>
    <x v="0"/>
    <x v="0"/>
    <x v="0"/>
    <x v="2"/>
    <x v="11"/>
    <n v="0"/>
    <n v="0"/>
    <n v="-4.1040000000000001"/>
    <n v="-4.1040000000000001"/>
    <n v="-4.1040000000000001"/>
    <n v="-4.1040000000000001"/>
    <n v="0"/>
    <x v="0"/>
    <n v="0"/>
    <n v="0"/>
    <n v="36"/>
    <n v="80"/>
    <n v="0"/>
    <n v="326.19"/>
    <n v="256.83"/>
    <m/>
    <n v="394.26378890128336"/>
    <n v="206.43942349447789"/>
    <n v="0"/>
    <n v="-1338.6837600000001"/>
    <n v="-1054.0303199999998"/>
    <n v="0"/>
    <n v="-1618.0585896508669"/>
    <n v="-847.22739402133732"/>
  </r>
  <r>
    <s v="Regular"/>
    <x v="3"/>
    <x v="3"/>
    <x v="4"/>
    <x v="0"/>
    <x v="0"/>
    <x v="0"/>
    <x v="2"/>
    <x v="0"/>
    <n v="0"/>
    <n v="0"/>
    <n v="242.78700000000001"/>
    <n v="242.78700000000001"/>
    <n v="242.78700000000001"/>
    <n v="242.78700000000001"/>
    <n v="478"/>
    <x v="0"/>
    <n v="0"/>
    <n v="0"/>
    <n v="27"/>
    <n v="76"/>
    <n v="0"/>
    <n v="370.66"/>
    <n v="291.85000000000002"/>
    <m/>
    <n v="419.42956266093978"/>
    <n v="219.61640797284883"/>
    <n v="0"/>
    <n v="89991.429420000015"/>
    <n v="70857.385950000011"/>
    <n v="0"/>
    <n v="101832.04522976158"/>
    <n v="53320.008842504052"/>
  </r>
  <r>
    <s v="Sistema de Compensação"/>
    <x v="3"/>
    <x v="3"/>
    <x v="4"/>
    <x v="0"/>
    <x v="0"/>
    <x v="0"/>
    <x v="2"/>
    <x v="0"/>
    <n v="0"/>
    <n v="0"/>
    <n v="21.02"/>
    <n v="21.02"/>
    <n v="21.02"/>
    <n v="21.02"/>
    <n v="55"/>
    <x v="0"/>
    <n v="0"/>
    <n v="0"/>
    <n v="27"/>
    <n v="76"/>
    <n v="0"/>
    <n v="370.66"/>
    <n v="291.85000000000002"/>
    <m/>
    <n v="419.42956266093978"/>
    <n v="219.61640797284883"/>
    <n v="0"/>
    <n v="7791.2732000000005"/>
    <n v="6134.6870000000008"/>
    <n v="0"/>
    <n v="8816.4094071329546"/>
    <n v="4616.336895589282"/>
  </r>
  <r>
    <s v="Regular"/>
    <x v="3"/>
    <x v="3"/>
    <x v="4"/>
    <x v="0"/>
    <x v="0"/>
    <x v="0"/>
    <x v="2"/>
    <x v="1"/>
    <n v="0"/>
    <n v="0"/>
    <n v="242.93"/>
    <n v="242.93"/>
    <n v="242.93"/>
    <n v="242.93"/>
    <n v="479"/>
    <x v="0"/>
    <n v="0"/>
    <n v="0"/>
    <n v="27"/>
    <n v="76"/>
    <n v="0"/>
    <n v="370.66"/>
    <n v="291.85000000000002"/>
    <m/>
    <n v="419.42956266093978"/>
    <n v="219.61640797284883"/>
    <n v="0"/>
    <n v="90044.433800000013"/>
    <n v="70899.120500000005"/>
    <n v="0"/>
    <n v="101892.0236572221"/>
    <n v="53351.413988844171"/>
  </r>
  <r>
    <s v="Sistema de Compensação"/>
    <x v="3"/>
    <x v="3"/>
    <x v="4"/>
    <x v="0"/>
    <x v="0"/>
    <x v="0"/>
    <x v="2"/>
    <x v="1"/>
    <n v="0"/>
    <n v="0"/>
    <n v="21.309000000000001"/>
    <n v="21.309000000000001"/>
    <n v="21.309000000000001"/>
    <n v="21.309000000000001"/>
    <n v="55"/>
    <x v="0"/>
    <n v="0"/>
    <n v="0"/>
    <n v="27"/>
    <n v="76"/>
    <n v="0"/>
    <n v="370.66"/>
    <n v="291.85000000000002"/>
    <m/>
    <n v="419.42956266093978"/>
    <n v="219.61640797284883"/>
    <n v="0"/>
    <n v="7898.3939400000008"/>
    <n v="6219.0316500000008"/>
    <n v="0"/>
    <n v="8937.6245507419662"/>
    <n v="4679.8060374934357"/>
  </r>
  <r>
    <s v="Regular"/>
    <x v="3"/>
    <x v="3"/>
    <x v="4"/>
    <x v="0"/>
    <x v="0"/>
    <x v="0"/>
    <x v="2"/>
    <x v="2"/>
    <n v="0"/>
    <n v="0"/>
    <n v="269.517"/>
    <n v="269.517"/>
    <n v="269.517"/>
    <n v="269.517"/>
    <n v="472"/>
    <x v="0"/>
    <n v="0"/>
    <n v="0"/>
    <n v="27"/>
    <n v="76"/>
    <n v="0"/>
    <n v="370.66"/>
    <n v="291.85000000000002"/>
    <m/>
    <n v="419.42956266093978"/>
    <n v="219.61640797284883"/>
    <n v="0"/>
    <n v="99899.171220000004"/>
    <n v="78658.53645"/>
    <n v="0"/>
    <n v="113043.3974396885"/>
    <n v="59190.355427618299"/>
  </r>
  <r>
    <s v="Sistema de Compensação"/>
    <x v="3"/>
    <x v="3"/>
    <x v="4"/>
    <x v="0"/>
    <x v="0"/>
    <x v="0"/>
    <x v="2"/>
    <x v="2"/>
    <n v="0"/>
    <n v="0"/>
    <n v="13.1"/>
    <n v="13.1"/>
    <n v="13.1"/>
    <n v="13.1"/>
    <n v="62"/>
    <x v="0"/>
    <n v="0"/>
    <n v="0"/>
    <n v="27"/>
    <n v="76"/>
    <n v="0"/>
    <n v="370.66"/>
    <n v="291.85000000000002"/>
    <m/>
    <n v="419.42956266093978"/>
    <n v="219.61640797284883"/>
    <n v="0"/>
    <n v="4855.6460000000006"/>
    <n v="3823.2350000000001"/>
    <n v="0"/>
    <n v="5494.5272708583107"/>
    <n v="2876.9749444443196"/>
  </r>
  <r>
    <s v="Regular"/>
    <x v="3"/>
    <x v="3"/>
    <x v="4"/>
    <x v="0"/>
    <x v="0"/>
    <x v="0"/>
    <x v="2"/>
    <x v="3"/>
    <n v="0"/>
    <n v="0"/>
    <n v="246.774"/>
    <n v="246.774"/>
    <n v="246.774"/>
    <n v="246.774"/>
    <n v="469"/>
    <x v="0"/>
    <n v="0"/>
    <n v="0"/>
    <n v="27"/>
    <n v="76"/>
    <n v="0"/>
    <n v="370.66"/>
    <n v="291.85000000000002"/>
    <m/>
    <n v="419.42956266093978"/>
    <n v="219.61640797284883"/>
    <n v="0"/>
    <n v="91469.250840000008"/>
    <n v="72020.991900000008"/>
    <n v="0"/>
    <n v="103504.31089609076"/>
    <n v="54195.619461091796"/>
  </r>
  <r>
    <s v="Sistema de Compensação"/>
    <x v="3"/>
    <x v="3"/>
    <x v="4"/>
    <x v="0"/>
    <x v="0"/>
    <x v="0"/>
    <x v="2"/>
    <x v="3"/>
    <n v="0"/>
    <n v="0"/>
    <n v="17.266999999999999"/>
    <n v="17.266999999999999"/>
    <n v="17.266999999999999"/>
    <n v="17.266999999999999"/>
    <n v="64"/>
    <x v="0"/>
    <n v="0"/>
    <n v="0"/>
    <n v="27"/>
    <n v="76"/>
    <n v="0"/>
    <n v="370.66"/>
    <n v="291.85000000000002"/>
    <m/>
    <n v="419.42956266093978"/>
    <n v="219.61640797284883"/>
    <n v="0"/>
    <n v="6400.1862200000005"/>
    <n v="5039.3739500000001"/>
    <n v="0"/>
    <n v="7242.2902584664471"/>
    <n v="3792.1165164671806"/>
  </r>
  <r>
    <s v="Regular"/>
    <x v="3"/>
    <x v="3"/>
    <x v="4"/>
    <x v="0"/>
    <x v="0"/>
    <x v="0"/>
    <x v="2"/>
    <x v="4"/>
    <n v="0"/>
    <n v="0"/>
    <n v="261.529"/>
    <n v="261.529"/>
    <n v="261.529"/>
    <n v="261.529"/>
    <n v="460"/>
    <x v="0"/>
    <n v="0"/>
    <n v="0"/>
    <n v="27"/>
    <n v="76"/>
    <n v="0"/>
    <n v="370.66"/>
    <n v="291.85000000000002"/>
    <m/>
    <n v="419.42956266093978"/>
    <n v="219.61640797284883"/>
    <n v="0"/>
    <n v="96938.339140000011"/>
    <n v="76327.238649999999"/>
    <n v="0"/>
    <n v="109692.99409315291"/>
    <n v="57436.059560731184"/>
  </r>
  <r>
    <s v="Sistema de Compensação"/>
    <x v="3"/>
    <x v="3"/>
    <x v="4"/>
    <x v="0"/>
    <x v="0"/>
    <x v="0"/>
    <x v="2"/>
    <x v="4"/>
    <n v="0"/>
    <n v="0"/>
    <n v="16.466000000000001"/>
    <n v="16.466000000000001"/>
    <n v="16.466000000000001"/>
    <n v="16.466000000000001"/>
    <n v="70"/>
    <x v="0"/>
    <n v="0"/>
    <n v="0"/>
    <n v="27"/>
    <n v="76"/>
    <n v="0"/>
    <n v="370.66"/>
    <n v="291.85000000000002"/>
    <m/>
    <n v="419.42956266093978"/>
    <n v="219.61640797284883"/>
    <n v="0"/>
    <n v="6103.2875600000007"/>
    <n v="4805.602100000001"/>
    <n v="0"/>
    <n v="6906.3271787750346"/>
    <n v="3616.2037736809293"/>
  </r>
  <r>
    <s v="Regular"/>
    <x v="3"/>
    <x v="3"/>
    <x v="4"/>
    <x v="0"/>
    <x v="0"/>
    <x v="0"/>
    <x v="2"/>
    <x v="5"/>
    <n v="0"/>
    <n v="0"/>
    <n v="341.85300000000001"/>
    <n v="341.85300000000001"/>
    <n v="341.85300000000001"/>
    <n v="341.85300000000001"/>
    <n v="459"/>
    <x v="0"/>
    <n v="0"/>
    <n v="0"/>
    <n v="27"/>
    <n v="76"/>
    <n v="0"/>
    <n v="370.66"/>
    <n v="291.85000000000002"/>
    <m/>
    <n v="419.42956266093978"/>
    <n v="219.61640797284883"/>
    <n v="0"/>
    <n v="126711.23298000002"/>
    <n v="99769.798050000012"/>
    <n v="0"/>
    <n v="143383.25428433024"/>
    <n v="75076.527914742299"/>
  </r>
  <r>
    <s v="Sistema de Compensação"/>
    <x v="3"/>
    <x v="3"/>
    <x v="4"/>
    <x v="0"/>
    <x v="0"/>
    <x v="0"/>
    <x v="2"/>
    <x v="5"/>
    <n v="0"/>
    <n v="0"/>
    <n v="21.829000000000001"/>
    <n v="21.829000000000001"/>
    <n v="21.829000000000001"/>
    <n v="21.829000000000001"/>
    <n v="70"/>
    <x v="0"/>
    <n v="0"/>
    <n v="0"/>
    <n v="27"/>
    <n v="76"/>
    <n v="0"/>
    <n v="370.66"/>
    <n v="291.85000000000002"/>
    <m/>
    <n v="419.42956266093978"/>
    <n v="219.61640797284883"/>
    <n v="0"/>
    <n v="8091.1371400000007"/>
    <n v="6370.7936500000005"/>
    <n v="0"/>
    <n v="9155.727923325654"/>
    <n v="4794.0065696393176"/>
  </r>
  <r>
    <s v="Regular"/>
    <x v="3"/>
    <x v="3"/>
    <x v="4"/>
    <x v="0"/>
    <x v="0"/>
    <x v="0"/>
    <x v="2"/>
    <x v="6"/>
    <n v="0"/>
    <n v="0"/>
    <n v="315.83699999999999"/>
    <n v="315.83699999999999"/>
    <n v="315.83699999999999"/>
    <n v="315.83699999999999"/>
    <n v="466"/>
    <x v="0"/>
    <n v="0"/>
    <n v="0"/>
    <n v="27"/>
    <n v="76"/>
    <n v="0"/>
    <n v="370.66"/>
    <n v="291.85000000000002"/>
    <m/>
    <n v="419.42956266093978"/>
    <n v="219.61640797284883"/>
    <n v="0"/>
    <n v="117068.14242"/>
    <n v="92177.028449999998"/>
    <n v="0"/>
    <n v="132471.37478214322"/>
    <n v="69362.987444920655"/>
  </r>
  <r>
    <s v="Sistema de Compensação"/>
    <x v="3"/>
    <x v="3"/>
    <x v="4"/>
    <x v="0"/>
    <x v="0"/>
    <x v="0"/>
    <x v="2"/>
    <x v="6"/>
    <n v="0"/>
    <n v="0"/>
    <n v="26.666"/>
    <n v="26.666"/>
    <n v="26.666"/>
    <n v="26.666"/>
    <n v="68"/>
    <x v="0"/>
    <n v="0"/>
    <n v="0"/>
    <n v="27"/>
    <n v="76"/>
    <n v="0"/>
    <n v="370.66"/>
    <n v="291.85000000000002"/>
    <m/>
    <n v="419.42956266093978"/>
    <n v="219.61640797284883"/>
    <n v="0"/>
    <n v="9884.0195600000006"/>
    <n v="7782.4721000000009"/>
    <n v="0"/>
    <n v="11184.50871791662"/>
    <n v="5856.2911350039867"/>
  </r>
  <r>
    <s v="Regular"/>
    <x v="3"/>
    <x v="3"/>
    <x v="4"/>
    <x v="0"/>
    <x v="0"/>
    <x v="0"/>
    <x v="2"/>
    <x v="7"/>
    <n v="0"/>
    <n v="0"/>
    <n v="239.57900000000001"/>
    <n v="239.57900000000001"/>
    <n v="239.57900000000001"/>
    <n v="239.57900000000001"/>
    <n v="456"/>
    <x v="0"/>
    <n v="0"/>
    <n v="0"/>
    <n v="27"/>
    <n v="76"/>
    <n v="0"/>
    <n v="370.66"/>
    <n v="291.85000000000002"/>
    <m/>
    <n v="419.42956266093978"/>
    <n v="219.61640797284883"/>
    <n v="0"/>
    <n v="88802.352140000003"/>
    <n v="69921.131150000001"/>
    <n v="0"/>
    <n v="100486.5151927453"/>
    <n v="52615.47940572715"/>
  </r>
  <r>
    <s v="Sistema de Compensação"/>
    <x v="3"/>
    <x v="3"/>
    <x v="4"/>
    <x v="0"/>
    <x v="0"/>
    <x v="0"/>
    <x v="2"/>
    <x v="7"/>
    <n v="0"/>
    <n v="0"/>
    <n v="37.057000000000002"/>
    <n v="37.057000000000002"/>
    <n v="37.057000000000002"/>
    <n v="37.057000000000002"/>
    <n v="77"/>
    <x v="0"/>
    <n v="0"/>
    <n v="0"/>
    <n v="27"/>
    <n v="76"/>
    <n v="0"/>
    <n v="370.66"/>
    <n v="291.85000000000002"/>
    <m/>
    <n v="419.42956266093978"/>
    <n v="219.61640797284883"/>
    <n v="0"/>
    <n v="13735.547620000001"/>
    <n v="10815.085450000002"/>
    <n v="0"/>
    <n v="15542.801303526447"/>
    <n v="8138.3252302498595"/>
  </r>
  <r>
    <s v="Regular"/>
    <x v="3"/>
    <x v="3"/>
    <x v="4"/>
    <x v="0"/>
    <x v="0"/>
    <x v="0"/>
    <x v="2"/>
    <x v="8"/>
    <n v="0"/>
    <n v="0"/>
    <n v="234.89500000000001"/>
    <n v="234.89500000000001"/>
    <n v="234.89500000000001"/>
    <n v="234.89500000000001"/>
    <n v="455"/>
    <x v="0"/>
    <n v="0"/>
    <n v="0"/>
    <n v="27"/>
    <n v="76"/>
    <n v="0"/>
    <n v="370.66"/>
    <n v="291.85000000000002"/>
    <m/>
    <n v="419.42956266093978"/>
    <n v="219.61640797284883"/>
    <n v="0"/>
    <n v="87066.180700000012"/>
    <n v="68554.105750000002"/>
    <n v="0"/>
    <n v="98521.907121241456"/>
    <n v="51586.796150782327"/>
  </r>
  <r>
    <s v="Sistema de Compensação"/>
    <x v="3"/>
    <x v="3"/>
    <x v="4"/>
    <x v="0"/>
    <x v="0"/>
    <x v="0"/>
    <x v="2"/>
    <x v="8"/>
    <n v="0"/>
    <n v="0"/>
    <n v="38.975000000000001"/>
    <n v="38.975000000000001"/>
    <n v="38.975000000000001"/>
    <n v="38.975000000000001"/>
    <n v="79"/>
    <x v="0"/>
    <n v="0"/>
    <n v="0"/>
    <n v="27"/>
    <n v="76"/>
    <n v="0"/>
    <n v="370.66"/>
    <n v="291.85000000000002"/>
    <m/>
    <n v="419.42956266093978"/>
    <n v="219.61640797284883"/>
    <n v="0"/>
    <n v="14446.473500000002"/>
    <n v="11374.853750000002"/>
    <n v="0"/>
    <n v="16347.267204710128"/>
    <n v="8559.549500741783"/>
  </r>
  <r>
    <s v="Regular"/>
    <x v="3"/>
    <x v="3"/>
    <x v="4"/>
    <x v="0"/>
    <x v="0"/>
    <x v="0"/>
    <x v="2"/>
    <x v="9"/>
    <n v="0"/>
    <n v="0"/>
    <n v="229.131"/>
    <n v="229.131"/>
    <n v="229.131"/>
    <n v="229.131"/>
    <n v="457"/>
    <x v="0"/>
    <n v="0"/>
    <n v="0"/>
    <n v="27"/>
    <n v="76"/>
    <n v="0"/>
    <n v="370.66"/>
    <n v="291.85000000000002"/>
    <m/>
    <n v="419.42956266093978"/>
    <n v="219.61640797284883"/>
    <n v="0"/>
    <n v="84929.696460000006"/>
    <n v="66871.88235"/>
    <n v="0"/>
    <n v="96104.315122063796"/>
    <n v="50320.927175226825"/>
  </r>
  <r>
    <s v="Sistema de Compensação"/>
    <x v="3"/>
    <x v="3"/>
    <x v="4"/>
    <x v="0"/>
    <x v="0"/>
    <x v="0"/>
    <x v="2"/>
    <x v="9"/>
    <n v="0"/>
    <n v="0"/>
    <n v="40.637999999999998"/>
    <n v="40.637999999999998"/>
    <n v="40.637999999999998"/>
    <n v="40.637999999999998"/>
    <n v="80"/>
    <x v="0"/>
    <n v="0"/>
    <n v="0"/>
    <n v="27"/>
    <n v="76"/>
    <n v="0"/>
    <n v="370.66"/>
    <n v="291.85000000000002"/>
    <m/>
    <n v="419.42956266093978"/>
    <n v="219.61640797284883"/>
    <n v="0"/>
    <n v="15062.881080000001"/>
    <n v="11860.2003"/>
    <n v="0"/>
    <n v="17044.778567415269"/>
    <n v="8924.7715872006302"/>
  </r>
  <r>
    <s v="Regular"/>
    <x v="3"/>
    <x v="3"/>
    <x v="4"/>
    <x v="0"/>
    <x v="0"/>
    <x v="0"/>
    <x v="2"/>
    <x v="10"/>
    <n v="0"/>
    <n v="0"/>
    <n v="206.131"/>
    <n v="206.131"/>
    <n v="206.131"/>
    <n v="206.131"/>
    <n v="458"/>
    <x v="0"/>
    <n v="0"/>
    <n v="0"/>
    <n v="27"/>
    <n v="76"/>
    <n v="0"/>
    <n v="370.66"/>
    <n v="291.85000000000002"/>
    <m/>
    <n v="419.42956266093978"/>
    <n v="219.61640797284883"/>
    <n v="0"/>
    <n v="76404.516459999999"/>
    <n v="60159.332350000004"/>
    <n v="0"/>
    <n v="86457.435180862172"/>
    <n v="45269.749791851304"/>
  </r>
  <r>
    <s v="Sistema de Compensação"/>
    <x v="3"/>
    <x v="3"/>
    <x v="4"/>
    <x v="0"/>
    <x v="0"/>
    <x v="0"/>
    <x v="2"/>
    <x v="10"/>
    <n v="0"/>
    <n v="0"/>
    <n v="40.728999999999999"/>
    <n v="40.728999999999999"/>
    <n v="40.728999999999999"/>
    <n v="40.728999999999999"/>
    <n v="79"/>
    <x v="0"/>
    <n v="0"/>
    <n v="0"/>
    <n v="27"/>
    <n v="76"/>
    <n v="0"/>
    <n v="370.66"/>
    <n v="291.85000000000002"/>
    <m/>
    <n v="419.42956266093978"/>
    <n v="219.61640797284883"/>
    <n v="0"/>
    <n v="15096.611140000001"/>
    <n v="11886.758650000002"/>
    <n v="0"/>
    <n v="17082.946657617416"/>
    <n v="8944.7566803261598"/>
  </r>
  <r>
    <s v="PROJETADO"/>
    <x v="3"/>
    <x v="3"/>
    <x v="4"/>
    <x v="0"/>
    <x v="0"/>
    <x v="0"/>
    <x v="2"/>
    <x v="11"/>
    <n v="0"/>
    <n v="0"/>
    <n v="206.131"/>
    <n v="206.131"/>
    <n v="206.131"/>
    <n v="206.131"/>
    <n v="458"/>
    <x v="0"/>
    <n v="0"/>
    <n v="0"/>
    <n v="27"/>
    <n v="76"/>
    <n v="0"/>
    <n v="370.66"/>
    <n v="291.85000000000002"/>
    <m/>
    <n v="419.42956266093978"/>
    <n v="219.61640797284883"/>
    <n v="0"/>
    <n v="76404.516459999999"/>
    <n v="60159.332350000004"/>
    <n v="0"/>
    <n v="86457.435180862172"/>
    <n v="45269.749791851304"/>
  </r>
  <r>
    <s v="PROJETADO"/>
    <x v="3"/>
    <x v="3"/>
    <x v="4"/>
    <x v="0"/>
    <x v="0"/>
    <x v="0"/>
    <x v="2"/>
    <x v="11"/>
    <n v="0"/>
    <n v="0"/>
    <n v="40.728999999999999"/>
    <n v="40.728999999999999"/>
    <n v="40.728999999999999"/>
    <n v="40.728999999999999"/>
    <n v="79"/>
    <x v="0"/>
    <n v="0"/>
    <n v="0"/>
    <n v="27"/>
    <n v="76"/>
    <n v="0"/>
    <n v="370.66"/>
    <n v="291.85000000000002"/>
    <m/>
    <n v="419.42956266093978"/>
    <n v="219.61640797284883"/>
    <n v="0"/>
    <n v="15096.611140000001"/>
    <n v="11886.758650000002"/>
    <n v="0"/>
    <n v="17082.946657617416"/>
    <n v="8944.7566803261598"/>
  </r>
  <r>
    <s v="Regular"/>
    <x v="3"/>
    <x v="3"/>
    <x v="5"/>
    <x v="0"/>
    <x v="0"/>
    <x v="0"/>
    <x v="2"/>
    <x v="0"/>
    <n v="0"/>
    <n v="0"/>
    <n v="2.9140000000000001"/>
    <n v="2.9140000000000001"/>
    <n v="2.9140000000000001"/>
    <n v="2.9140000000000001"/>
    <n v="5"/>
    <x v="0"/>
    <n v="0"/>
    <n v="0"/>
    <n v="27"/>
    <n v="76"/>
    <n v="0"/>
    <n v="370.66"/>
    <n v="291.85000000000002"/>
    <m/>
    <n v="419.42956266093978"/>
    <n v="219.61640797284883"/>
    <n v="0"/>
    <n v="1080.1032400000001"/>
    <n v="850.45090000000016"/>
    <n v="0"/>
    <n v="1222.2177455939786"/>
    <n v="639.96221283288151"/>
  </r>
  <r>
    <s v="Regular"/>
    <x v="3"/>
    <x v="3"/>
    <x v="5"/>
    <x v="0"/>
    <x v="0"/>
    <x v="0"/>
    <x v="2"/>
    <x v="1"/>
    <n v="0"/>
    <n v="0"/>
    <n v="3.1989999999999998"/>
    <n v="3.1989999999999998"/>
    <n v="3.1989999999999998"/>
    <n v="3.1989999999999998"/>
    <n v="5"/>
    <x v="0"/>
    <n v="0"/>
    <n v="0"/>
    <n v="27"/>
    <n v="76"/>
    <n v="0"/>
    <n v="370.66"/>
    <n v="291.85000000000002"/>
    <m/>
    <n v="419.42956266093978"/>
    <n v="219.61640797284883"/>
    <n v="0"/>
    <n v="1185.74134"/>
    <n v="933.62815000000001"/>
    <n v="0"/>
    <n v="1341.7551709523464"/>
    <n v="702.55288910514344"/>
  </r>
  <r>
    <s v="Regular"/>
    <x v="3"/>
    <x v="3"/>
    <x v="5"/>
    <x v="0"/>
    <x v="0"/>
    <x v="0"/>
    <x v="2"/>
    <x v="2"/>
    <n v="0"/>
    <n v="0"/>
    <n v="3.5139999999999998"/>
    <n v="3.5139999999999998"/>
    <n v="3.5139999999999998"/>
    <n v="3.5139999999999998"/>
    <n v="5"/>
    <x v="0"/>
    <n v="0"/>
    <n v="0"/>
    <n v="27"/>
    <n v="76"/>
    <n v="0"/>
    <n v="370.66"/>
    <n v="291.85000000000002"/>
    <m/>
    <n v="419.42956266093978"/>
    <n v="219.61640797284883"/>
    <n v="0"/>
    <n v="1302.4992400000001"/>
    <n v="1025.5608999999999"/>
    <n v="0"/>
    <n v="1473.8754831905424"/>
    <n v="771.73205761659074"/>
  </r>
  <r>
    <s v="Regular"/>
    <x v="3"/>
    <x v="3"/>
    <x v="5"/>
    <x v="0"/>
    <x v="0"/>
    <x v="0"/>
    <x v="2"/>
    <x v="3"/>
    <n v="0"/>
    <n v="0"/>
    <n v="3.7909999999999999"/>
    <n v="3.7909999999999999"/>
    <n v="3.7909999999999999"/>
    <n v="3.7909999999999999"/>
    <n v="5"/>
    <x v="0"/>
    <n v="0"/>
    <n v="0"/>
    <n v="27"/>
    <n v="76"/>
    <n v="0"/>
    <n v="370.66"/>
    <n v="291.85000000000002"/>
    <m/>
    <n v="419.42956266093978"/>
    <n v="219.61640797284883"/>
    <n v="0"/>
    <n v="1405.1720600000001"/>
    <n v="1106.40335"/>
    <n v="0"/>
    <n v="1590.0574720476227"/>
    <n v="832.56580262506986"/>
  </r>
  <r>
    <s v="Regular"/>
    <x v="3"/>
    <x v="3"/>
    <x v="5"/>
    <x v="0"/>
    <x v="0"/>
    <x v="0"/>
    <x v="2"/>
    <x v="4"/>
    <n v="0"/>
    <n v="0"/>
    <n v="4.1710000000000003"/>
    <n v="4.1710000000000003"/>
    <n v="4.1710000000000003"/>
    <n v="4.1710000000000003"/>
    <n v="5"/>
    <x v="0"/>
    <n v="0"/>
    <n v="0"/>
    <n v="27"/>
    <n v="76"/>
    <n v="0"/>
    <n v="370.66"/>
    <n v="291.85000000000002"/>
    <m/>
    <n v="419.42956266093978"/>
    <n v="219.61640797284883"/>
    <n v="0"/>
    <n v="1546.0228600000003"/>
    <n v="1217.3063500000001"/>
    <n v="0"/>
    <n v="1749.4407058587799"/>
    <n v="916.02003765475251"/>
  </r>
  <r>
    <s v="Regular"/>
    <x v="3"/>
    <x v="3"/>
    <x v="5"/>
    <x v="0"/>
    <x v="0"/>
    <x v="0"/>
    <x v="2"/>
    <x v="5"/>
    <n v="0"/>
    <n v="0"/>
    <n v="6.1029999999999998"/>
    <n v="6.1029999999999998"/>
    <n v="6.1029999999999998"/>
    <n v="6.1029999999999998"/>
    <n v="5"/>
    <x v="0"/>
    <n v="0"/>
    <n v="0"/>
    <n v="27"/>
    <n v="76"/>
    <n v="0"/>
    <n v="370.66"/>
    <n v="291.85000000000002"/>
    <m/>
    <n v="419.42956266093978"/>
    <n v="219.61640797284883"/>
    <n v="0"/>
    <n v="2262.13798"/>
    <n v="1781.1605500000001"/>
    <n v="0"/>
    <n v="2559.7786209197152"/>
    <n v="1340.3189378582963"/>
  </r>
  <r>
    <s v="Regular"/>
    <x v="3"/>
    <x v="3"/>
    <x v="5"/>
    <x v="0"/>
    <x v="0"/>
    <x v="0"/>
    <x v="2"/>
    <x v="6"/>
    <n v="0"/>
    <n v="0"/>
    <n v="5.08"/>
    <n v="5.08"/>
    <n v="5.08"/>
    <n v="5.08"/>
    <n v="5"/>
    <x v="0"/>
    <n v="0"/>
    <n v="0"/>
    <n v="27"/>
    <n v="76"/>
    <n v="0"/>
    <n v="370.66"/>
    <n v="291.85000000000002"/>
    <m/>
    <n v="419.42956266093978"/>
    <n v="219.61640797284883"/>
    <n v="0"/>
    <n v="1882.9528000000003"/>
    <n v="1482.5980000000002"/>
    <n v="0"/>
    <n v="2130.7021783175742"/>
    <n v="1115.6513525020721"/>
  </r>
  <r>
    <s v="Regular"/>
    <x v="3"/>
    <x v="3"/>
    <x v="5"/>
    <x v="0"/>
    <x v="0"/>
    <x v="0"/>
    <x v="2"/>
    <x v="7"/>
    <n v="0"/>
    <n v="0"/>
    <n v="3.653"/>
    <n v="3.653"/>
    <n v="3.653"/>
    <n v="3.653"/>
    <n v="5"/>
    <x v="0"/>
    <n v="0"/>
    <n v="0"/>
    <n v="27"/>
    <n v="76"/>
    <n v="0"/>
    <n v="370.66"/>
    <n v="291.85000000000002"/>
    <m/>
    <n v="419.42956266093978"/>
    <n v="219.61640797284883"/>
    <n v="0"/>
    <n v="1354.02098"/>
    <n v="1066.12805"/>
    <n v="0"/>
    <n v="1532.1761924004131"/>
    <n v="802.25873832481682"/>
  </r>
  <r>
    <s v="Regular"/>
    <x v="3"/>
    <x v="3"/>
    <x v="5"/>
    <x v="0"/>
    <x v="0"/>
    <x v="0"/>
    <x v="2"/>
    <x v="8"/>
    <n v="0"/>
    <n v="0"/>
    <n v="3.3069999999999999"/>
    <n v="3.3069999999999999"/>
    <n v="3.3069999999999999"/>
    <n v="3.3069999999999999"/>
    <n v="5"/>
    <x v="0"/>
    <n v="0"/>
    <n v="0"/>
    <n v="27"/>
    <n v="76"/>
    <n v="0"/>
    <n v="370.66"/>
    <n v="291.85000000000002"/>
    <m/>
    <n v="419.42956266093978"/>
    <n v="219.61640797284883"/>
    <n v="0"/>
    <n v="1225.77262"/>
    <n v="965.14795000000004"/>
    <n v="0"/>
    <n v="1387.0535637197279"/>
    <n v="726.27146116621111"/>
  </r>
  <r>
    <s v="Regular"/>
    <x v="3"/>
    <x v="3"/>
    <x v="5"/>
    <x v="0"/>
    <x v="0"/>
    <x v="0"/>
    <x v="2"/>
    <x v="9"/>
    <n v="0"/>
    <n v="0"/>
    <n v="3.492"/>
    <n v="3.492"/>
    <n v="3.492"/>
    <n v="3.492"/>
    <n v="5"/>
    <x v="0"/>
    <n v="0"/>
    <n v="0"/>
    <n v="27"/>
    <n v="76"/>
    <n v="0"/>
    <n v="370.66"/>
    <n v="291.85000000000002"/>
    <m/>
    <n v="419.42956266093978"/>
    <n v="219.61640797284883"/>
    <n v="0"/>
    <n v="1294.3447200000001"/>
    <n v="1019.1402"/>
    <n v="0"/>
    <n v="1464.6480328120017"/>
    <n v="766.90049664118817"/>
  </r>
  <r>
    <s v="Regular"/>
    <x v="3"/>
    <x v="3"/>
    <x v="5"/>
    <x v="0"/>
    <x v="0"/>
    <x v="0"/>
    <x v="2"/>
    <x v="10"/>
    <n v="0"/>
    <n v="0"/>
    <n v="3.4340000000000002"/>
    <n v="3.4340000000000002"/>
    <n v="3.4340000000000002"/>
    <n v="3.4340000000000002"/>
    <n v="5"/>
    <x v="0"/>
    <n v="0"/>
    <n v="0"/>
    <n v="27"/>
    <n v="76"/>
    <n v="0"/>
    <n v="370.66"/>
    <n v="291.85000000000002"/>
    <m/>
    <n v="419.42956266093978"/>
    <n v="219.61640797284883"/>
    <n v="0"/>
    <n v="1272.8464400000003"/>
    <n v="1002.2129000000001"/>
    <n v="0"/>
    <n v="1440.3211181776674"/>
    <n v="754.16274497876293"/>
  </r>
  <r>
    <s v="PROJETADO"/>
    <x v="3"/>
    <x v="3"/>
    <x v="5"/>
    <x v="0"/>
    <x v="0"/>
    <x v="0"/>
    <x v="2"/>
    <x v="11"/>
    <n v="0"/>
    <n v="0"/>
    <n v="3.4340000000000002"/>
    <n v="3.4340000000000002"/>
    <n v="3.4340000000000002"/>
    <n v="3.4340000000000002"/>
    <n v="5"/>
    <x v="0"/>
    <n v="0"/>
    <n v="0"/>
    <n v="27"/>
    <n v="76"/>
    <n v="0"/>
    <n v="370.66"/>
    <n v="291.85000000000002"/>
    <m/>
    <n v="419.42956266093978"/>
    <n v="219.61640797284883"/>
    <n v="0"/>
    <n v="1272.8464400000003"/>
    <n v="1002.2129000000001"/>
    <n v="0"/>
    <n v="1440.3211181776674"/>
    <n v="754.16274497876293"/>
  </r>
  <r>
    <s v="Regular"/>
    <x v="3"/>
    <x v="3"/>
    <x v="0"/>
    <x v="0"/>
    <x v="0"/>
    <x v="0"/>
    <x v="2"/>
    <x v="0"/>
    <n v="0"/>
    <n v="0"/>
    <n v="272.17599999999999"/>
    <n v="272.17599999999999"/>
    <n v="272.17599999999999"/>
    <n v="272.17599999999999"/>
    <n v="116"/>
    <x v="0"/>
    <n v="0"/>
    <n v="0"/>
    <n v="27"/>
    <n v="76"/>
    <n v="0"/>
    <n v="370.66"/>
    <n v="291.85000000000002"/>
    <m/>
    <n v="419.42956266093978"/>
    <n v="219.61640797284883"/>
    <n v="0"/>
    <n v="100884.75616"/>
    <n v="79434.565600000002"/>
    <n v="0"/>
    <n v="114158.66064680394"/>
    <n v="59774.315456418102"/>
  </r>
  <r>
    <s v="Sistema de Compensação"/>
    <x v="3"/>
    <x v="3"/>
    <x v="0"/>
    <x v="0"/>
    <x v="0"/>
    <x v="0"/>
    <x v="2"/>
    <x v="0"/>
    <n v="0"/>
    <n v="0"/>
    <n v="55.561999999999998"/>
    <n v="55.561999999999998"/>
    <n v="55.561999999999998"/>
    <n v="55.561999999999998"/>
    <n v="17"/>
    <x v="0"/>
    <n v="0"/>
    <n v="0"/>
    <n v="27"/>
    <n v="76"/>
    <n v="0"/>
    <n v="370.66"/>
    <n v="291.85000000000002"/>
    <m/>
    <n v="419.42956266093978"/>
    <n v="219.61640797284883"/>
    <n v="0"/>
    <n v="20594.610919999999"/>
    <n v="16215.769700000001"/>
    <n v="0"/>
    <n v="23304.345360567135"/>
    <n v="12202.326859787427"/>
  </r>
  <r>
    <s v="Regular"/>
    <x v="3"/>
    <x v="3"/>
    <x v="0"/>
    <x v="0"/>
    <x v="0"/>
    <x v="0"/>
    <x v="2"/>
    <x v="1"/>
    <n v="0"/>
    <n v="0"/>
    <n v="285.58600000000001"/>
    <n v="285.58600000000001"/>
    <n v="285.58600000000001"/>
    <n v="285.58600000000001"/>
    <n v="116"/>
    <x v="0"/>
    <n v="0"/>
    <n v="0"/>
    <n v="27"/>
    <n v="76"/>
    <n v="0"/>
    <n v="370.66"/>
    <n v="291.85000000000002"/>
    <m/>
    <n v="419.42956266093978"/>
    <n v="219.61640797284883"/>
    <n v="0"/>
    <n v="105855.30676000001"/>
    <n v="83348.27410000001"/>
    <n v="0"/>
    <n v="119783.21108208716"/>
    <n v="62719.371487334007"/>
  </r>
  <r>
    <s v="Sistema de Compensação"/>
    <x v="3"/>
    <x v="3"/>
    <x v="0"/>
    <x v="0"/>
    <x v="0"/>
    <x v="0"/>
    <x v="2"/>
    <x v="1"/>
    <n v="0"/>
    <n v="0"/>
    <n v="56.695999999999998"/>
    <n v="56.695999999999998"/>
    <n v="56.695999999999998"/>
    <n v="56.695999999999998"/>
    <n v="18"/>
    <x v="0"/>
    <n v="0"/>
    <n v="0"/>
    <n v="27"/>
    <n v="76"/>
    <n v="0"/>
    <n v="370.66"/>
    <n v="291.85000000000002"/>
    <m/>
    <n v="419.42956266093978"/>
    <n v="219.61640797284883"/>
    <n v="0"/>
    <n v="21014.93936"/>
    <n v="16546.727600000002"/>
    <n v="0"/>
    <n v="23779.97848462464"/>
    <n v="12451.371866428637"/>
  </r>
  <r>
    <s v="Regular"/>
    <x v="3"/>
    <x v="3"/>
    <x v="0"/>
    <x v="0"/>
    <x v="0"/>
    <x v="0"/>
    <x v="2"/>
    <x v="2"/>
    <n v="0"/>
    <n v="0"/>
    <n v="280.73500000000001"/>
    <n v="280.73500000000001"/>
    <n v="280.73500000000001"/>
    <n v="280.73500000000001"/>
    <n v="116"/>
    <x v="0"/>
    <n v="0"/>
    <n v="0"/>
    <n v="27"/>
    <n v="76"/>
    <n v="0"/>
    <n v="370.66"/>
    <n v="291.85000000000002"/>
    <m/>
    <n v="419.42956266093978"/>
    <n v="219.61640797284883"/>
    <n v="0"/>
    <n v="104057.23510000001"/>
    <n v="81932.509750000012"/>
    <n v="0"/>
    <n v="117748.55827361894"/>
    <n v="61654.012292257721"/>
  </r>
  <r>
    <s v="Sistema de Compensação"/>
    <x v="3"/>
    <x v="3"/>
    <x v="0"/>
    <x v="0"/>
    <x v="0"/>
    <x v="0"/>
    <x v="2"/>
    <x v="2"/>
    <n v="0"/>
    <n v="0"/>
    <n v="30.734000000000002"/>
    <n v="30.734000000000002"/>
    <n v="30.734000000000002"/>
    <n v="30.734000000000002"/>
    <n v="18"/>
    <x v="0"/>
    <n v="0"/>
    <n v="0"/>
    <n v="27"/>
    <n v="76"/>
    <n v="0"/>
    <n v="370.66"/>
    <n v="291.85000000000002"/>
    <m/>
    <n v="419.42956266093978"/>
    <n v="219.61640797284883"/>
    <n v="0"/>
    <n v="11391.864440000001"/>
    <n v="8969.7179000000015"/>
    <n v="0"/>
    <n v="12890.748178821324"/>
    <n v="6749.6906826375362"/>
  </r>
  <r>
    <s v="Regular"/>
    <x v="3"/>
    <x v="3"/>
    <x v="0"/>
    <x v="0"/>
    <x v="0"/>
    <x v="0"/>
    <x v="2"/>
    <x v="3"/>
    <n v="0"/>
    <n v="0"/>
    <n v="241.036"/>
    <n v="241.036"/>
    <n v="241.036"/>
    <n v="241.036"/>
    <n v="113"/>
    <x v="0"/>
    <n v="0"/>
    <n v="0"/>
    <n v="27"/>
    <n v="76"/>
    <n v="0"/>
    <n v="370.66"/>
    <n v="291.85000000000002"/>
    <m/>
    <n v="419.42956266093978"/>
    <n v="219.61640797284883"/>
    <n v="0"/>
    <n v="89342.403760000001"/>
    <n v="70346.356599999999"/>
    <n v="0"/>
    <n v="101097.62406554229"/>
    <n v="52935.460512143589"/>
  </r>
  <r>
    <s v="Sistema de Compensação"/>
    <x v="3"/>
    <x v="3"/>
    <x v="0"/>
    <x v="0"/>
    <x v="0"/>
    <x v="0"/>
    <x v="2"/>
    <x v="3"/>
    <n v="0"/>
    <n v="0"/>
    <n v="23.257000000000001"/>
    <n v="23.257000000000001"/>
    <n v="23.257000000000001"/>
    <n v="23.257000000000001"/>
    <n v="20"/>
    <x v="0"/>
    <n v="0"/>
    <n v="0"/>
    <n v="27"/>
    <n v="76"/>
    <n v="0"/>
    <n v="370.66"/>
    <n v="291.85000000000002"/>
    <m/>
    <n v="419.42956266093978"/>
    <n v="219.61640797284883"/>
    <n v="0"/>
    <n v="8620.439620000001"/>
    <n v="6787.5554500000007"/>
    <n v="0"/>
    <n v="9754.6733388054763"/>
    <n v="5107.6188002245453"/>
  </r>
  <r>
    <s v="Regular"/>
    <x v="3"/>
    <x v="3"/>
    <x v="0"/>
    <x v="0"/>
    <x v="0"/>
    <x v="0"/>
    <x v="2"/>
    <x v="4"/>
    <n v="0"/>
    <n v="0"/>
    <n v="161.21"/>
    <n v="161.21"/>
    <n v="161.21"/>
    <n v="161.21"/>
    <n v="112"/>
    <x v="0"/>
    <n v="0"/>
    <n v="0"/>
    <n v="27"/>
    <n v="76"/>
    <n v="0"/>
    <n v="370.66"/>
    <n v="291.85000000000002"/>
    <m/>
    <n v="419.42956266093978"/>
    <n v="219.61640797284883"/>
    <n v="0"/>
    <n v="59754.098600000005"/>
    <n v="47049.138500000008"/>
    <n v="0"/>
    <n v="67616.239796570109"/>
    <n v="35404.361129302961"/>
  </r>
  <r>
    <s v="Sistema de Compensação"/>
    <x v="3"/>
    <x v="3"/>
    <x v="0"/>
    <x v="0"/>
    <x v="0"/>
    <x v="0"/>
    <x v="2"/>
    <x v="4"/>
    <n v="0"/>
    <n v="0"/>
    <n v="14.427"/>
    <n v="14.427"/>
    <n v="14.427"/>
    <n v="14.427"/>
    <n v="20"/>
    <x v="0"/>
    <n v="0"/>
    <n v="0"/>
    <n v="27"/>
    <n v="76"/>
    <n v="0"/>
    <n v="370.66"/>
    <n v="291.85000000000002"/>
    <m/>
    <n v="419.42956266093978"/>
    <n v="219.61640797284883"/>
    <n v="0"/>
    <n v="5347.5118200000006"/>
    <n v="4210.5199499999999"/>
    <n v="0"/>
    <n v="6051.1103005093782"/>
    <n v="3168.4059178242901"/>
  </r>
  <r>
    <s v="Regular"/>
    <x v="3"/>
    <x v="3"/>
    <x v="0"/>
    <x v="0"/>
    <x v="0"/>
    <x v="0"/>
    <x v="2"/>
    <x v="5"/>
    <n v="0"/>
    <n v="0"/>
    <n v="276.875"/>
    <n v="276.875"/>
    <n v="276.875"/>
    <n v="276.875"/>
    <n v="110"/>
    <x v="0"/>
    <n v="0"/>
    <n v="0"/>
    <n v="27"/>
    <n v="76"/>
    <n v="0"/>
    <n v="370.66"/>
    <n v="291.85000000000002"/>
    <m/>
    <n v="419.42956266093978"/>
    <n v="219.61640797284883"/>
    <n v="0"/>
    <n v="102626.4875"/>
    <n v="80805.96875"/>
    <n v="0"/>
    <n v="116129.56016174771"/>
    <n v="60806.292957482518"/>
  </r>
  <r>
    <s v="Sistema de Compensação"/>
    <x v="3"/>
    <x v="3"/>
    <x v="0"/>
    <x v="0"/>
    <x v="0"/>
    <x v="0"/>
    <x v="2"/>
    <x v="5"/>
    <n v="0"/>
    <n v="0"/>
    <n v="20.085999999999999"/>
    <n v="20.085999999999999"/>
    <n v="20.085999999999999"/>
    <n v="20.085999999999999"/>
    <n v="20"/>
    <x v="0"/>
    <n v="0"/>
    <n v="0"/>
    <n v="27"/>
    <n v="76"/>
    <n v="0"/>
    <n v="370.66"/>
    <n v="291.85000000000002"/>
    <m/>
    <n v="419.42956266093978"/>
    <n v="219.61640797284883"/>
    <n v="0"/>
    <n v="7445.0767599999999"/>
    <n v="5862.0991000000004"/>
    <n v="0"/>
    <n v="8424.662195607636"/>
    <n v="4411.2151705426413"/>
  </r>
  <r>
    <s v="Regular"/>
    <x v="3"/>
    <x v="3"/>
    <x v="0"/>
    <x v="0"/>
    <x v="0"/>
    <x v="0"/>
    <x v="2"/>
    <x v="6"/>
    <n v="0"/>
    <n v="0"/>
    <n v="235.19399999999999"/>
    <n v="235.19399999999999"/>
    <n v="235.19399999999999"/>
    <n v="235.19399999999999"/>
    <n v="109"/>
    <x v="0"/>
    <n v="0"/>
    <n v="0"/>
    <n v="27"/>
    <n v="76"/>
    <n v="0"/>
    <n v="370.66"/>
    <n v="291.85000000000002"/>
    <m/>
    <n v="419.42956266093978"/>
    <n v="219.61640797284883"/>
    <n v="0"/>
    <n v="87177.008040000001"/>
    <n v="68641.368900000001"/>
    <n v="0"/>
    <n v="98647.316560477062"/>
    <n v="51652.461456766207"/>
  </r>
  <r>
    <s v="Sistema de Compensação"/>
    <x v="3"/>
    <x v="3"/>
    <x v="0"/>
    <x v="0"/>
    <x v="0"/>
    <x v="0"/>
    <x v="2"/>
    <x v="6"/>
    <n v="0"/>
    <n v="0"/>
    <n v="28.888000000000002"/>
    <n v="28.888000000000002"/>
    <n v="28.888000000000002"/>
    <n v="28.888000000000002"/>
    <n v="23"/>
    <x v="0"/>
    <n v="0"/>
    <n v="0"/>
    <n v="27"/>
    <n v="76"/>
    <n v="0"/>
    <n v="370.66"/>
    <n v="291.85000000000002"/>
    <m/>
    <n v="419.42956266093978"/>
    <n v="219.61640797284883"/>
    <n v="0"/>
    <n v="10707.626080000002"/>
    <n v="8430.9628000000012"/>
    <n v="0"/>
    <n v="12116.481206149228"/>
    <n v="6344.2787935196575"/>
  </r>
  <r>
    <s v="Regular"/>
    <x v="3"/>
    <x v="3"/>
    <x v="0"/>
    <x v="0"/>
    <x v="0"/>
    <x v="0"/>
    <x v="2"/>
    <x v="7"/>
    <n v="0"/>
    <n v="0"/>
    <n v="231.643"/>
    <n v="231.643"/>
    <n v="231.643"/>
    <n v="231.643"/>
    <n v="110"/>
    <x v="0"/>
    <n v="0"/>
    <n v="0"/>
    <n v="27"/>
    <n v="76"/>
    <n v="0"/>
    <n v="370.66"/>
    <n v="291.85000000000002"/>
    <m/>
    <n v="419.42956266093978"/>
    <n v="219.61640797284883"/>
    <n v="0"/>
    <n v="85860.794380000007"/>
    <n v="67605.009550000002"/>
    <n v="0"/>
    <n v="97157.922183468079"/>
    <n v="50872.60359205462"/>
  </r>
  <r>
    <s v="Sistema de Compensação"/>
    <x v="3"/>
    <x v="3"/>
    <x v="0"/>
    <x v="0"/>
    <x v="0"/>
    <x v="0"/>
    <x v="2"/>
    <x v="7"/>
    <n v="0"/>
    <n v="0"/>
    <n v="32.756999999999998"/>
    <n v="32.756999999999998"/>
    <n v="32.756999999999998"/>
    <n v="32.756999999999998"/>
    <n v="23"/>
    <x v="0"/>
    <n v="0"/>
    <n v="0"/>
    <n v="27"/>
    <n v="76"/>
    <n v="0"/>
    <n v="370.66"/>
    <n v="291.85000000000002"/>
    <m/>
    <n v="419.42956266093978"/>
    <n v="219.61640797284883"/>
    <n v="0"/>
    <n v="12141.70962"/>
    <n v="9560.1304500000006"/>
    <n v="0"/>
    <n v="13739.254184084404"/>
    <n v="7193.9746759666086"/>
  </r>
  <r>
    <s v="Regular"/>
    <x v="3"/>
    <x v="3"/>
    <x v="0"/>
    <x v="0"/>
    <x v="0"/>
    <x v="0"/>
    <x v="2"/>
    <x v="8"/>
    <n v="0"/>
    <n v="0"/>
    <n v="221.31"/>
    <n v="221.31"/>
    <n v="221.31"/>
    <n v="221.31"/>
    <n v="108"/>
    <x v="0"/>
    <n v="0"/>
    <n v="0"/>
    <n v="27"/>
    <n v="76"/>
    <n v="0"/>
    <n v="370.66"/>
    <n v="291.85000000000002"/>
    <m/>
    <n v="419.42956266093978"/>
    <n v="219.61640797284883"/>
    <n v="0"/>
    <n v="82030.76460000001"/>
    <n v="64589.323500000006"/>
    <n v="0"/>
    <n v="92823.956512492587"/>
    <n v="48603.307248471174"/>
  </r>
  <r>
    <s v="Sistema de Compensação"/>
    <x v="3"/>
    <x v="3"/>
    <x v="0"/>
    <x v="0"/>
    <x v="0"/>
    <x v="0"/>
    <x v="2"/>
    <x v="8"/>
    <n v="0"/>
    <n v="0"/>
    <n v="31.154"/>
    <n v="31.154"/>
    <n v="31.154"/>
    <n v="31.154"/>
    <n v="24"/>
    <x v="0"/>
    <n v="0"/>
    <n v="0"/>
    <n v="27"/>
    <n v="76"/>
    <n v="0"/>
    <n v="370.66"/>
    <n v="291.85000000000002"/>
    <m/>
    <n v="419.42956266093978"/>
    <n v="219.61640797284883"/>
    <n v="0"/>
    <n v="11547.541640000001"/>
    <n v="9092.2949000000008"/>
    <n v="0"/>
    <n v="13066.908595138917"/>
    <n v="6841.9295739861327"/>
  </r>
  <r>
    <s v="Regular"/>
    <x v="3"/>
    <x v="3"/>
    <x v="0"/>
    <x v="0"/>
    <x v="0"/>
    <x v="0"/>
    <x v="2"/>
    <x v="9"/>
    <n v="0"/>
    <n v="0"/>
    <n v="245.06"/>
    <n v="245.06"/>
    <n v="245.06"/>
    <n v="245.06"/>
    <n v="104"/>
    <x v="0"/>
    <n v="0"/>
    <n v="0"/>
    <n v="27"/>
    <n v="76"/>
    <n v="0"/>
    <n v="370.66"/>
    <n v="291.85000000000002"/>
    <m/>
    <n v="419.42956266093978"/>
    <n v="219.61640797284883"/>
    <n v="0"/>
    <n v="90833.939600000012"/>
    <n v="71520.761000000013"/>
    <n v="0"/>
    <n v="102785.4086256899"/>
    <n v="53819.196937826338"/>
  </r>
  <r>
    <s v="Sistema de Compensação"/>
    <x v="3"/>
    <x v="3"/>
    <x v="0"/>
    <x v="0"/>
    <x v="0"/>
    <x v="0"/>
    <x v="2"/>
    <x v="9"/>
    <n v="0"/>
    <n v="0"/>
    <n v="47.393000000000001"/>
    <n v="47.393000000000001"/>
    <n v="47.393000000000001"/>
    <n v="47.393000000000001"/>
    <n v="25"/>
    <x v="0"/>
    <n v="0"/>
    <n v="0"/>
    <n v="27"/>
    <n v="76"/>
    <n v="0"/>
    <n v="370.66"/>
    <n v="291.85000000000002"/>
    <m/>
    <n v="419.42956266093978"/>
    <n v="219.61640797284883"/>
    <n v="0"/>
    <n v="17566.68938"/>
    <n v="13831.647050000001"/>
    <n v="0"/>
    <n v="19878.02526318992"/>
    <n v="10408.280423057226"/>
  </r>
  <r>
    <s v="Regular"/>
    <x v="3"/>
    <x v="3"/>
    <x v="0"/>
    <x v="0"/>
    <x v="0"/>
    <x v="0"/>
    <x v="2"/>
    <x v="10"/>
    <n v="0"/>
    <n v="0"/>
    <n v="219.375"/>
    <n v="219.375"/>
    <n v="219.375"/>
    <n v="219.375"/>
    <n v="103"/>
    <x v="0"/>
    <n v="0"/>
    <n v="0"/>
    <n v="27"/>
    <n v="76"/>
    <n v="0"/>
    <n v="370.66"/>
    <n v="291.85000000000002"/>
    <m/>
    <n v="419.42956266093978"/>
    <n v="219.61640797284883"/>
    <n v="0"/>
    <n v="81313.537500000006"/>
    <n v="64024.593750000007"/>
    <n v="0"/>
    <n v="92012.360308743664"/>
    <n v="48178.34949904371"/>
  </r>
  <r>
    <s v="Sistema de Compensação"/>
    <x v="3"/>
    <x v="3"/>
    <x v="0"/>
    <x v="0"/>
    <x v="0"/>
    <x v="0"/>
    <x v="2"/>
    <x v="10"/>
    <n v="0"/>
    <n v="0"/>
    <n v="58.578000000000003"/>
    <n v="58.578000000000003"/>
    <n v="58.578000000000003"/>
    <n v="58.578000000000003"/>
    <n v="26"/>
    <x v="0"/>
    <n v="0"/>
    <n v="0"/>
    <n v="27"/>
    <n v="76"/>
    <n v="0"/>
    <n v="370.66"/>
    <n v="291.85000000000002"/>
    <m/>
    <n v="419.42956266093978"/>
    <n v="219.61640797284883"/>
    <n v="0"/>
    <n v="21712.521480000003"/>
    <n v="17095.989300000001"/>
    <n v="0"/>
    <n v="24569.344921552532"/>
    <n v="12864.68994623354"/>
  </r>
  <r>
    <s v="PROJETADO"/>
    <x v="3"/>
    <x v="3"/>
    <x v="0"/>
    <x v="0"/>
    <x v="0"/>
    <x v="0"/>
    <x v="2"/>
    <x v="11"/>
    <n v="0"/>
    <n v="0"/>
    <n v="219.375"/>
    <n v="219.375"/>
    <n v="219.375"/>
    <n v="219.375"/>
    <n v="103"/>
    <x v="0"/>
    <n v="0"/>
    <n v="0"/>
    <n v="27"/>
    <n v="76"/>
    <n v="0"/>
    <n v="370.66"/>
    <n v="291.85000000000002"/>
    <m/>
    <n v="419.42956266093978"/>
    <n v="219.61640797284883"/>
    <n v="0"/>
    <n v="81313.537500000006"/>
    <n v="64024.593750000007"/>
    <n v="0"/>
    <n v="92012.360308743664"/>
    <n v="48178.34949904371"/>
  </r>
  <r>
    <s v="PROJETADO"/>
    <x v="3"/>
    <x v="3"/>
    <x v="0"/>
    <x v="0"/>
    <x v="0"/>
    <x v="0"/>
    <x v="2"/>
    <x v="11"/>
    <n v="0"/>
    <n v="0"/>
    <n v="58.578000000000003"/>
    <n v="58.578000000000003"/>
    <n v="58.578000000000003"/>
    <n v="58.578000000000003"/>
    <n v="26"/>
    <x v="0"/>
    <n v="0"/>
    <n v="0"/>
    <n v="27"/>
    <n v="76"/>
    <n v="0"/>
    <n v="370.66"/>
    <n v="291.85000000000002"/>
    <m/>
    <n v="419.42956266093978"/>
    <n v="219.61640797284883"/>
    <n v="0"/>
    <n v="21712.521480000003"/>
    <n v="17095.989300000001"/>
    <n v="0"/>
    <n v="24569.344921552532"/>
    <n v="12864.68994623354"/>
  </r>
  <r>
    <s v="Regular"/>
    <x v="3"/>
    <x v="3"/>
    <x v="6"/>
    <x v="0"/>
    <x v="0"/>
    <x v="0"/>
    <x v="2"/>
    <x v="0"/>
    <n v="0"/>
    <n v="0"/>
    <n v="55.954000000000001"/>
    <n v="55.954000000000001"/>
    <n v="55.954000000000001"/>
    <n v="55.954000000000001"/>
    <n v="100"/>
    <x v="0"/>
    <n v="0"/>
    <n v="0"/>
    <n v="27"/>
    <n v="76"/>
    <n v="0"/>
    <n v="370.66"/>
    <n v="291.85000000000002"/>
    <m/>
    <n v="419.42956266093978"/>
    <n v="219.61640797284883"/>
    <n v="0"/>
    <n v="20739.909640000002"/>
    <n v="16330.174900000002"/>
    <n v="0"/>
    <n v="23468.761749130226"/>
    <n v="12288.416491712784"/>
  </r>
  <r>
    <s v="Regular"/>
    <x v="3"/>
    <x v="3"/>
    <x v="6"/>
    <x v="0"/>
    <x v="0"/>
    <x v="0"/>
    <x v="2"/>
    <x v="1"/>
    <n v="0"/>
    <n v="0"/>
    <n v="59.122"/>
    <n v="59.122"/>
    <n v="59.122"/>
    <n v="59.122"/>
    <n v="100"/>
    <x v="0"/>
    <n v="0"/>
    <n v="0"/>
    <n v="27"/>
    <n v="76"/>
    <n v="0"/>
    <n v="370.66"/>
    <n v="291.85000000000002"/>
    <m/>
    <n v="419.42956266093978"/>
    <n v="219.61640797284883"/>
    <n v="0"/>
    <n v="21914.160520000001"/>
    <n v="17254.755700000002"/>
    <n v="0"/>
    <n v="24797.51460364008"/>
    <n v="12984.161272170768"/>
  </r>
  <r>
    <s v="Regular"/>
    <x v="3"/>
    <x v="3"/>
    <x v="6"/>
    <x v="0"/>
    <x v="0"/>
    <x v="0"/>
    <x v="2"/>
    <x v="2"/>
    <n v="0"/>
    <n v="0"/>
    <n v="67.272999999999996"/>
    <n v="67.272999999999996"/>
    <n v="67.272999999999996"/>
    <n v="67.272999999999996"/>
    <n v="100"/>
    <x v="0"/>
    <n v="0"/>
    <n v="0"/>
    <n v="27"/>
    <n v="76"/>
    <n v="0"/>
    <n v="370.66"/>
    <n v="291.85000000000002"/>
    <m/>
    <n v="419.42956266093978"/>
    <n v="219.61640797284883"/>
    <n v="0"/>
    <n v="24935.410179999999"/>
    <n v="19633.625049999999"/>
    <n v="0"/>
    <n v="28216.284968889398"/>
    <n v="14774.254613557459"/>
  </r>
  <r>
    <s v="Regular"/>
    <x v="3"/>
    <x v="3"/>
    <x v="6"/>
    <x v="0"/>
    <x v="0"/>
    <x v="0"/>
    <x v="2"/>
    <x v="3"/>
    <n v="0"/>
    <n v="0"/>
    <n v="70.724999999999994"/>
    <n v="70.724999999999994"/>
    <n v="70.724999999999994"/>
    <n v="70.724999999999994"/>
    <n v="100"/>
    <x v="0"/>
    <n v="0"/>
    <n v="0"/>
    <n v="27"/>
    <n v="76"/>
    <n v="0"/>
    <n v="370.66"/>
    <n v="291.85000000000002"/>
    <m/>
    <n v="419.42956266093978"/>
    <n v="219.61640797284883"/>
    <n v="0"/>
    <n v="26214.928499999998"/>
    <n v="20641.091250000001"/>
    <n v="0"/>
    <n v="29664.155819194963"/>
    <n v="15532.370453879732"/>
  </r>
  <r>
    <s v="Regular"/>
    <x v="3"/>
    <x v="3"/>
    <x v="6"/>
    <x v="0"/>
    <x v="0"/>
    <x v="0"/>
    <x v="2"/>
    <x v="4"/>
    <n v="0"/>
    <n v="0"/>
    <n v="50.838000000000001"/>
    <n v="50.838000000000001"/>
    <n v="50.838000000000001"/>
    <n v="50.838000000000001"/>
    <n v="101"/>
    <x v="0"/>
    <n v="0"/>
    <n v="0"/>
    <n v="27"/>
    <n v="76"/>
    <n v="0"/>
    <n v="370.66"/>
    <n v="291.85000000000002"/>
    <m/>
    <n v="419.42956266093978"/>
    <n v="219.61640797284883"/>
    <n v="0"/>
    <n v="18843.613080000003"/>
    <n v="14837.070300000001"/>
    <n v="0"/>
    <n v="21322.960106556857"/>
    <n v="11164.85894852369"/>
  </r>
  <r>
    <s v="Regular"/>
    <x v="3"/>
    <x v="3"/>
    <x v="6"/>
    <x v="0"/>
    <x v="0"/>
    <x v="0"/>
    <x v="2"/>
    <x v="5"/>
    <n v="0"/>
    <n v="0"/>
    <n v="84.031000000000006"/>
    <n v="84.031000000000006"/>
    <n v="84.031000000000006"/>
    <n v="84.031000000000006"/>
    <n v="102"/>
    <x v="0"/>
    <n v="0"/>
    <n v="0"/>
    <n v="27"/>
    <n v="76"/>
    <n v="0"/>
    <n v="370.66"/>
    <n v="291.85000000000002"/>
    <m/>
    <n v="419.42956266093978"/>
    <n v="219.61640797284883"/>
    <n v="0"/>
    <n v="31146.930460000003"/>
    <n v="24524.447350000002"/>
    <n v="0"/>
    <n v="35245.085579961436"/>
    <n v="18454.586378366461"/>
  </r>
  <r>
    <s v="Regular"/>
    <x v="3"/>
    <x v="3"/>
    <x v="6"/>
    <x v="0"/>
    <x v="0"/>
    <x v="0"/>
    <x v="2"/>
    <x v="6"/>
    <n v="0"/>
    <n v="0"/>
    <n v="103.98399999999999"/>
    <n v="103.98399999999999"/>
    <n v="103.98399999999999"/>
    <n v="103.98399999999999"/>
    <n v="102"/>
    <x v="0"/>
    <n v="0"/>
    <n v="0"/>
    <n v="27"/>
    <n v="76"/>
    <n v="0"/>
    <n v="370.66"/>
    <n v="291.85000000000002"/>
    <m/>
    <n v="419.42956266093978"/>
    <n v="219.61640797284883"/>
    <n v="0"/>
    <n v="38542.709439999999"/>
    <n v="30347.7304"/>
    <n v="0"/>
    <n v="43613.963643735158"/>
    <n v="22836.592566648713"/>
  </r>
  <r>
    <s v="Regular"/>
    <x v="3"/>
    <x v="3"/>
    <x v="6"/>
    <x v="0"/>
    <x v="0"/>
    <x v="0"/>
    <x v="2"/>
    <x v="7"/>
    <n v="0"/>
    <n v="0"/>
    <n v="70.608000000000004"/>
    <n v="70.608000000000004"/>
    <n v="70.608000000000004"/>
    <n v="70.608000000000004"/>
    <n v="102"/>
    <x v="0"/>
    <n v="0"/>
    <n v="0"/>
    <n v="27"/>
    <n v="76"/>
    <n v="0"/>
    <n v="370.66"/>
    <n v="291.85000000000002"/>
    <m/>
    <n v="419.42956266093978"/>
    <n v="219.61640797284883"/>
    <n v="0"/>
    <n v="26171.561280000002"/>
    <n v="20606.944800000001"/>
    <n v="0"/>
    <n v="29615.082560363637"/>
    <n v="15506.675334146912"/>
  </r>
  <r>
    <s v="Regular"/>
    <x v="3"/>
    <x v="3"/>
    <x v="6"/>
    <x v="0"/>
    <x v="0"/>
    <x v="0"/>
    <x v="2"/>
    <x v="8"/>
    <n v="0"/>
    <n v="0"/>
    <n v="61.956000000000003"/>
    <n v="61.956000000000003"/>
    <n v="61.956000000000003"/>
    <n v="61.956000000000003"/>
    <n v="102"/>
    <x v="0"/>
    <n v="0"/>
    <n v="0"/>
    <n v="27"/>
    <n v="76"/>
    <n v="0"/>
    <n v="370.66"/>
    <n v="291.85000000000002"/>
    <m/>
    <n v="419.42956266093978"/>
    <n v="219.61640797284883"/>
    <n v="0"/>
    <n v="22964.610960000002"/>
    <n v="18081.858600000003"/>
    <n v="0"/>
    <n v="25986.177984221187"/>
    <n v="13606.554172365823"/>
  </r>
  <r>
    <s v="Regular"/>
    <x v="3"/>
    <x v="3"/>
    <x v="6"/>
    <x v="0"/>
    <x v="0"/>
    <x v="0"/>
    <x v="2"/>
    <x v="9"/>
    <n v="0"/>
    <n v="0"/>
    <n v="68.695999999999998"/>
    <n v="68.695999999999998"/>
    <n v="68.695999999999998"/>
    <n v="68.695999999999998"/>
    <n v="104"/>
    <x v="0"/>
    <n v="0"/>
    <n v="0"/>
    <n v="27"/>
    <n v="76"/>
    <n v="0"/>
    <n v="370.66"/>
    <n v="291.85000000000002"/>
    <m/>
    <n v="419.42956266093978"/>
    <n v="219.61640797284883"/>
    <n v="0"/>
    <n v="25462.859360000002"/>
    <n v="20048.927600000003"/>
    <n v="0"/>
    <n v="28813.133236555917"/>
    <n v="15086.768762102824"/>
  </r>
  <r>
    <s v="Regular"/>
    <x v="3"/>
    <x v="3"/>
    <x v="6"/>
    <x v="0"/>
    <x v="0"/>
    <x v="0"/>
    <x v="2"/>
    <x v="10"/>
    <n v="0"/>
    <n v="0"/>
    <n v="59.814"/>
    <n v="59.814"/>
    <n v="59.814"/>
    <n v="59.814"/>
    <n v="104"/>
    <x v="0"/>
    <n v="0"/>
    <n v="0"/>
    <n v="27"/>
    <n v="76"/>
    <n v="0"/>
    <n v="370.66"/>
    <n v="291.85000000000002"/>
    <m/>
    <n v="419.42956266093978"/>
    <n v="219.61640797284883"/>
    <n v="0"/>
    <n v="22170.65724"/>
    <n v="17456.715900000003"/>
    <n v="0"/>
    <n v="25087.759861001454"/>
    <n v="13136.13582648798"/>
  </r>
  <r>
    <s v="PROJETADO"/>
    <x v="3"/>
    <x v="3"/>
    <x v="6"/>
    <x v="0"/>
    <x v="0"/>
    <x v="0"/>
    <x v="2"/>
    <x v="11"/>
    <n v="0"/>
    <n v="0"/>
    <n v="59.814"/>
    <n v="59.814"/>
    <n v="59.814"/>
    <n v="59.814"/>
    <n v="104"/>
    <x v="0"/>
    <n v="0"/>
    <n v="0"/>
    <n v="27"/>
    <n v="76"/>
    <n v="0"/>
    <n v="370.66"/>
    <n v="291.85000000000002"/>
    <m/>
    <n v="419.42956266093978"/>
    <n v="219.61640797284883"/>
    <n v="0"/>
    <n v="22170.65724"/>
    <n v="17456.715900000003"/>
    <n v="0"/>
    <n v="25087.759861001454"/>
    <n v="13136.13582648798"/>
  </r>
  <r>
    <s v="Regular"/>
    <x v="3"/>
    <x v="3"/>
    <x v="7"/>
    <x v="7"/>
    <x v="0"/>
    <x v="0"/>
    <x v="2"/>
    <x v="0"/>
    <n v="0"/>
    <n v="0"/>
    <n v="14.595000000000001"/>
    <n v="13.7193"/>
    <n v="14.595000000000001"/>
    <n v="13.7193"/>
    <n v="16"/>
    <x v="0"/>
    <n v="0"/>
    <n v="0"/>
    <n v="27"/>
    <n v="76"/>
    <n v="0"/>
    <n v="370.66"/>
    <n v="291.85000000000002"/>
    <m/>
    <n v="419.42956266093978"/>
    <n v="219.61640797284883"/>
    <n v="0"/>
    <n v="5085.1957380000003"/>
    <n v="4003.9777050000002"/>
    <n v="0"/>
    <n v="5754.2799990142312"/>
    <n v="3012.983385901905"/>
  </r>
  <r>
    <s v="Refaturamento - Regular"/>
    <x v="3"/>
    <x v="3"/>
    <x v="7"/>
    <x v="7"/>
    <x v="0"/>
    <x v="0"/>
    <x v="2"/>
    <x v="0"/>
    <n v="0"/>
    <n v="0"/>
    <n v="-0.498"/>
    <n v="-0.46811999999999998"/>
    <n v="-0.498"/>
    <n v="-0.46811999999999998"/>
    <n v="0"/>
    <x v="0"/>
    <n v="0"/>
    <n v="0"/>
    <n v="27"/>
    <n v="76"/>
    <n v="0"/>
    <n v="370.66"/>
    <n v="291.85000000000002"/>
    <m/>
    <n v="419.42956266093978"/>
    <n v="219.61640797284883"/>
    <n v="0"/>
    <n v="-173.5133592"/>
    <n v="-136.620822"/>
    <n v="0"/>
    <n v="-196.34336687283911"/>
    <n v="-102.80683290024999"/>
  </r>
  <r>
    <s v="Regular"/>
    <x v="3"/>
    <x v="3"/>
    <x v="7"/>
    <x v="7"/>
    <x v="0"/>
    <x v="0"/>
    <x v="2"/>
    <x v="1"/>
    <n v="0"/>
    <n v="0"/>
    <n v="14.583"/>
    <n v="13.708019999999999"/>
    <n v="14.583"/>
    <n v="13.708019999999999"/>
    <n v="16"/>
    <x v="0"/>
    <n v="0"/>
    <n v="0"/>
    <n v="27"/>
    <n v="76"/>
    <n v="0"/>
    <n v="370.66"/>
    <n v="291.85000000000002"/>
    <m/>
    <n v="419.42956266093978"/>
    <n v="219.61640797284883"/>
    <n v="0"/>
    <n v="5081.0146931999998"/>
    <n v="4000.685637"/>
    <n v="0"/>
    <n v="5749.5488335474156"/>
    <n v="3010.5061128199713"/>
  </r>
  <r>
    <s v="Regular"/>
    <x v="3"/>
    <x v="3"/>
    <x v="7"/>
    <x v="7"/>
    <x v="0"/>
    <x v="0"/>
    <x v="2"/>
    <x v="2"/>
    <n v="0"/>
    <n v="0"/>
    <n v="15.177"/>
    <n v="14.26638"/>
    <n v="15.177"/>
    <n v="14.26638"/>
    <n v="16"/>
    <x v="0"/>
    <n v="0"/>
    <n v="0"/>
    <n v="27"/>
    <n v="76"/>
    <n v="0"/>
    <n v="370.66"/>
    <n v="291.85000000000002"/>
    <m/>
    <n v="419.42956266093978"/>
    <n v="219.61640797284883"/>
    <n v="0"/>
    <n v="5287.9764107999999"/>
    <n v="4163.6430030000001"/>
    <n v="0"/>
    <n v="5983.7415241547778"/>
    <n v="3133.1311303756911"/>
  </r>
  <r>
    <s v="Regular"/>
    <x v="3"/>
    <x v="3"/>
    <x v="7"/>
    <x v="7"/>
    <x v="0"/>
    <x v="0"/>
    <x v="2"/>
    <x v="3"/>
    <n v="0"/>
    <n v="0"/>
    <n v="13.978"/>
    <n v="13.13932"/>
    <n v="13.978"/>
    <n v="13.13932"/>
    <n v="16"/>
    <x v="0"/>
    <n v="0"/>
    <n v="0"/>
    <n v="27"/>
    <n v="76"/>
    <n v="0"/>
    <n v="370.66"/>
    <n v="291.85000000000002"/>
    <m/>
    <n v="419.42956266093978"/>
    <n v="219.61640797284883"/>
    <n v="0"/>
    <n v="4870.2203512000006"/>
    <n v="3834.7105420000003"/>
    <n v="0"/>
    <n v="5511.0192412621391"/>
    <n v="2885.610261605812"/>
  </r>
  <r>
    <s v="Regular"/>
    <x v="3"/>
    <x v="3"/>
    <x v="7"/>
    <x v="7"/>
    <x v="0"/>
    <x v="0"/>
    <x v="2"/>
    <x v="4"/>
    <n v="0"/>
    <n v="0"/>
    <n v="13.185"/>
    <n v="12.3939"/>
    <n v="13.185"/>
    <n v="12.3939"/>
    <n v="16"/>
    <x v="0"/>
    <n v="0"/>
    <n v="0"/>
    <n v="27"/>
    <n v="76"/>
    <n v="0"/>
    <n v="370.66"/>
    <n v="291.85000000000002"/>
    <m/>
    <n v="419.42956266093978"/>
    <n v="219.61640797284883"/>
    <n v="0"/>
    <n v="4593.9229740000001"/>
    <n v="3617.1597150000002"/>
    <n v="0"/>
    <n v="5198.3680566634221"/>
    <n v="2721.903798774691"/>
  </r>
  <r>
    <s v="Regular"/>
    <x v="3"/>
    <x v="3"/>
    <x v="7"/>
    <x v="7"/>
    <x v="0"/>
    <x v="0"/>
    <x v="2"/>
    <x v="5"/>
    <n v="0"/>
    <n v="0"/>
    <n v="15.356999999999999"/>
    <n v="14.43558"/>
    <n v="15.356999999999999"/>
    <n v="14.43558"/>
    <n v="16"/>
    <x v="0"/>
    <n v="0"/>
    <n v="0"/>
    <n v="27"/>
    <n v="76"/>
    <n v="0"/>
    <n v="370.66"/>
    <n v="291.85000000000002"/>
    <m/>
    <n v="419.42956266093978"/>
    <n v="219.61640797284883"/>
    <n v="0"/>
    <n v="5350.6920828000002"/>
    <n v="4213.0240229999999"/>
    <n v="0"/>
    <n v="6054.7090061570088"/>
    <n v="3170.2902266046972"/>
  </r>
  <r>
    <s v="Regular"/>
    <x v="3"/>
    <x v="3"/>
    <x v="7"/>
    <x v="7"/>
    <x v="0"/>
    <x v="0"/>
    <x v="2"/>
    <x v="6"/>
    <n v="0"/>
    <n v="0"/>
    <n v="14.31"/>
    <n v="13.4514"/>
    <n v="14.31"/>
    <n v="13.4514"/>
    <n v="16"/>
    <x v="0"/>
    <n v="0"/>
    <n v="0"/>
    <n v="27"/>
    <n v="76"/>
    <n v="0"/>
    <n v="370.66"/>
    <n v="291.85000000000002"/>
    <m/>
    <n v="419.42956266093978"/>
    <n v="219.61640797284883"/>
    <n v="0"/>
    <n v="4985.8959240000004"/>
    <n v="3925.7910900000002"/>
    <n v="0"/>
    <n v="5641.9148191773647"/>
    <n v="2954.1481502059787"/>
  </r>
  <r>
    <s v="Regular"/>
    <x v="3"/>
    <x v="3"/>
    <x v="7"/>
    <x v="7"/>
    <x v="0"/>
    <x v="0"/>
    <x v="2"/>
    <x v="7"/>
    <n v="0"/>
    <n v="0"/>
    <n v="14.478999999999999"/>
    <n v="13.61026"/>
    <n v="14.478999999999999"/>
    <n v="13.61026"/>
    <n v="16"/>
    <x v="0"/>
    <n v="0"/>
    <n v="0"/>
    <n v="27"/>
    <n v="76"/>
    <n v="0"/>
    <n v="370.66"/>
    <n v="291.85000000000002"/>
    <m/>
    <n v="419.42956266093978"/>
    <n v="219.61640797284883"/>
    <n v="0"/>
    <n v="5044.7789716000007"/>
    <n v="3972.1543810000003"/>
    <n v="0"/>
    <n v="5708.5453995016824"/>
    <n v="2989.0364127765456"/>
  </r>
  <r>
    <s v="Regular"/>
    <x v="3"/>
    <x v="3"/>
    <x v="7"/>
    <x v="7"/>
    <x v="0"/>
    <x v="0"/>
    <x v="2"/>
    <x v="8"/>
    <n v="0"/>
    <n v="0"/>
    <n v="14.087"/>
    <n v="13.24178"/>
    <n v="14.087"/>
    <n v="13.24178"/>
    <n v="16"/>
    <x v="0"/>
    <n v="0"/>
    <n v="0"/>
    <n v="27"/>
    <n v="76"/>
    <n v="0"/>
    <n v="370.66"/>
    <n v="291.85000000000002"/>
    <m/>
    <n v="419.42956266093978"/>
    <n v="219.61640797284883"/>
    <n v="0"/>
    <n v="4908.1981748000007"/>
    <n v="3864.6134930000003"/>
    <n v="0"/>
    <n v="5553.9939942523797"/>
    <n v="2908.1121587667103"/>
  </r>
  <r>
    <s v="Regular"/>
    <x v="3"/>
    <x v="3"/>
    <x v="7"/>
    <x v="7"/>
    <x v="0"/>
    <x v="0"/>
    <x v="2"/>
    <x v="9"/>
    <n v="0"/>
    <n v="0"/>
    <n v="15.03"/>
    <n v="14.1282"/>
    <n v="15.03"/>
    <n v="14.1282"/>
    <n v="16"/>
    <x v="0"/>
    <n v="0"/>
    <n v="0"/>
    <n v="27"/>
    <n v="76"/>
    <n v="0"/>
    <n v="370.66"/>
    <n v="291.85000000000002"/>
    <m/>
    <n v="419.42956266093978"/>
    <n v="219.61640797284883"/>
    <n v="0"/>
    <n v="5236.7586120000005"/>
    <n v="4123.3151699999999"/>
    <n v="0"/>
    <n v="5925.7847471862897"/>
    <n v="3102.784535122003"/>
  </r>
  <r>
    <s v="Regular"/>
    <x v="3"/>
    <x v="3"/>
    <x v="7"/>
    <x v="7"/>
    <x v="0"/>
    <x v="0"/>
    <x v="2"/>
    <x v="10"/>
    <n v="0"/>
    <n v="0"/>
    <n v="13.217000000000001"/>
    <n v="12.42398"/>
    <n v="13.217000000000001"/>
    <n v="12.42398"/>
    <n v="16"/>
    <x v="0"/>
    <n v="0"/>
    <n v="0"/>
    <n v="27"/>
    <n v="76"/>
    <n v="0"/>
    <n v="370.66"/>
    <n v="291.85000000000002"/>
    <m/>
    <n v="419.42956266093978"/>
    <n v="219.61640797284883"/>
    <n v="0"/>
    <n v="4605.0724268000004"/>
    <n v="3625.9385630000002"/>
    <n v="0"/>
    <n v="5210.9844979082627"/>
    <n v="2728.5098603265146"/>
  </r>
  <r>
    <s v="PROJETADO"/>
    <x v="3"/>
    <x v="3"/>
    <x v="7"/>
    <x v="7"/>
    <x v="0"/>
    <x v="0"/>
    <x v="2"/>
    <x v="11"/>
    <n v="0"/>
    <n v="0"/>
    <n v="13.217000000000001"/>
    <n v="12.42398"/>
    <n v="13.217000000000001"/>
    <n v="12.42398"/>
    <n v="16"/>
    <x v="0"/>
    <n v="0"/>
    <n v="0"/>
    <n v="27"/>
    <n v="76"/>
    <n v="0"/>
    <n v="370.66"/>
    <n v="291.85000000000002"/>
    <m/>
    <n v="419.42956266093978"/>
    <n v="219.61640797284883"/>
    <n v="0"/>
    <n v="4605.0724268000004"/>
    <n v="3625.9385630000002"/>
    <n v="0"/>
    <n v="5210.9844979082627"/>
    <n v="2728.5098603265146"/>
  </r>
  <r>
    <s v="Regular"/>
    <x v="4"/>
    <x v="3"/>
    <x v="8"/>
    <x v="8"/>
    <x v="0"/>
    <x v="0"/>
    <x v="2"/>
    <x v="0"/>
    <n v="0"/>
    <n v="0"/>
    <n v="151.68799999999999"/>
    <n v="151.68799999999999"/>
    <n v="151.68799999999999"/>
    <n v="151.68799999999999"/>
    <n v="6"/>
    <x v="0"/>
    <n v="0"/>
    <n v="0"/>
    <n v="40"/>
    <n v="82"/>
    <n v="0"/>
    <n v="222.4"/>
    <n v="175.11"/>
    <m/>
    <n v="251.65773759656386"/>
    <n v="131.76984478370929"/>
    <n v="0"/>
    <n v="33735.411199999995"/>
    <n v="26562.08568"/>
    <n v="0"/>
    <n v="38173.458900547579"/>
    <n v="19987.904215551294"/>
  </r>
  <r>
    <s v="Regular"/>
    <x v="4"/>
    <x v="3"/>
    <x v="8"/>
    <x v="8"/>
    <x v="0"/>
    <x v="0"/>
    <x v="2"/>
    <x v="1"/>
    <n v="0"/>
    <n v="0"/>
    <n v="156.339"/>
    <n v="156.339"/>
    <n v="156.339"/>
    <n v="156.339"/>
    <n v="6"/>
    <x v="0"/>
    <n v="0"/>
    <n v="0"/>
    <n v="40"/>
    <n v="82"/>
    <n v="0"/>
    <n v="222.4"/>
    <n v="175.11"/>
    <m/>
    <n v="251.65773759656386"/>
    <n v="131.76984478370929"/>
    <n v="0"/>
    <n v="34769.793599999997"/>
    <n v="27376.522290000001"/>
    <n v="0"/>
    <n v="39343.919038109198"/>
    <n v="20600.765763640327"/>
  </r>
  <r>
    <s v="Regular"/>
    <x v="4"/>
    <x v="3"/>
    <x v="8"/>
    <x v="8"/>
    <x v="0"/>
    <x v="0"/>
    <x v="2"/>
    <x v="2"/>
    <n v="0"/>
    <n v="0"/>
    <n v="151.298"/>
    <n v="151.298"/>
    <n v="151.298"/>
    <n v="151.298"/>
    <n v="6"/>
    <x v="0"/>
    <n v="0"/>
    <n v="0"/>
    <n v="40"/>
    <n v="82"/>
    <n v="0"/>
    <n v="222.4"/>
    <n v="175.11"/>
    <m/>
    <n v="251.65773759656386"/>
    <n v="131.76984478370929"/>
    <n v="0"/>
    <n v="33648.675199999998"/>
    <n v="26493.792780000003"/>
    <n v="0"/>
    <n v="38075.31238288492"/>
    <n v="19936.513976085647"/>
  </r>
  <r>
    <s v="Regular"/>
    <x v="4"/>
    <x v="3"/>
    <x v="8"/>
    <x v="8"/>
    <x v="0"/>
    <x v="0"/>
    <x v="2"/>
    <x v="3"/>
    <n v="0"/>
    <n v="0"/>
    <n v="151.13900000000001"/>
    <n v="151.13900000000001"/>
    <n v="151.13900000000001"/>
    <n v="151.13900000000001"/>
    <n v="6"/>
    <x v="0"/>
    <n v="0"/>
    <n v="0"/>
    <n v="40"/>
    <n v="82"/>
    <n v="0"/>
    <n v="222.4"/>
    <n v="175.11"/>
    <m/>
    <n v="251.65773759656386"/>
    <n v="131.76984478370929"/>
    <n v="0"/>
    <n v="33613.313600000001"/>
    <n v="26465.950290000004"/>
    <n v="0"/>
    <n v="38035.298802607067"/>
    <n v="19915.56257076504"/>
  </r>
  <r>
    <s v="Regular"/>
    <x v="4"/>
    <x v="3"/>
    <x v="8"/>
    <x v="8"/>
    <x v="0"/>
    <x v="0"/>
    <x v="2"/>
    <x v="4"/>
    <n v="0"/>
    <n v="0"/>
    <n v="145.63"/>
    <n v="145.63"/>
    <n v="145.63"/>
    <n v="145.63"/>
    <n v="6"/>
    <x v="0"/>
    <n v="0"/>
    <n v="0"/>
    <n v="40"/>
    <n v="82"/>
    <n v="0"/>
    <n v="222.4"/>
    <n v="175.11"/>
    <m/>
    <n v="251.65773759656386"/>
    <n v="131.76984478370929"/>
    <n v="0"/>
    <n v="32388.112000000001"/>
    <n v="25501.2693"/>
    <n v="0"/>
    <n v="36648.916326187595"/>
    <n v="19189.642495851582"/>
  </r>
  <r>
    <s v="Regular"/>
    <x v="4"/>
    <x v="3"/>
    <x v="8"/>
    <x v="8"/>
    <x v="0"/>
    <x v="0"/>
    <x v="2"/>
    <x v="5"/>
    <n v="0"/>
    <n v="0"/>
    <n v="134.91399999999999"/>
    <n v="134.91399999999999"/>
    <n v="134.91399999999999"/>
    <n v="134.91399999999999"/>
    <n v="6"/>
    <x v="0"/>
    <n v="0"/>
    <n v="0"/>
    <n v="40"/>
    <n v="82"/>
    <n v="0"/>
    <n v="222.4"/>
    <n v="175.11"/>
    <m/>
    <n v="251.65773759656386"/>
    <n v="131.76984478370929"/>
    <n v="0"/>
    <n v="30004.873599999999"/>
    <n v="23624.790539999998"/>
    <n v="0"/>
    <n v="33952.152010102815"/>
    <n v="17777.596839149352"/>
  </r>
  <r>
    <s v="Regular"/>
    <x v="4"/>
    <x v="3"/>
    <x v="8"/>
    <x v="8"/>
    <x v="0"/>
    <x v="0"/>
    <x v="2"/>
    <x v="6"/>
    <n v="0"/>
    <n v="0"/>
    <n v="149.76599999999999"/>
    <n v="149.76599999999999"/>
    <n v="149.76599999999999"/>
    <n v="149.76599999999999"/>
    <n v="6"/>
    <x v="0"/>
    <n v="0"/>
    <n v="0"/>
    <n v="40"/>
    <n v="82"/>
    <n v="0"/>
    <n v="222.4"/>
    <n v="175.11"/>
    <m/>
    <n v="251.65773759656386"/>
    <n v="131.76984478370929"/>
    <n v="0"/>
    <n v="33307.958399999996"/>
    <n v="26225.524260000002"/>
    <n v="0"/>
    <n v="37689.772728886979"/>
    <n v="19734.642573877005"/>
  </r>
  <r>
    <s v="Regular"/>
    <x v="4"/>
    <x v="3"/>
    <x v="8"/>
    <x v="8"/>
    <x v="0"/>
    <x v="0"/>
    <x v="2"/>
    <x v="7"/>
    <n v="0"/>
    <n v="0"/>
    <n v="141.10400000000001"/>
    <n v="141.10400000000001"/>
    <n v="141.10400000000001"/>
    <n v="141.10400000000001"/>
    <n v="6"/>
    <x v="0"/>
    <n v="0"/>
    <n v="0"/>
    <n v="40"/>
    <n v="82"/>
    <n v="0"/>
    <n v="222.4"/>
    <n v="175.11"/>
    <m/>
    <n v="251.65773759656386"/>
    <n v="131.76984478370929"/>
    <n v="0"/>
    <n v="31381.529600000005"/>
    <n v="24708.721440000005"/>
    <n v="0"/>
    <n v="35509.913405825551"/>
    <n v="18593.252178360519"/>
  </r>
  <r>
    <s v="Regular"/>
    <x v="4"/>
    <x v="3"/>
    <x v="8"/>
    <x v="8"/>
    <x v="0"/>
    <x v="0"/>
    <x v="2"/>
    <x v="8"/>
    <n v="0"/>
    <n v="0"/>
    <n v="147.321"/>
    <n v="147.321"/>
    <n v="147.321"/>
    <n v="147.321"/>
    <n v="6"/>
    <x v="0"/>
    <n v="0"/>
    <n v="0"/>
    <n v="40"/>
    <n v="82"/>
    <n v="0"/>
    <n v="222.4"/>
    <n v="175.11"/>
    <m/>
    <n v="251.65773759656386"/>
    <n v="131.76984478370929"/>
    <n v="0"/>
    <n v="32764.190399999999"/>
    <n v="25797.38031"/>
    <n v="0"/>
    <n v="37074.469560463382"/>
    <n v="19412.465303380835"/>
  </r>
  <r>
    <s v="Regular"/>
    <x v="4"/>
    <x v="3"/>
    <x v="8"/>
    <x v="8"/>
    <x v="0"/>
    <x v="0"/>
    <x v="2"/>
    <x v="9"/>
    <n v="0"/>
    <n v="0"/>
    <n v="145.928"/>
    <n v="145.928"/>
    <n v="145.928"/>
    <n v="145.928"/>
    <n v="6"/>
    <x v="0"/>
    <n v="0"/>
    <n v="0"/>
    <n v="40"/>
    <n v="82"/>
    <n v="0"/>
    <n v="222.4"/>
    <n v="175.11"/>
    <m/>
    <n v="251.65773759656386"/>
    <n v="131.76984478370929"/>
    <n v="0"/>
    <n v="32454.387200000001"/>
    <n v="25553.452080000003"/>
    <n v="0"/>
    <n v="36723.91033199137"/>
    <n v="19228.909909597129"/>
  </r>
  <r>
    <s v="Regular"/>
    <x v="4"/>
    <x v="3"/>
    <x v="8"/>
    <x v="8"/>
    <x v="0"/>
    <x v="0"/>
    <x v="2"/>
    <x v="10"/>
    <n v="0"/>
    <n v="0"/>
    <n v="150.80000000000001"/>
    <n v="150.80000000000001"/>
    <n v="150.80000000000001"/>
    <n v="150.80000000000001"/>
    <n v="6"/>
    <x v="0"/>
    <n v="0"/>
    <n v="0"/>
    <n v="40"/>
    <n v="82"/>
    <n v="0"/>
    <n v="222.4"/>
    <n v="175.11"/>
    <m/>
    <n v="251.65773759656386"/>
    <n v="131.76984478370929"/>
    <n v="0"/>
    <n v="33537.920000000006"/>
    <n v="26406.588000000003"/>
    <n v="0"/>
    <n v="37949.986829561836"/>
    <n v="19870.892593383363"/>
  </r>
  <r>
    <s v="PROJETADO"/>
    <x v="4"/>
    <x v="3"/>
    <x v="8"/>
    <x v="8"/>
    <x v="0"/>
    <x v="0"/>
    <x v="2"/>
    <x v="11"/>
    <n v="0"/>
    <n v="0"/>
    <n v="150.80000000000001"/>
    <n v="150.80000000000001"/>
    <n v="150.80000000000001"/>
    <n v="150.80000000000001"/>
    <n v="6"/>
    <x v="0"/>
    <n v="0"/>
    <n v="0"/>
    <n v="40"/>
    <n v="82"/>
    <n v="0"/>
    <n v="222.4"/>
    <n v="175.11"/>
    <m/>
    <n v="251.65773759656386"/>
    <n v="131.76984478370929"/>
    <n v="0"/>
    <n v="33537.920000000006"/>
    <n v="26406.588000000003"/>
    <n v="0"/>
    <n v="37949.986829561836"/>
    <n v="19870.89259338336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s v="Regular"/>
    <x v="0"/>
    <x v="0"/>
    <x v="0"/>
    <x v="0"/>
    <x v="0"/>
    <x v="0"/>
    <x v="0"/>
    <x v="0"/>
    <n v="6000"/>
    <n v="3000"/>
    <n v="0"/>
    <n v="0"/>
    <n v="0"/>
    <n v="0"/>
    <n v="0"/>
    <s v="GERAÇÃO"/>
    <n v="659"/>
    <n v="1"/>
    <n v="0"/>
    <n v="0"/>
    <n v="5.7"/>
    <n v="0"/>
    <n v="0"/>
    <n v="6.5703266892577075"/>
    <m/>
    <m/>
    <n v="17100"/>
    <n v="0"/>
    <n v="19710.980067773122"/>
    <n v="0"/>
    <x v="0"/>
  </r>
  <r>
    <s v="Regular"/>
    <x v="0"/>
    <x v="0"/>
    <x v="0"/>
    <x v="0"/>
    <x v="0"/>
    <x v="1"/>
    <x v="0"/>
    <x v="0"/>
    <n v="833"/>
    <n v="416.5"/>
    <n v="0"/>
    <n v="0"/>
    <n v="0"/>
    <n v="0"/>
    <n v="0"/>
    <s v="GERAÇÃO"/>
    <n v="29592"/>
    <n v="1"/>
    <n v="0"/>
    <n v="0"/>
    <n v="5.7"/>
    <n v="0"/>
    <n v="0"/>
    <n v="6.5703266892577075"/>
    <m/>
    <m/>
    <n v="2374.0500000000002"/>
    <n v="0"/>
    <n v="2736.5410660758353"/>
    <n v="0"/>
    <x v="0"/>
  </r>
  <r>
    <s v="Regular"/>
    <x v="0"/>
    <x v="0"/>
    <x v="0"/>
    <x v="0"/>
    <x v="0"/>
    <x v="2"/>
    <x v="0"/>
    <x v="0"/>
    <n v="1000"/>
    <n v="500"/>
    <n v="0"/>
    <n v="0"/>
    <n v="0"/>
    <n v="0"/>
    <n v="0"/>
    <s v="GERAÇÃO"/>
    <n v="30368"/>
    <n v="1"/>
    <n v="0"/>
    <n v="0"/>
    <n v="5.7"/>
    <n v="0"/>
    <n v="0"/>
    <n v="6.5703266892577075"/>
    <m/>
    <m/>
    <n v="2850"/>
    <n v="0"/>
    <n v="3285.1633446288538"/>
    <n v="0"/>
    <x v="0"/>
  </r>
  <r>
    <s v="Regular"/>
    <x v="0"/>
    <x v="0"/>
    <x v="0"/>
    <x v="0"/>
    <x v="0"/>
    <x v="3"/>
    <x v="0"/>
    <x v="0"/>
    <n v="3130"/>
    <n v="1565"/>
    <n v="0"/>
    <n v="0"/>
    <n v="0"/>
    <n v="0"/>
    <n v="0"/>
    <s v="GERAÇÃO"/>
    <n v="30494"/>
    <n v="1"/>
    <n v="0"/>
    <n v="0"/>
    <n v="5.7"/>
    <n v="0"/>
    <n v="0"/>
    <n v="6.5703266892577075"/>
    <m/>
    <m/>
    <n v="8920.5"/>
    <n v="0"/>
    <n v="10282.561268688312"/>
    <n v="0"/>
    <x v="0"/>
  </r>
  <r>
    <s v="Regular"/>
    <x v="0"/>
    <x v="0"/>
    <x v="0"/>
    <x v="0"/>
    <x v="0"/>
    <x v="4"/>
    <x v="0"/>
    <x v="0"/>
    <n v="500"/>
    <n v="250"/>
    <n v="0"/>
    <n v="0"/>
    <n v="0"/>
    <n v="0"/>
    <n v="0"/>
    <s v="GERAÇÃO"/>
    <n v="27182"/>
    <n v="1"/>
    <n v="0"/>
    <n v="0"/>
    <n v="5.7"/>
    <n v="0"/>
    <n v="0"/>
    <n v="6.5703266892577075"/>
    <m/>
    <m/>
    <n v="1425"/>
    <n v="0"/>
    <n v="1642.5816723144269"/>
    <n v="0"/>
    <x v="0"/>
  </r>
  <r>
    <s v="Regular"/>
    <x v="0"/>
    <x v="0"/>
    <x v="0"/>
    <x v="0"/>
    <x v="0"/>
    <x v="0"/>
    <x v="0"/>
    <x v="1"/>
    <n v="6000"/>
    <n v="3000"/>
    <n v="0"/>
    <n v="0"/>
    <n v="0"/>
    <n v="0"/>
    <n v="0"/>
    <s v="GERAÇÃO"/>
    <n v="659"/>
    <n v="1"/>
    <n v="0"/>
    <n v="0"/>
    <n v="5.7"/>
    <n v="0"/>
    <n v="0"/>
    <n v="6.5703266892577075"/>
    <m/>
    <m/>
    <n v="17100"/>
    <n v="0"/>
    <n v="19710.980067773122"/>
    <n v="0"/>
    <x v="0"/>
  </r>
  <r>
    <s v="Regular"/>
    <x v="0"/>
    <x v="0"/>
    <x v="0"/>
    <x v="0"/>
    <x v="0"/>
    <x v="1"/>
    <x v="0"/>
    <x v="1"/>
    <n v="833"/>
    <n v="416.5"/>
    <n v="0"/>
    <n v="0"/>
    <n v="0"/>
    <n v="0"/>
    <n v="0"/>
    <s v="GERAÇÃO"/>
    <n v="29592"/>
    <n v="1"/>
    <n v="0"/>
    <n v="0"/>
    <n v="5.7"/>
    <n v="0"/>
    <n v="0"/>
    <n v="6.5703266892577075"/>
    <m/>
    <m/>
    <n v="2374.0500000000002"/>
    <n v="0"/>
    <n v="2736.5410660758353"/>
    <n v="0"/>
    <x v="0"/>
  </r>
  <r>
    <s v="Regular"/>
    <x v="0"/>
    <x v="0"/>
    <x v="0"/>
    <x v="0"/>
    <x v="0"/>
    <x v="2"/>
    <x v="0"/>
    <x v="1"/>
    <n v="1000"/>
    <n v="500"/>
    <n v="0"/>
    <n v="0"/>
    <n v="0"/>
    <n v="0"/>
    <n v="0"/>
    <s v="GERAÇÃO"/>
    <n v="30368"/>
    <n v="1"/>
    <n v="0"/>
    <n v="0"/>
    <n v="5.7"/>
    <n v="0"/>
    <n v="0"/>
    <n v="6.5703266892577075"/>
    <m/>
    <m/>
    <n v="2850"/>
    <n v="0"/>
    <n v="3285.1633446288538"/>
    <n v="0"/>
    <x v="0"/>
  </r>
  <r>
    <s v="Regular"/>
    <x v="0"/>
    <x v="0"/>
    <x v="0"/>
    <x v="0"/>
    <x v="0"/>
    <x v="3"/>
    <x v="0"/>
    <x v="1"/>
    <n v="3130"/>
    <n v="1565"/>
    <n v="0"/>
    <n v="0"/>
    <n v="0"/>
    <n v="0"/>
    <n v="0"/>
    <s v="GERAÇÃO"/>
    <n v="30494"/>
    <n v="1"/>
    <n v="0"/>
    <n v="0"/>
    <n v="5.7"/>
    <n v="0"/>
    <n v="0"/>
    <n v="6.5703266892577075"/>
    <m/>
    <m/>
    <n v="8920.5"/>
    <n v="0"/>
    <n v="10282.561268688312"/>
    <n v="0"/>
    <x v="0"/>
  </r>
  <r>
    <s v="Regular"/>
    <x v="0"/>
    <x v="0"/>
    <x v="0"/>
    <x v="0"/>
    <x v="0"/>
    <x v="4"/>
    <x v="0"/>
    <x v="1"/>
    <n v="500"/>
    <n v="250"/>
    <n v="0"/>
    <n v="0"/>
    <n v="0"/>
    <n v="0"/>
    <n v="0"/>
    <s v="GERAÇÃO"/>
    <n v="27182"/>
    <n v="1"/>
    <n v="0"/>
    <n v="0"/>
    <n v="5.7"/>
    <n v="0"/>
    <n v="0"/>
    <n v="6.5703266892577075"/>
    <m/>
    <m/>
    <n v="1425"/>
    <n v="0"/>
    <n v="1642.5816723144269"/>
    <n v="0"/>
    <x v="0"/>
  </r>
  <r>
    <s v="Regular"/>
    <x v="0"/>
    <x v="0"/>
    <x v="0"/>
    <x v="0"/>
    <x v="0"/>
    <x v="0"/>
    <x v="0"/>
    <x v="2"/>
    <n v="6000"/>
    <n v="3000"/>
    <n v="0"/>
    <n v="0"/>
    <n v="0"/>
    <n v="0"/>
    <n v="0"/>
    <s v="GERAÇÃO"/>
    <n v="659"/>
    <n v="1"/>
    <n v="0"/>
    <n v="0"/>
    <n v="5.7"/>
    <n v="0"/>
    <n v="0"/>
    <n v="6.5703266892577075"/>
    <m/>
    <m/>
    <n v="17100"/>
    <n v="0"/>
    <n v="19710.980067773122"/>
    <n v="0"/>
    <x v="0"/>
  </r>
  <r>
    <s v="Regular"/>
    <x v="0"/>
    <x v="0"/>
    <x v="0"/>
    <x v="0"/>
    <x v="0"/>
    <x v="1"/>
    <x v="0"/>
    <x v="2"/>
    <n v="833"/>
    <n v="416.5"/>
    <n v="0"/>
    <n v="0"/>
    <n v="0"/>
    <n v="0"/>
    <n v="0"/>
    <s v="GERAÇÃO"/>
    <n v="29592"/>
    <n v="1"/>
    <n v="0"/>
    <n v="0"/>
    <n v="5.7"/>
    <n v="0"/>
    <n v="0"/>
    <n v="6.5703266892577075"/>
    <m/>
    <m/>
    <n v="2374.0500000000002"/>
    <n v="0"/>
    <n v="2736.5410660758353"/>
    <n v="0"/>
    <x v="0"/>
  </r>
  <r>
    <s v="Regular"/>
    <x v="0"/>
    <x v="0"/>
    <x v="0"/>
    <x v="0"/>
    <x v="0"/>
    <x v="2"/>
    <x v="0"/>
    <x v="2"/>
    <n v="1000"/>
    <n v="500"/>
    <n v="0"/>
    <n v="0"/>
    <n v="0"/>
    <n v="0"/>
    <n v="0"/>
    <s v="GERAÇÃO"/>
    <n v="30368"/>
    <n v="1"/>
    <n v="0"/>
    <n v="0"/>
    <n v="5.7"/>
    <n v="0"/>
    <n v="0"/>
    <n v="6.5703266892577075"/>
    <m/>
    <m/>
    <n v="2850"/>
    <n v="0"/>
    <n v="3285.1633446288538"/>
    <n v="0"/>
    <x v="0"/>
  </r>
  <r>
    <s v="Regular"/>
    <x v="0"/>
    <x v="0"/>
    <x v="0"/>
    <x v="0"/>
    <x v="0"/>
    <x v="3"/>
    <x v="0"/>
    <x v="2"/>
    <n v="3130"/>
    <n v="1565"/>
    <n v="0"/>
    <n v="0"/>
    <n v="0"/>
    <n v="0"/>
    <n v="0"/>
    <s v="GERAÇÃO"/>
    <n v="30494"/>
    <n v="1"/>
    <n v="0"/>
    <n v="0"/>
    <n v="5.7"/>
    <n v="0"/>
    <n v="0"/>
    <n v="6.5703266892577075"/>
    <m/>
    <m/>
    <n v="8920.5"/>
    <n v="0"/>
    <n v="10282.561268688312"/>
    <n v="0"/>
    <x v="0"/>
  </r>
  <r>
    <s v="Regular"/>
    <x v="0"/>
    <x v="0"/>
    <x v="0"/>
    <x v="0"/>
    <x v="0"/>
    <x v="4"/>
    <x v="0"/>
    <x v="2"/>
    <n v="500"/>
    <n v="250"/>
    <n v="0"/>
    <n v="0"/>
    <n v="0"/>
    <n v="0"/>
    <n v="0"/>
    <s v="GERAÇÃO"/>
    <n v="27182"/>
    <n v="1"/>
    <n v="0"/>
    <n v="0"/>
    <n v="5.7"/>
    <n v="0"/>
    <n v="0"/>
    <n v="6.5703266892577075"/>
    <m/>
    <m/>
    <n v="1425"/>
    <n v="0"/>
    <n v="1642.5816723144269"/>
    <n v="0"/>
    <x v="0"/>
  </r>
  <r>
    <s v="Regular"/>
    <x v="0"/>
    <x v="0"/>
    <x v="0"/>
    <x v="0"/>
    <x v="0"/>
    <x v="0"/>
    <x v="0"/>
    <x v="3"/>
    <n v="6000"/>
    <n v="3000"/>
    <n v="0"/>
    <n v="0"/>
    <n v="0"/>
    <n v="0"/>
    <n v="0"/>
    <s v="GERAÇÃO"/>
    <n v="659"/>
    <n v="1"/>
    <n v="0"/>
    <n v="0"/>
    <n v="5.7"/>
    <n v="0"/>
    <n v="0"/>
    <n v="6.5703266892577075"/>
    <m/>
    <m/>
    <n v="17100"/>
    <n v="0"/>
    <n v="19710.980067773122"/>
    <n v="0"/>
    <x v="0"/>
  </r>
  <r>
    <s v="Regular"/>
    <x v="0"/>
    <x v="0"/>
    <x v="0"/>
    <x v="0"/>
    <x v="0"/>
    <x v="1"/>
    <x v="0"/>
    <x v="3"/>
    <n v="833"/>
    <n v="416.5"/>
    <n v="0"/>
    <n v="0"/>
    <n v="0"/>
    <n v="0"/>
    <n v="0"/>
    <s v="GERAÇÃO"/>
    <n v="29592"/>
    <n v="1"/>
    <n v="0"/>
    <n v="0"/>
    <n v="5.7"/>
    <n v="0"/>
    <n v="0"/>
    <n v="6.5703266892577075"/>
    <m/>
    <m/>
    <n v="2374.0500000000002"/>
    <n v="0"/>
    <n v="2736.5410660758353"/>
    <n v="0"/>
    <x v="0"/>
  </r>
  <r>
    <s v="Regular"/>
    <x v="0"/>
    <x v="0"/>
    <x v="0"/>
    <x v="0"/>
    <x v="0"/>
    <x v="2"/>
    <x v="0"/>
    <x v="3"/>
    <n v="1000"/>
    <n v="500"/>
    <n v="0"/>
    <n v="0"/>
    <n v="0"/>
    <n v="0"/>
    <n v="0"/>
    <s v="GERAÇÃO"/>
    <n v="30368"/>
    <n v="1"/>
    <n v="0"/>
    <n v="0"/>
    <n v="5.7"/>
    <n v="0"/>
    <n v="0"/>
    <n v="6.5703266892577075"/>
    <m/>
    <m/>
    <n v="2850"/>
    <n v="0"/>
    <n v="3285.1633446288538"/>
    <n v="0"/>
    <x v="0"/>
  </r>
  <r>
    <s v="Regular"/>
    <x v="0"/>
    <x v="0"/>
    <x v="0"/>
    <x v="0"/>
    <x v="0"/>
    <x v="3"/>
    <x v="0"/>
    <x v="3"/>
    <n v="3130"/>
    <n v="1565"/>
    <n v="0"/>
    <n v="0"/>
    <n v="0"/>
    <n v="0"/>
    <n v="0"/>
    <s v="GERAÇÃO"/>
    <n v="30494"/>
    <n v="1"/>
    <n v="0"/>
    <n v="0"/>
    <n v="5.7"/>
    <n v="0"/>
    <n v="0"/>
    <n v="6.5703266892577075"/>
    <m/>
    <m/>
    <n v="8920.5"/>
    <n v="0"/>
    <n v="10282.561268688312"/>
    <n v="0"/>
    <x v="0"/>
  </r>
  <r>
    <s v="Regular"/>
    <x v="0"/>
    <x v="0"/>
    <x v="0"/>
    <x v="0"/>
    <x v="0"/>
    <x v="4"/>
    <x v="0"/>
    <x v="3"/>
    <n v="500"/>
    <n v="250"/>
    <n v="0"/>
    <n v="0"/>
    <n v="0"/>
    <n v="0"/>
    <n v="0"/>
    <s v="GERAÇÃO"/>
    <n v="27182"/>
    <n v="1"/>
    <n v="0"/>
    <n v="0"/>
    <n v="5.7"/>
    <n v="0"/>
    <n v="0"/>
    <n v="6.5703266892577075"/>
    <m/>
    <m/>
    <n v="1425"/>
    <n v="0"/>
    <n v="1642.5816723144269"/>
    <n v="0"/>
    <x v="0"/>
  </r>
  <r>
    <s v="Regular"/>
    <x v="0"/>
    <x v="0"/>
    <x v="0"/>
    <x v="0"/>
    <x v="0"/>
    <x v="0"/>
    <x v="0"/>
    <x v="4"/>
    <n v="6000"/>
    <n v="3000"/>
    <n v="0"/>
    <n v="0"/>
    <n v="0"/>
    <n v="0"/>
    <n v="0"/>
    <s v="GERAÇÃO"/>
    <n v="659"/>
    <n v="1"/>
    <n v="0"/>
    <n v="0"/>
    <n v="5.7"/>
    <n v="0"/>
    <n v="0"/>
    <n v="6.5703266892577075"/>
    <m/>
    <m/>
    <n v="17100"/>
    <n v="0"/>
    <n v="19710.980067773122"/>
    <n v="0"/>
    <x v="0"/>
  </r>
  <r>
    <s v="Regular"/>
    <x v="0"/>
    <x v="0"/>
    <x v="0"/>
    <x v="0"/>
    <x v="0"/>
    <x v="1"/>
    <x v="0"/>
    <x v="4"/>
    <n v="833"/>
    <n v="416.5"/>
    <n v="0"/>
    <n v="0"/>
    <n v="0"/>
    <n v="0"/>
    <n v="0"/>
    <s v="GERAÇÃO"/>
    <n v="29592"/>
    <n v="1"/>
    <n v="0"/>
    <n v="0"/>
    <n v="5.7"/>
    <n v="0"/>
    <n v="0"/>
    <n v="6.5703266892577075"/>
    <m/>
    <m/>
    <n v="2374.0500000000002"/>
    <n v="0"/>
    <n v="2736.5410660758353"/>
    <n v="0"/>
    <x v="0"/>
  </r>
  <r>
    <s v="Regular"/>
    <x v="0"/>
    <x v="0"/>
    <x v="0"/>
    <x v="0"/>
    <x v="0"/>
    <x v="2"/>
    <x v="0"/>
    <x v="4"/>
    <n v="1000"/>
    <n v="500"/>
    <n v="0"/>
    <n v="0"/>
    <n v="0"/>
    <n v="0"/>
    <n v="0"/>
    <s v="GERAÇÃO"/>
    <n v="30368"/>
    <n v="1"/>
    <n v="0"/>
    <n v="0"/>
    <n v="5.7"/>
    <n v="0"/>
    <n v="0"/>
    <n v="6.5703266892577075"/>
    <m/>
    <m/>
    <n v="2850"/>
    <n v="0"/>
    <n v="3285.1633446288538"/>
    <n v="0"/>
    <x v="0"/>
  </r>
  <r>
    <s v="Regular"/>
    <x v="0"/>
    <x v="0"/>
    <x v="0"/>
    <x v="0"/>
    <x v="0"/>
    <x v="3"/>
    <x v="0"/>
    <x v="4"/>
    <n v="3130"/>
    <n v="1565"/>
    <n v="0"/>
    <n v="0"/>
    <n v="0"/>
    <n v="0"/>
    <n v="0"/>
    <s v="GERAÇÃO"/>
    <n v="30494"/>
    <n v="1"/>
    <n v="0"/>
    <n v="0"/>
    <n v="5.7"/>
    <n v="0"/>
    <n v="0"/>
    <n v="6.5703266892577075"/>
    <m/>
    <m/>
    <n v="8920.5"/>
    <n v="0"/>
    <n v="10282.561268688312"/>
    <n v="0"/>
    <x v="0"/>
  </r>
  <r>
    <s v="Regular"/>
    <x v="0"/>
    <x v="0"/>
    <x v="0"/>
    <x v="0"/>
    <x v="0"/>
    <x v="4"/>
    <x v="0"/>
    <x v="4"/>
    <n v="500"/>
    <n v="250"/>
    <n v="0"/>
    <n v="0"/>
    <n v="0"/>
    <n v="0"/>
    <n v="0"/>
    <s v="GERAÇÃO"/>
    <n v="27182"/>
    <n v="1"/>
    <n v="0"/>
    <n v="0"/>
    <n v="5.7"/>
    <n v="0"/>
    <n v="0"/>
    <n v="6.5703266892577075"/>
    <m/>
    <m/>
    <n v="1425"/>
    <n v="0"/>
    <n v="1642.5816723144269"/>
    <n v="0"/>
    <x v="0"/>
  </r>
  <r>
    <s v="Regular"/>
    <x v="0"/>
    <x v="0"/>
    <x v="0"/>
    <x v="0"/>
    <x v="0"/>
    <x v="0"/>
    <x v="0"/>
    <x v="5"/>
    <n v="6000"/>
    <n v="3000"/>
    <n v="0"/>
    <n v="0"/>
    <n v="0"/>
    <n v="0"/>
    <n v="0"/>
    <s v="GERAÇÃO"/>
    <n v="659"/>
    <n v="1"/>
    <n v="0"/>
    <n v="0"/>
    <n v="5.7"/>
    <n v="0"/>
    <n v="0"/>
    <n v="6.5703266892577075"/>
    <m/>
    <m/>
    <n v="17100"/>
    <n v="0"/>
    <n v="19710.980067773122"/>
    <n v="0"/>
    <x v="0"/>
  </r>
  <r>
    <s v="Regular"/>
    <x v="0"/>
    <x v="0"/>
    <x v="0"/>
    <x v="0"/>
    <x v="0"/>
    <x v="1"/>
    <x v="0"/>
    <x v="5"/>
    <n v="833"/>
    <n v="416.5"/>
    <n v="0"/>
    <n v="0"/>
    <n v="0"/>
    <n v="0"/>
    <n v="0"/>
    <s v="GERAÇÃO"/>
    <n v="29592"/>
    <n v="1"/>
    <n v="0"/>
    <n v="0"/>
    <n v="5.7"/>
    <n v="0"/>
    <n v="0"/>
    <n v="6.5703266892577075"/>
    <m/>
    <m/>
    <n v="2374.0500000000002"/>
    <n v="0"/>
    <n v="2736.5410660758353"/>
    <n v="0"/>
    <x v="0"/>
  </r>
  <r>
    <s v="Regular"/>
    <x v="0"/>
    <x v="0"/>
    <x v="0"/>
    <x v="0"/>
    <x v="0"/>
    <x v="2"/>
    <x v="0"/>
    <x v="5"/>
    <n v="1000"/>
    <n v="500"/>
    <n v="0"/>
    <n v="0"/>
    <n v="0"/>
    <n v="0"/>
    <n v="0"/>
    <s v="GERAÇÃO"/>
    <n v="30368"/>
    <n v="1"/>
    <n v="0"/>
    <n v="0"/>
    <n v="5.7"/>
    <n v="0"/>
    <n v="0"/>
    <n v="6.5703266892577075"/>
    <m/>
    <m/>
    <n v="2850"/>
    <n v="0"/>
    <n v="3285.1633446288538"/>
    <n v="0"/>
    <x v="0"/>
  </r>
  <r>
    <s v="Regular"/>
    <x v="0"/>
    <x v="0"/>
    <x v="0"/>
    <x v="0"/>
    <x v="0"/>
    <x v="3"/>
    <x v="0"/>
    <x v="5"/>
    <n v="3130"/>
    <n v="1565"/>
    <n v="0"/>
    <n v="0"/>
    <n v="0"/>
    <n v="0"/>
    <n v="0"/>
    <s v="GERAÇÃO"/>
    <n v="30494"/>
    <n v="1"/>
    <n v="0"/>
    <n v="0"/>
    <n v="5.7"/>
    <n v="0"/>
    <n v="0"/>
    <n v="6.5703266892577075"/>
    <m/>
    <m/>
    <n v="8920.5"/>
    <n v="0"/>
    <n v="10282.561268688312"/>
    <n v="0"/>
    <x v="0"/>
  </r>
  <r>
    <s v="Regular"/>
    <x v="0"/>
    <x v="0"/>
    <x v="0"/>
    <x v="0"/>
    <x v="0"/>
    <x v="4"/>
    <x v="0"/>
    <x v="5"/>
    <n v="500"/>
    <n v="250"/>
    <n v="0"/>
    <n v="0"/>
    <n v="0"/>
    <n v="0"/>
    <n v="0"/>
    <s v="GERAÇÃO"/>
    <n v="27182"/>
    <n v="1"/>
    <n v="0"/>
    <n v="0"/>
    <n v="5.7"/>
    <n v="0"/>
    <n v="0"/>
    <n v="6.5703266892577075"/>
    <m/>
    <m/>
    <n v="1425"/>
    <n v="0"/>
    <n v="1642.5816723144269"/>
    <n v="0"/>
    <x v="0"/>
  </r>
  <r>
    <s v="Regular"/>
    <x v="0"/>
    <x v="0"/>
    <x v="0"/>
    <x v="0"/>
    <x v="0"/>
    <x v="0"/>
    <x v="0"/>
    <x v="6"/>
    <n v="6000"/>
    <n v="3000"/>
    <n v="0"/>
    <n v="0"/>
    <n v="0"/>
    <n v="0"/>
    <n v="0"/>
    <s v="GERAÇÃO"/>
    <n v="659"/>
    <n v="1"/>
    <n v="0"/>
    <n v="0"/>
    <n v="5.7"/>
    <n v="0"/>
    <n v="0"/>
    <n v="6.5703266892577075"/>
    <m/>
    <m/>
    <n v="17100"/>
    <n v="0"/>
    <n v="19710.980067773122"/>
    <n v="0"/>
    <x v="0"/>
  </r>
  <r>
    <s v="Regular"/>
    <x v="0"/>
    <x v="0"/>
    <x v="0"/>
    <x v="0"/>
    <x v="0"/>
    <x v="1"/>
    <x v="0"/>
    <x v="6"/>
    <n v="833"/>
    <n v="416.5"/>
    <n v="0"/>
    <n v="0"/>
    <n v="0"/>
    <n v="0"/>
    <n v="0"/>
    <s v="GERAÇÃO"/>
    <n v="29592"/>
    <n v="1"/>
    <n v="0"/>
    <n v="0"/>
    <n v="5.7"/>
    <n v="0"/>
    <n v="0"/>
    <n v="6.5703266892577075"/>
    <m/>
    <m/>
    <n v="2374.0500000000002"/>
    <n v="0"/>
    <n v="2736.5410660758353"/>
    <n v="0"/>
    <x v="0"/>
  </r>
  <r>
    <s v="Regular"/>
    <x v="0"/>
    <x v="0"/>
    <x v="0"/>
    <x v="0"/>
    <x v="0"/>
    <x v="2"/>
    <x v="0"/>
    <x v="6"/>
    <n v="1000"/>
    <n v="500"/>
    <n v="0"/>
    <n v="0"/>
    <n v="0"/>
    <n v="0"/>
    <n v="0"/>
    <s v="GERAÇÃO"/>
    <n v="30368"/>
    <n v="1"/>
    <n v="0"/>
    <n v="0"/>
    <n v="5.7"/>
    <n v="0"/>
    <n v="0"/>
    <n v="6.5703266892577075"/>
    <m/>
    <m/>
    <n v="2850"/>
    <n v="0"/>
    <n v="3285.1633446288538"/>
    <n v="0"/>
    <x v="0"/>
  </r>
  <r>
    <s v="Regular"/>
    <x v="0"/>
    <x v="0"/>
    <x v="0"/>
    <x v="0"/>
    <x v="0"/>
    <x v="3"/>
    <x v="0"/>
    <x v="6"/>
    <n v="3130"/>
    <n v="1565"/>
    <n v="0"/>
    <n v="0"/>
    <n v="0"/>
    <n v="0"/>
    <n v="0"/>
    <s v="GERAÇÃO"/>
    <n v="30494"/>
    <n v="1"/>
    <n v="0"/>
    <n v="0"/>
    <n v="5.7"/>
    <n v="0"/>
    <n v="0"/>
    <n v="6.5703266892577075"/>
    <m/>
    <m/>
    <n v="8920.5"/>
    <n v="0"/>
    <n v="10282.561268688312"/>
    <n v="0"/>
    <x v="0"/>
  </r>
  <r>
    <s v="Regular"/>
    <x v="0"/>
    <x v="0"/>
    <x v="0"/>
    <x v="0"/>
    <x v="0"/>
    <x v="4"/>
    <x v="0"/>
    <x v="6"/>
    <n v="500"/>
    <n v="250"/>
    <n v="0"/>
    <n v="0"/>
    <n v="0"/>
    <n v="0"/>
    <n v="0"/>
    <s v="GERAÇÃO"/>
    <n v="27182"/>
    <n v="1"/>
    <n v="0"/>
    <n v="0"/>
    <n v="5.7"/>
    <n v="0"/>
    <n v="0"/>
    <n v="6.5703266892577075"/>
    <m/>
    <m/>
    <n v="1425"/>
    <n v="0"/>
    <n v="1642.5816723144269"/>
    <n v="0"/>
    <x v="0"/>
  </r>
  <r>
    <s v="Regular"/>
    <x v="0"/>
    <x v="0"/>
    <x v="0"/>
    <x v="0"/>
    <x v="0"/>
    <x v="0"/>
    <x v="0"/>
    <x v="7"/>
    <n v="6000"/>
    <n v="3000"/>
    <n v="0"/>
    <n v="0"/>
    <n v="0"/>
    <n v="0"/>
    <n v="0"/>
    <s v="GERAÇÃO"/>
    <n v="659"/>
    <n v="1"/>
    <n v="0"/>
    <n v="0"/>
    <n v="5.7"/>
    <n v="0"/>
    <n v="0"/>
    <n v="6.5703266892577075"/>
    <m/>
    <m/>
    <n v="17100"/>
    <n v="0"/>
    <n v="19710.980067773122"/>
    <n v="0"/>
    <x v="0"/>
  </r>
  <r>
    <s v="Regular"/>
    <x v="0"/>
    <x v="0"/>
    <x v="0"/>
    <x v="0"/>
    <x v="0"/>
    <x v="1"/>
    <x v="0"/>
    <x v="7"/>
    <n v="833"/>
    <n v="416.5"/>
    <n v="0"/>
    <n v="0"/>
    <n v="0"/>
    <n v="0"/>
    <n v="0"/>
    <s v="GERAÇÃO"/>
    <n v="29592"/>
    <n v="1"/>
    <n v="0"/>
    <n v="0"/>
    <n v="5.7"/>
    <n v="0"/>
    <n v="0"/>
    <n v="6.5703266892577075"/>
    <m/>
    <m/>
    <n v="2374.0500000000002"/>
    <n v="0"/>
    <n v="2736.5410660758353"/>
    <n v="0"/>
    <x v="0"/>
  </r>
  <r>
    <s v="Regular"/>
    <x v="0"/>
    <x v="0"/>
    <x v="0"/>
    <x v="0"/>
    <x v="0"/>
    <x v="2"/>
    <x v="0"/>
    <x v="7"/>
    <n v="1000"/>
    <n v="500"/>
    <n v="0"/>
    <n v="0"/>
    <n v="0"/>
    <n v="0"/>
    <n v="0"/>
    <s v="GERAÇÃO"/>
    <n v="30368"/>
    <n v="1"/>
    <n v="0"/>
    <n v="0"/>
    <n v="5.7"/>
    <n v="0"/>
    <n v="0"/>
    <n v="6.5703266892577075"/>
    <m/>
    <m/>
    <n v="2850"/>
    <n v="0"/>
    <n v="3285.1633446288538"/>
    <n v="0"/>
    <x v="0"/>
  </r>
  <r>
    <s v="Regular"/>
    <x v="0"/>
    <x v="0"/>
    <x v="0"/>
    <x v="0"/>
    <x v="0"/>
    <x v="3"/>
    <x v="0"/>
    <x v="7"/>
    <n v="3130"/>
    <n v="1565"/>
    <n v="0"/>
    <n v="0"/>
    <n v="0"/>
    <n v="0"/>
    <n v="0"/>
    <s v="GERAÇÃO"/>
    <n v="30494"/>
    <n v="1"/>
    <n v="0"/>
    <n v="0"/>
    <n v="5.7"/>
    <n v="0"/>
    <n v="0"/>
    <n v="6.5703266892577075"/>
    <m/>
    <m/>
    <n v="8920.5"/>
    <n v="0"/>
    <n v="10282.561268688312"/>
    <n v="0"/>
    <x v="0"/>
  </r>
  <r>
    <s v="Regular"/>
    <x v="0"/>
    <x v="0"/>
    <x v="0"/>
    <x v="0"/>
    <x v="0"/>
    <x v="4"/>
    <x v="0"/>
    <x v="7"/>
    <n v="500"/>
    <n v="250"/>
    <n v="0"/>
    <n v="0"/>
    <n v="0"/>
    <n v="0"/>
    <n v="0"/>
    <s v="GERAÇÃO"/>
    <n v="27182"/>
    <n v="1"/>
    <n v="0"/>
    <n v="0"/>
    <n v="5.7"/>
    <n v="0"/>
    <n v="0"/>
    <n v="6.5703266892577075"/>
    <m/>
    <m/>
    <n v="1425"/>
    <n v="0"/>
    <n v="1642.5816723144269"/>
    <n v="0"/>
    <x v="0"/>
  </r>
  <r>
    <s v="Regular"/>
    <x v="0"/>
    <x v="0"/>
    <x v="0"/>
    <x v="0"/>
    <x v="0"/>
    <x v="0"/>
    <x v="0"/>
    <x v="8"/>
    <n v="6000"/>
    <n v="3000"/>
    <n v="0"/>
    <n v="0"/>
    <n v="0"/>
    <n v="0"/>
    <n v="0"/>
    <s v="GERAÇÃO"/>
    <n v="659"/>
    <n v="1"/>
    <n v="0"/>
    <n v="0"/>
    <n v="5.7"/>
    <n v="0"/>
    <n v="0"/>
    <n v="6.5703266892577075"/>
    <m/>
    <m/>
    <n v="17100"/>
    <n v="0"/>
    <n v="19710.980067773122"/>
    <n v="0"/>
    <x v="0"/>
  </r>
  <r>
    <s v="Regular"/>
    <x v="0"/>
    <x v="0"/>
    <x v="0"/>
    <x v="0"/>
    <x v="0"/>
    <x v="1"/>
    <x v="0"/>
    <x v="8"/>
    <n v="833"/>
    <n v="416.5"/>
    <n v="0"/>
    <n v="0"/>
    <n v="0"/>
    <n v="0"/>
    <n v="0"/>
    <s v="GERAÇÃO"/>
    <n v="29592"/>
    <n v="1"/>
    <n v="0"/>
    <n v="0"/>
    <n v="5.7"/>
    <n v="0"/>
    <n v="0"/>
    <n v="6.5703266892577075"/>
    <m/>
    <m/>
    <n v="2374.0500000000002"/>
    <n v="0"/>
    <n v="2736.5410660758353"/>
    <n v="0"/>
    <x v="0"/>
  </r>
  <r>
    <s v="Regular"/>
    <x v="0"/>
    <x v="0"/>
    <x v="0"/>
    <x v="0"/>
    <x v="0"/>
    <x v="2"/>
    <x v="0"/>
    <x v="8"/>
    <n v="1000"/>
    <n v="500"/>
    <n v="0"/>
    <n v="0"/>
    <n v="0"/>
    <n v="0"/>
    <n v="0"/>
    <s v="GERAÇÃO"/>
    <n v="30368"/>
    <n v="1"/>
    <n v="0"/>
    <n v="0"/>
    <n v="5.7"/>
    <n v="0"/>
    <n v="0"/>
    <n v="6.5703266892577075"/>
    <m/>
    <m/>
    <n v="2850"/>
    <n v="0"/>
    <n v="3285.1633446288538"/>
    <n v="0"/>
    <x v="0"/>
  </r>
  <r>
    <s v="Regular"/>
    <x v="0"/>
    <x v="0"/>
    <x v="0"/>
    <x v="0"/>
    <x v="0"/>
    <x v="3"/>
    <x v="0"/>
    <x v="8"/>
    <n v="3130"/>
    <n v="1565"/>
    <n v="0"/>
    <n v="0"/>
    <n v="0"/>
    <n v="0"/>
    <n v="0"/>
    <s v="GERAÇÃO"/>
    <n v="30494"/>
    <n v="1"/>
    <n v="0"/>
    <n v="0"/>
    <n v="5.7"/>
    <n v="0"/>
    <n v="0"/>
    <n v="6.5703266892577075"/>
    <m/>
    <m/>
    <n v="8920.5"/>
    <n v="0"/>
    <n v="10282.561268688312"/>
    <n v="0"/>
    <x v="0"/>
  </r>
  <r>
    <s v="Regular"/>
    <x v="0"/>
    <x v="0"/>
    <x v="0"/>
    <x v="0"/>
    <x v="0"/>
    <x v="4"/>
    <x v="0"/>
    <x v="8"/>
    <n v="500"/>
    <n v="250"/>
    <n v="0"/>
    <n v="0"/>
    <n v="0"/>
    <n v="0"/>
    <n v="0"/>
    <s v="GERAÇÃO"/>
    <n v="27182"/>
    <n v="1"/>
    <n v="0"/>
    <n v="0"/>
    <n v="5.7"/>
    <n v="0"/>
    <n v="0"/>
    <n v="6.5703266892577075"/>
    <m/>
    <m/>
    <n v="1425"/>
    <n v="0"/>
    <n v="1642.5816723144269"/>
    <n v="0"/>
    <x v="0"/>
  </r>
  <r>
    <s v="Regular"/>
    <x v="0"/>
    <x v="0"/>
    <x v="0"/>
    <x v="0"/>
    <x v="0"/>
    <x v="0"/>
    <x v="0"/>
    <x v="9"/>
    <n v="6000"/>
    <n v="3000"/>
    <n v="0"/>
    <n v="0"/>
    <n v="0"/>
    <n v="0"/>
    <n v="0"/>
    <s v="GERAÇÃO"/>
    <n v="659"/>
    <n v="1"/>
    <n v="0"/>
    <n v="0"/>
    <n v="5.7"/>
    <n v="0"/>
    <n v="0"/>
    <n v="6.5703266892577075"/>
    <m/>
    <m/>
    <n v="17100"/>
    <n v="0"/>
    <n v="19710.980067773122"/>
    <n v="0"/>
    <x v="0"/>
  </r>
  <r>
    <s v="Regular"/>
    <x v="0"/>
    <x v="0"/>
    <x v="0"/>
    <x v="0"/>
    <x v="0"/>
    <x v="1"/>
    <x v="0"/>
    <x v="9"/>
    <n v="833"/>
    <n v="416.5"/>
    <n v="0"/>
    <n v="0"/>
    <n v="0"/>
    <n v="0"/>
    <n v="0"/>
    <s v="GERAÇÃO"/>
    <n v="29592"/>
    <n v="1"/>
    <n v="0"/>
    <n v="0"/>
    <n v="5.7"/>
    <n v="0"/>
    <n v="0"/>
    <n v="6.5703266892577075"/>
    <m/>
    <m/>
    <n v="2374.0500000000002"/>
    <n v="0"/>
    <n v="2736.5410660758353"/>
    <n v="0"/>
    <x v="0"/>
  </r>
  <r>
    <s v="Regular"/>
    <x v="0"/>
    <x v="0"/>
    <x v="0"/>
    <x v="0"/>
    <x v="0"/>
    <x v="2"/>
    <x v="0"/>
    <x v="9"/>
    <n v="1000"/>
    <n v="500"/>
    <n v="0"/>
    <n v="0"/>
    <n v="0"/>
    <n v="0"/>
    <n v="0"/>
    <s v="GERAÇÃO"/>
    <n v="30368"/>
    <n v="1"/>
    <n v="0"/>
    <n v="0"/>
    <n v="5.7"/>
    <n v="0"/>
    <n v="0"/>
    <n v="6.5703266892577075"/>
    <m/>
    <m/>
    <n v="2850"/>
    <n v="0"/>
    <n v="3285.1633446288538"/>
    <n v="0"/>
    <x v="0"/>
  </r>
  <r>
    <s v="Regular"/>
    <x v="0"/>
    <x v="0"/>
    <x v="0"/>
    <x v="0"/>
    <x v="0"/>
    <x v="3"/>
    <x v="0"/>
    <x v="9"/>
    <n v="3130"/>
    <n v="1565"/>
    <n v="0"/>
    <n v="0"/>
    <n v="0"/>
    <n v="0"/>
    <n v="0"/>
    <s v="GERAÇÃO"/>
    <n v="30494"/>
    <n v="1"/>
    <n v="0"/>
    <n v="0"/>
    <n v="5.7"/>
    <n v="0"/>
    <n v="0"/>
    <n v="6.5703266892577075"/>
    <m/>
    <m/>
    <n v="8920.5"/>
    <n v="0"/>
    <n v="10282.561268688312"/>
    <n v="0"/>
    <x v="0"/>
  </r>
  <r>
    <s v="Regular"/>
    <x v="0"/>
    <x v="0"/>
    <x v="0"/>
    <x v="0"/>
    <x v="0"/>
    <x v="4"/>
    <x v="0"/>
    <x v="9"/>
    <n v="500"/>
    <n v="250"/>
    <n v="0"/>
    <n v="0"/>
    <n v="0"/>
    <n v="0"/>
    <n v="0"/>
    <s v="GERAÇÃO"/>
    <n v="27182"/>
    <n v="1"/>
    <n v="0"/>
    <n v="0"/>
    <n v="5.7"/>
    <n v="0"/>
    <n v="0"/>
    <n v="6.5703266892577075"/>
    <m/>
    <m/>
    <n v="1425"/>
    <n v="0"/>
    <n v="1642.5816723144269"/>
    <n v="0"/>
    <x v="0"/>
  </r>
  <r>
    <s v="Regular"/>
    <x v="0"/>
    <x v="0"/>
    <x v="0"/>
    <x v="0"/>
    <x v="0"/>
    <x v="0"/>
    <x v="0"/>
    <x v="10"/>
    <n v="6000"/>
    <n v="3000"/>
    <n v="0"/>
    <n v="0"/>
    <n v="0"/>
    <n v="0"/>
    <n v="0"/>
    <s v="GERAÇÃO"/>
    <n v="659"/>
    <n v="1"/>
    <n v="0"/>
    <n v="0"/>
    <n v="5.7"/>
    <n v="0"/>
    <n v="0"/>
    <n v="6.5703266892577075"/>
    <m/>
    <m/>
    <n v="17100"/>
    <n v="0"/>
    <n v="19710.980067773122"/>
    <n v="0"/>
    <x v="0"/>
  </r>
  <r>
    <s v="Regular"/>
    <x v="0"/>
    <x v="0"/>
    <x v="0"/>
    <x v="0"/>
    <x v="0"/>
    <x v="1"/>
    <x v="0"/>
    <x v="10"/>
    <n v="833"/>
    <n v="416.5"/>
    <n v="0"/>
    <n v="0"/>
    <n v="0"/>
    <n v="0"/>
    <n v="0"/>
    <s v="GERAÇÃO"/>
    <n v="29592"/>
    <n v="1"/>
    <n v="0"/>
    <n v="0"/>
    <n v="5.7"/>
    <n v="0"/>
    <n v="0"/>
    <n v="6.5703266892577075"/>
    <m/>
    <m/>
    <n v="2374.0500000000002"/>
    <n v="0"/>
    <n v="2736.5410660758353"/>
    <n v="0"/>
    <x v="0"/>
  </r>
  <r>
    <s v="Regular"/>
    <x v="0"/>
    <x v="0"/>
    <x v="0"/>
    <x v="0"/>
    <x v="0"/>
    <x v="2"/>
    <x v="0"/>
    <x v="10"/>
    <n v="1000"/>
    <n v="500"/>
    <n v="0"/>
    <n v="0"/>
    <n v="0"/>
    <n v="0"/>
    <n v="0"/>
    <s v="GERAÇÃO"/>
    <n v="30368"/>
    <n v="1"/>
    <n v="0"/>
    <n v="0"/>
    <n v="5.7"/>
    <n v="0"/>
    <n v="0"/>
    <n v="6.5703266892577075"/>
    <m/>
    <m/>
    <n v="2850"/>
    <n v="0"/>
    <n v="3285.1633446288538"/>
    <n v="0"/>
    <x v="0"/>
  </r>
  <r>
    <s v="Regular"/>
    <x v="0"/>
    <x v="0"/>
    <x v="0"/>
    <x v="0"/>
    <x v="0"/>
    <x v="3"/>
    <x v="0"/>
    <x v="10"/>
    <n v="3130"/>
    <n v="1565"/>
    <n v="0"/>
    <n v="0"/>
    <n v="0"/>
    <n v="0"/>
    <n v="0"/>
    <s v="GERAÇÃO"/>
    <n v="30494"/>
    <n v="1"/>
    <n v="0"/>
    <n v="0"/>
    <n v="5.7"/>
    <n v="0"/>
    <n v="0"/>
    <n v="6.5703266892577075"/>
    <m/>
    <m/>
    <n v="8920.5"/>
    <n v="0"/>
    <n v="10282.561268688312"/>
    <n v="0"/>
    <x v="0"/>
  </r>
  <r>
    <s v="Regular"/>
    <x v="0"/>
    <x v="0"/>
    <x v="0"/>
    <x v="0"/>
    <x v="0"/>
    <x v="4"/>
    <x v="0"/>
    <x v="10"/>
    <n v="500"/>
    <n v="250"/>
    <n v="0"/>
    <n v="0"/>
    <n v="0"/>
    <n v="0"/>
    <n v="0"/>
    <s v="GERAÇÃO"/>
    <n v="27182"/>
    <n v="1"/>
    <n v="0"/>
    <n v="0"/>
    <n v="5.7"/>
    <n v="0"/>
    <n v="0"/>
    <n v="6.5703266892577075"/>
    <m/>
    <m/>
    <n v="1425"/>
    <n v="0"/>
    <n v="1642.5816723144269"/>
    <n v="0"/>
    <x v="0"/>
  </r>
  <r>
    <s v="PROJETADO"/>
    <x v="0"/>
    <x v="0"/>
    <x v="0"/>
    <x v="0"/>
    <x v="0"/>
    <x v="0"/>
    <x v="0"/>
    <x v="11"/>
    <n v="6000"/>
    <n v="3000"/>
    <n v="0"/>
    <n v="0"/>
    <n v="0"/>
    <n v="0"/>
    <n v="0"/>
    <s v="GERAÇÃO"/>
    <n v="659"/>
    <n v="1"/>
    <n v="0"/>
    <n v="0"/>
    <n v="5.7"/>
    <n v="0"/>
    <n v="0"/>
    <n v="6.5703266892577075"/>
    <m/>
    <m/>
    <n v="17100"/>
    <n v="0"/>
    <n v="19710.980067773122"/>
    <n v="0"/>
    <x v="0"/>
  </r>
  <r>
    <s v="PROJETADO"/>
    <x v="0"/>
    <x v="0"/>
    <x v="0"/>
    <x v="0"/>
    <x v="0"/>
    <x v="1"/>
    <x v="0"/>
    <x v="11"/>
    <n v="833"/>
    <n v="416.5"/>
    <n v="0"/>
    <n v="0"/>
    <n v="0"/>
    <n v="0"/>
    <n v="0"/>
    <s v="GERAÇÃO"/>
    <n v="29592"/>
    <n v="1"/>
    <n v="0"/>
    <n v="0"/>
    <n v="5.7"/>
    <n v="0"/>
    <n v="0"/>
    <n v="6.5703266892577075"/>
    <m/>
    <m/>
    <n v="2374.0500000000002"/>
    <n v="0"/>
    <n v="2736.5410660758353"/>
    <n v="0"/>
    <x v="0"/>
  </r>
  <r>
    <s v="PROJETADO"/>
    <x v="0"/>
    <x v="0"/>
    <x v="0"/>
    <x v="0"/>
    <x v="0"/>
    <x v="2"/>
    <x v="0"/>
    <x v="11"/>
    <n v="1000"/>
    <n v="500"/>
    <n v="0"/>
    <n v="0"/>
    <n v="0"/>
    <n v="0"/>
    <n v="0"/>
    <s v="GERAÇÃO"/>
    <n v="30368"/>
    <n v="1"/>
    <n v="0"/>
    <n v="0"/>
    <n v="5.7"/>
    <n v="0"/>
    <n v="0"/>
    <n v="6.5703266892577075"/>
    <m/>
    <m/>
    <n v="2850"/>
    <n v="0"/>
    <n v="3285.1633446288538"/>
    <n v="0"/>
    <x v="0"/>
  </r>
  <r>
    <s v="PROJETADO"/>
    <x v="0"/>
    <x v="0"/>
    <x v="0"/>
    <x v="0"/>
    <x v="0"/>
    <x v="3"/>
    <x v="0"/>
    <x v="11"/>
    <n v="3130"/>
    <n v="1565"/>
    <n v="0"/>
    <n v="0"/>
    <n v="0"/>
    <n v="0"/>
    <n v="0"/>
    <s v="GERAÇÃO"/>
    <n v="30494"/>
    <n v="1"/>
    <n v="0"/>
    <n v="0"/>
    <n v="5.7"/>
    <n v="0"/>
    <n v="0"/>
    <n v="6.5703266892577075"/>
    <m/>
    <m/>
    <n v="8920.5"/>
    <n v="0"/>
    <n v="10282.561268688312"/>
    <n v="0"/>
    <x v="0"/>
  </r>
  <r>
    <s v="PROJETADO"/>
    <x v="0"/>
    <x v="0"/>
    <x v="0"/>
    <x v="0"/>
    <x v="0"/>
    <x v="4"/>
    <x v="0"/>
    <x v="11"/>
    <n v="500"/>
    <n v="250"/>
    <n v="0"/>
    <n v="0"/>
    <n v="0"/>
    <n v="0"/>
    <n v="0"/>
    <s v="GERAÇÃO"/>
    <n v="27182"/>
    <n v="1"/>
    <n v="0"/>
    <n v="0"/>
    <n v="5.7"/>
    <n v="0"/>
    <n v="0"/>
    <n v="6.5703266892577075"/>
    <m/>
    <m/>
    <n v="1425"/>
    <n v="0"/>
    <n v="1642.5816723144269"/>
    <n v="0"/>
    <x v="0"/>
  </r>
  <r>
    <s v="Regular"/>
    <x v="0"/>
    <x v="1"/>
    <x v="1"/>
    <x v="0"/>
    <x v="1"/>
    <x v="5"/>
    <x v="1"/>
    <x v="0"/>
    <n v="0"/>
    <n v="0"/>
    <n v="443.71600000000001"/>
    <n v="0"/>
    <n v="0"/>
    <n v="0"/>
    <n v="0"/>
    <s v="LIVRE"/>
    <n v="0"/>
    <n v="0"/>
    <n v="3"/>
    <n v="0"/>
    <n v="0"/>
    <n v="80.73"/>
    <n v="0"/>
    <m/>
    <n v="109.15710156873617"/>
    <m/>
    <n v="0"/>
    <n v="35821.19268"/>
    <n v="0"/>
    <n v="48434.752479673334"/>
    <x v="1"/>
  </r>
  <r>
    <s v="Regular"/>
    <x v="0"/>
    <x v="1"/>
    <x v="1"/>
    <x v="0"/>
    <x v="1"/>
    <x v="5"/>
    <x v="1"/>
    <x v="1"/>
    <n v="0"/>
    <n v="0"/>
    <n v="417.69299999999998"/>
    <n v="0"/>
    <n v="0"/>
    <n v="0"/>
    <n v="0"/>
    <s v="LIVRE"/>
    <n v="0"/>
    <n v="0"/>
    <n v="3"/>
    <n v="0"/>
    <n v="0"/>
    <n v="80.73"/>
    <n v="0"/>
    <m/>
    <n v="109.15710156873617"/>
    <m/>
    <n v="0"/>
    <n v="33720.355889999999"/>
    <n v="0"/>
    <n v="45594.157225550116"/>
    <x v="1"/>
  </r>
  <r>
    <s v="Regular"/>
    <x v="0"/>
    <x v="1"/>
    <x v="1"/>
    <x v="0"/>
    <x v="1"/>
    <x v="5"/>
    <x v="1"/>
    <x v="2"/>
    <n v="0"/>
    <n v="0"/>
    <n v="468.78100000000001"/>
    <n v="0"/>
    <n v="0"/>
    <n v="0"/>
    <n v="0"/>
    <s v="LIVRE"/>
    <n v="0"/>
    <n v="0"/>
    <n v="3"/>
    <n v="0"/>
    <n v="0"/>
    <n v="80.73"/>
    <n v="0"/>
    <m/>
    <n v="109.15710156873617"/>
    <m/>
    <n v="0"/>
    <n v="37844.690130000003"/>
    <n v="0"/>
    <n v="51170.775230493709"/>
    <x v="1"/>
  </r>
  <r>
    <s v="Regular"/>
    <x v="0"/>
    <x v="1"/>
    <x v="1"/>
    <x v="0"/>
    <x v="1"/>
    <x v="5"/>
    <x v="1"/>
    <x v="3"/>
    <n v="0"/>
    <n v="0"/>
    <n v="527.327"/>
    <n v="0"/>
    <n v="0"/>
    <n v="0"/>
    <n v="0"/>
    <s v="LIVRE"/>
    <n v="0"/>
    <n v="0"/>
    <n v="3"/>
    <n v="0"/>
    <n v="0"/>
    <n v="80.73"/>
    <n v="0"/>
    <m/>
    <n v="109.15710156873617"/>
    <m/>
    <n v="0"/>
    <n v="42571.10871"/>
    <n v="0"/>
    <n v="57561.486898936935"/>
    <x v="1"/>
  </r>
  <r>
    <s v="Regular"/>
    <x v="0"/>
    <x v="1"/>
    <x v="1"/>
    <x v="0"/>
    <x v="1"/>
    <x v="5"/>
    <x v="1"/>
    <x v="4"/>
    <n v="0"/>
    <n v="0"/>
    <n v="499.678"/>
    <n v="0"/>
    <n v="0"/>
    <n v="0"/>
    <n v="0"/>
    <s v="LIVRE"/>
    <n v="0"/>
    <n v="0"/>
    <n v="3"/>
    <n v="0"/>
    <n v="0"/>
    <n v="80.73"/>
    <n v="0"/>
    <m/>
    <n v="109.15710156873617"/>
    <m/>
    <n v="0"/>
    <n v="40339.004939999999"/>
    <n v="0"/>
    <n v="54543.402197662952"/>
    <x v="1"/>
  </r>
  <r>
    <s v="Regular"/>
    <x v="0"/>
    <x v="1"/>
    <x v="1"/>
    <x v="0"/>
    <x v="1"/>
    <x v="5"/>
    <x v="1"/>
    <x v="5"/>
    <n v="0"/>
    <n v="0"/>
    <n v="418.81700000000001"/>
    <n v="0"/>
    <n v="0"/>
    <n v="0"/>
    <n v="0"/>
    <s v="LIVRE"/>
    <n v="0"/>
    <n v="0"/>
    <n v="3"/>
    <n v="0"/>
    <n v="0"/>
    <n v="80.73"/>
    <n v="0"/>
    <m/>
    <n v="109.15710156873617"/>
    <m/>
    <n v="0"/>
    <n v="33811.096410000006"/>
    <n v="0"/>
    <n v="45716.849807713377"/>
    <x v="1"/>
  </r>
  <r>
    <s v="Regular"/>
    <x v="0"/>
    <x v="1"/>
    <x v="1"/>
    <x v="0"/>
    <x v="1"/>
    <x v="5"/>
    <x v="1"/>
    <x v="6"/>
    <n v="0"/>
    <n v="0"/>
    <n v="501.51100000000002"/>
    <n v="0"/>
    <n v="0"/>
    <n v="0"/>
    <n v="0"/>
    <s v="LIVRE"/>
    <n v="0"/>
    <n v="0"/>
    <n v="3"/>
    <n v="0"/>
    <n v="0"/>
    <n v="80.73"/>
    <n v="0"/>
    <m/>
    <n v="109.15710156873617"/>
    <m/>
    <n v="0"/>
    <n v="40486.983030000003"/>
    <n v="0"/>
    <n v="54743.487164838443"/>
    <x v="1"/>
  </r>
  <r>
    <s v="Regular"/>
    <x v="0"/>
    <x v="1"/>
    <x v="1"/>
    <x v="0"/>
    <x v="1"/>
    <x v="5"/>
    <x v="1"/>
    <x v="7"/>
    <n v="0"/>
    <n v="0"/>
    <n v="396.36"/>
    <n v="0"/>
    <n v="0"/>
    <n v="0"/>
    <n v="0"/>
    <s v="LIVRE"/>
    <n v="0"/>
    <n v="0"/>
    <n v="3"/>
    <n v="0"/>
    <n v="0"/>
    <n v="80.73"/>
    <n v="0"/>
    <m/>
    <n v="109.15710156873617"/>
    <m/>
    <n v="0"/>
    <n v="31998.142800000001"/>
    <n v="0"/>
    <n v="43265.508777784271"/>
    <x v="1"/>
  </r>
  <r>
    <s v="Regular"/>
    <x v="0"/>
    <x v="1"/>
    <x v="1"/>
    <x v="0"/>
    <x v="1"/>
    <x v="5"/>
    <x v="1"/>
    <x v="8"/>
    <n v="0"/>
    <n v="0"/>
    <n v="381.33199999999999"/>
    <n v="0"/>
    <n v="0"/>
    <n v="0"/>
    <n v="0"/>
    <s v="LIVRE"/>
    <n v="0"/>
    <n v="0"/>
    <n v="3"/>
    <n v="0"/>
    <n v="0"/>
    <n v="80.73"/>
    <n v="0"/>
    <m/>
    <n v="109.15710156873617"/>
    <m/>
    <n v="0"/>
    <n v="30784.932360000003"/>
    <n v="0"/>
    <n v="41625.095855409301"/>
    <x v="1"/>
  </r>
  <r>
    <s v="Regular"/>
    <x v="0"/>
    <x v="1"/>
    <x v="1"/>
    <x v="0"/>
    <x v="1"/>
    <x v="5"/>
    <x v="1"/>
    <x v="9"/>
    <n v="0"/>
    <n v="0"/>
    <n v="352.99900000000002"/>
    <n v="0"/>
    <n v="0"/>
    <n v="0"/>
    <n v="0"/>
    <s v="LIVRE"/>
    <n v="0"/>
    <n v="0"/>
    <n v="3"/>
    <n v="0"/>
    <n v="0"/>
    <n v="80.73"/>
    <n v="0"/>
    <m/>
    <n v="109.15710156873617"/>
    <m/>
    <n v="0"/>
    <n v="28497.609270000004"/>
    <n v="0"/>
    <n v="38532.347696662298"/>
    <x v="1"/>
  </r>
  <r>
    <s v="Regular"/>
    <x v="0"/>
    <x v="1"/>
    <x v="1"/>
    <x v="0"/>
    <x v="1"/>
    <x v="5"/>
    <x v="1"/>
    <x v="10"/>
    <n v="0"/>
    <n v="0"/>
    <n v="494.959"/>
    <n v="0"/>
    <n v="0"/>
    <n v="0"/>
    <n v="0"/>
    <s v="LIVRE"/>
    <n v="0"/>
    <n v="0"/>
    <n v="3"/>
    <n v="0"/>
    <n v="0"/>
    <n v="80.73"/>
    <n v="0"/>
    <m/>
    <n v="109.15710156873617"/>
    <m/>
    <n v="0"/>
    <n v="39958.040070000003"/>
    <n v="0"/>
    <n v="54028.289835360083"/>
    <x v="1"/>
  </r>
  <r>
    <s v="PROJETADO"/>
    <x v="0"/>
    <x v="1"/>
    <x v="1"/>
    <x v="0"/>
    <x v="1"/>
    <x v="5"/>
    <x v="1"/>
    <x v="11"/>
    <n v="0"/>
    <n v="0"/>
    <n v="494.959"/>
    <n v="0"/>
    <n v="0"/>
    <n v="0"/>
    <n v="0"/>
    <s v="LIVRE"/>
    <n v="0"/>
    <n v="0"/>
    <n v="3"/>
    <n v="0"/>
    <n v="0"/>
    <n v="80.73"/>
    <n v="0"/>
    <m/>
    <n v="109.15710156873617"/>
    <m/>
    <n v="0"/>
    <n v="39958.040070000003"/>
    <n v="0"/>
    <n v="54028.289835360083"/>
    <x v="1"/>
  </r>
  <r>
    <s v="Regular"/>
    <x v="0"/>
    <x v="1"/>
    <x v="1"/>
    <x v="0"/>
    <x v="1"/>
    <x v="5"/>
    <x v="0"/>
    <x v="0"/>
    <n v="1446"/>
    <n v="320.05078595999998"/>
    <n v="0"/>
    <n v="0"/>
    <n v="0"/>
    <n v="0"/>
    <n v="2"/>
    <s v="LIVRE"/>
    <n v="0"/>
    <n v="5"/>
    <n v="0"/>
    <n v="0"/>
    <n v="20.34"/>
    <n v="0"/>
    <n v="0"/>
    <n v="22.882430152149013"/>
    <m/>
    <m/>
    <n v="22901.807013573602"/>
    <n v="0"/>
    <n v="25764.454245137378"/>
    <n v="0"/>
    <x v="1"/>
  </r>
  <r>
    <s v="Regular"/>
    <x v="0"/>
    <x v="1"/>
    <x v="1"/>
    <x v="0"/>
    <x v="1"/>
    <x v="5"/>
    <x v="0"/>
    <x v="1"/>
    <n v="1460"/>
    <n v="329.7212462"/>
    <n v="0"/>
    <n v="0"/>
    <n v="0"/>
    <n v="0"/>
    <n v="2"/>
    <s v="LIVRE"/>
    <n v="0"/>
    <n v="5"/>
    <n v="0"/>
    <n v="0"/>
    <n v="20.34"/>
    <n v="0"/>
    <n v="0"/>
    <n v="22.882430152149013"/>
    <m/>
    <m/>
    <n v="22989.869852291999"/>
    <n v="0"/>
    <n v="25863.524636286529"/>
    <n v="0"/>
    <x v="1"/>
  </r>
  <r>
    <s v="Regular"/>
    <x v="0"/>
    <x v="1"/>
    <x v="1"/>
    <x v="0"/>
    <x v="1"/>
    <x v="5"/>
    <x v="0"/>
    <x v="2"/>
    <n v="1661"/>
    <n v="398.42132935000001"/>
    <n v="0"/>
    <n v="0"/>
    <n v="0"/>
    <n v="0"/>
    <n v="2"/>
    <s v="LIVRE"/>
    <n v="0"/>
    <n v="5"/>
    <n v="0"/>
    <n v="0"/>
    <n v="20.34"/>
    <n v="0"/>
    <n v="0"/>
    <n v="22.882430152149013"/>
    <m/>
    <m/>
    <n v="25680.850161021001"/>
    <n v="0"/>
    <n v="28890.868242741781"/>
    <n v="0"/>
    <x v="1"/>
  </r>
  <r>
    <s v="Regular"/>
    <x v="0"/>
    <x v="1"/>
    <x v="1"/>
    <x v="0"/>
    <x v="1"/>
    <x v="5"/>
    <x v="0"/>
    <x v="3"/>
    <n v="1729"/>
    <n v="417.51523723000003"/>
    <n v="0"/>
    <n v="0"/>
    <n v="0"/>
    <n v="0"/>
    <n v="2"/>
    <s v="LIVRE"/>
    <n v="0"/>
    <n v="5"/>
    <n v="0"/>
    <n v="0"/>
    <n v="20.34"/>
    <n v="0"/>
    <n v="0"/>
    <n v="22.882430152149013"/>
    <m/>
    <m/>
    <n v="26675.6000747418"/>
    <n v="0"/>
    <n v="30009.958479692246"/>
    <n v="0"/>
    <x v="1"/>
  </r>
  <r>
    <s v="Regular"/>
    <x v="0"/>
    <x v="1"/>
    <x v="1"/>
    <x v="0"/>
    <x v="1"/>
    <x v="5"/>
    <x v="0"/>
    <x v="4"/>
    <n v="1708"/>
    <n v="1253.8952868399999"/>
    <n v="0"/>
    <n v="0"/>
    <n v="0"/>
    <n v="0"/>
    <n v="2"/>
    <s v="LIVRE"/>
    <n v="0"/>
    <n v="5"/>
    <n v="0"/>
    <n v="0"/>
    <n v="20.34"/>
    <n v="0"/>
    <n v="0"/>
    <n v="22.882430152149013"/>
    <m/>
    <m/>
    <n v="9236.4898656744008"/>
    <n v="0"/>
    <n v="10391.019380645364"/>
    <n v="0"/>
    <x v="1"/>
  </r>
  <r>
    <s v="Regular"/>
    <x v="0"/>
    <x v="1"/>
    <x v="1"/>
    <x v="0"/>
    <x v="1"/>
    <x v="5"/>
    <x v="0"/>
    <x v="5"/>
    <n v="1732"/>
    <n v="1732"/>
    <n v="0"/>
    <n v="0"/>
    <n v="0"/>
    <n v="0"/>
    <n v="2"/>
    <s v="LIVRE"/>
    <n v="0"/>
    <n v="5"/>
    <n v="0"/>
    <n v="0"/>
    <n v="20.34"/>
    <n v="0"/>
    <n v="0"/>
    <n v="22.882430152149013"/>
    <m/>
    <m/>
    <n v="0"/>
    <n v="0"/>
    <n v="0"/>
    <n v="0"/>
    <x v="1"/>
  </r>
  <r>
    <s v="Regular"/>
    <x v="0"/>
    <x v="1"/>
    <x v="1"/>
    <x v="0"/>
    <x v="1"/>
    <x v="5"/>
    <x v="0"/>
    <x v="6"/>
    <n v="1732"/>
    <n v="1331.8529916800001"/>
    <n v="0"/>
    <n v="0"/>
    <n v="0"/>
    <n v="0"/>
    <n v="2"/>
    <s v="LIVRE"/>
    <n v="0"/>
    <n v="5"/>
    <n v="0"/>
    <n v="0"/>
    <n v="20.34"/>
    <n v="0"/>
    <n v="0"/>
    <n v="22.882430152149013"/>
    <m/>
    <m/>
    <n v="8138.9901492287991"/>
    <n v="0"/>
    <n v="9156.3359684737879"/>
    <n v="0"/>
    <x v="1"/>
  </r>
  <r>
    <s v="Regular"/>
    <x v="0"/>
    <x v="1"/>
    <x v="1"/>
    <x v="0"/>
    <x v="1"/>
    <x v="5"/>
    <x v="0"/>
    <x v="7"/>
    <n v="1695"/>
    <n v="-273.01080239999999"/>
    <n v="0"/>
    <n v="0"/>
    <n v="0"/>
    <n v="0"/>
    <n v="2"/>
    <s v="LIVRE"/>
    <n v="0"/>
    <n v="5"/>
    <n v="0"/>
    <n v="0"/>
    <n v="20.34"/>
    <n v="0"/>
    <n v="0"/>
    <n v="22.882430152149013"/>
    <m/>
    <m/>
    <n v="40029.339720816002"/>
    <n v="0"/>
    <n v="45032.869724592732"/>
    <n v="0"/>
    <x v="1"/>
  </r>
  <r>
    <s v="Regular"/>
    <x v="0"/>
    <x v="1"/>
    <x v="1"/>
    <x v="0"/>
    <x v="1"/>
    <x v="5"/>
    <x v="0"/>
    <x v="8"/>
    <n v="1695"/>
    <n v="848.18978025000001"/>
    <n v="0"/>
    <n v="0"/>
    <n v="0"/>
    <n v="0"/>
    <n v="2"/>
    <s v="LIVRE"/>
    <n v="0"/>
    <n v="5"/>
    <n v="0"/>
    <n v="0"/>
    <n v="20.34"/>
    <n v="0"/>
    <n v="0"/>
    <n v="22.882430152149013"/>
    <m/>
    <m/>
    <n v="17224.119869714999"/>
    <n v="0"/>
    <n v="19377.075705555329"/>
    <n v="0"/>
    <x v="1"/>
  </r>
  <r>
    <s v="Regular"/>
    <x v="0"/>
    <x v="1"/>
    <x v="1"/>
    <x v="0"/>
    <x v="1"/>
    <x v="5"/>
    <x v="0"/>
    <x v="9"/>
    <n v="1695"/>
    <n v="849.64356480000004"/>
    <n v="0"/>
    <n v="0"/>
    <n v="0"/>
    <n v="0"/>
    <n v="2"/>
    <s v="LIVRE"/>
    <n v="0"/>
    <n v="5"/>
    <n v="0"/>
    <n v="0"/>
    <n v="20.34"/>
    <n v="0"/>
    <n v="0"/>
    <n v="22.882430152149013"/>
    <m/>
    <m/>
    <n v="17194.549891967999"/>
    <n v="0"/>
    <n v="19343.809582133683"/>
    <n v="0"/>
    <x v="1"/>
  </r>
  <r>
    <s v="Regular"/>
    <x v="0"/>
    <x v="1"/>
    <x v="1"/>
    <x v="0"/>
    <x v="1"/>
    <x v="5"/>
    <x v="0"/>
    <x v="10"/>
    <n v="2195"/>
    <n v="1097.4921419"/>
    <n v="0"/>
    <n v="0"/>
    <n v="0"/>
    <n v="0"/>
    <n v="3"/>
    <s v="LIVRE"/>
    <n v="0"/>
    <n v="5"/>
    <n v="0"/>
    <n v="0"/>
    <n v="20.34"/>
    <n v="0"/>
    <n v="0"/>
    <n v="22.882430152149013"/>
    <m/>
    <m/>
    <n v="22323.309833754"/>
    <n v="0"/>
    <n v="25113.64690440792"/>
    <n v="0"/>
    <x v="1"/>
  </r>
  <r>
    <s v="PROJETADO"/>
    <x v="0"/>
    <x v="1"/>
    <x v="1"/>
    <x v="0"/>
    <x v="1"/>
    <x v="5"/>
    <x v="0"/>
    <x v="11"/>
    <n v="2195"/>
    <n v="1097.4921419"/>
    <n v="0"/>
    <n v="0"/>
    <n v="0"/>
    <n v="0"/>
    <n v="3"/>
    <s v="LIVRE"/>
    <n v="0"/>
    <n v="5"/>
    <n v="0"/>
    <n v="0"/>
    <n v="20.34"/>
    <n v="0"/>
    <n v="0"/>
    <n v="22.882430152149013"/>
    <m/>
    <m/>
    <n v="22323.309833754"/>
    <n v="0"/>
    <n v="25113.64690440792"/>
    <n v="0"/>
    <x v="1"/>
  </r>
  <r>
    <s v="Regular"/>
    <x v="0"/>
    <x v="1"/>
    <x v="1"/>
    <x v="0"/>
    <x v="1"/>
    <x v="5"/>
    <x v="2"/>
    <x v="0"/>
    <n v="0"/>
    <n v="0"/>
    <n v="37.640999999999998"/>
    <n v="10.969638713129999"/>
    <n v="0"/>
    <n v="0"/>
    <n v="0"/>
    <s v="LIVRE"/>
    <n v="0"/>
    <n v="0"/>
    <n v="13"/>
    <n v="0"/>
    <n v="0"/>
    <n v="1624.27"/>
    <n v="0"/>
    <m/>
    <n v="1607.0001847697904"/>
    <m/>
    <n v="0"/>
    <n v="43321.491997424331"/>
    <n v="0"/>
    <n v="42860.882516061924"/>
    <x v="1"/>
  </r>
  <r>
    <s v="Regular"/>
    <x v="0"/>
    <x v="1"/>
    <x v="1"/>
    <x v="0"/>
    <x v="1"/>
    <x v="5"/>
    <x v="2"/>
    <x v="1"/>
    <n v="0"/>
    <n v="0"/>
    <n v="39.328000000000003"/>
    <n v="10.8741566048"/>
    <n v="0"/>
    <n v="0"/>
    <n v="0"/>
    <s v="LIVRE"/>
    <n v="0"/>
    <n v="0"/>
    <n v="13"/>
    <n v="0"/>
    <n v="0"/>
    <n v="1624.27"/>
    <n v="0"/>
    <m/>
    <n v="1607.0001847697904"/>
    <m/>
    <n v="0"/>
    <n v="46216.724211521512"/>
    <n v="0"/>
    <n v="45725.331593497089"/>
    <x v="1"/>
  </r>
  <r>
    <s v="Regular"/>
    <x v="0"/>
    <x v="1"/>
    <x v="1"/>
    <x v="0"/>
    <x v="1"/>
    <x v="5"/>
    <x v="2"/>
    <x v="2"/>
    <n v="0"/>
    <n v="0"/>
    <n v="44.271000000000001"/>
    <n v="12.4289017389"/>
    <n v="0"/>
    <n v="0"/>
    <n v="0"/>
    <s v="LIVRE"/>
    <n v="0"/>
    <n v="0"/>
    <n v="13"/>
    <n v="0"/>
    <n v="0"/>
    <n v="1624.27"/>
    <n v="0"/>
    <m/>
    <n v="1607.0001847697904"/>
    <m/>
    <n v="0"/>
    <n v="51720.164942556898"/>
    <n v="0"/>
    <n v="51170.257789045521"/>
    <x v="1"/>
  </r>
  <r>
    <s v="Regular"/>
    <x v="0"/>
    <x v="1"/>
    <x v="1"/>
    <x v="0"/>
    <x v="1"/>
    <x v="5"/>
    <x v="2"/>
    <x v="3"/>
    <n v="0"/>
    <n v="0"/>
    <n v="54.564"/>
    <n v="16.19927242608"/>
    <n v="0"/>
    <n v="0"/>
    <n v="0"/>
    <s v="LIVRE"/>
    <n v="0"/>
    <n v="0"/>
    <n v="13"/>
    <n v="0"/>
    <n v="0"/>
    <n v="1624.27"/>
    <n v="0"/>
    <m/>
    <n v="1607.0001847697904"/>
    <m/>
    <n v="0"/>
    <n v="62314.676056491036"/>
    <n v="0"/>
    <n v="61652.124299932111"/>
    <x v="1"/>
  </r>
  <r>
    <s v="Regular"/>
    <x v="0"/>
    <x v="1"/>
    <x v="1"/>
    <x v="0"/>
    <x v="1"/>
    <x v="5"/>
    <x v="2"/>
    <x v="4"/>
    <n v="0"/>
    <n v="0"/>
    <n v="53.856999999999999"/>
    <n v="36.89355622742"/>
    <n v="0"/>
    <n v="0"/>
    <n v="0"/>
    <s v="LIVRE"/>
    <n v="0"/>
    <n v="0"/>
    <n v="13"/>
    <n v="0"/>
    <n v="0"/>
    <n v="1624.27"/>
    <n v="0"/>
    <m/>
    <n v="1607.0001847697904"/>
    <m/>
    <n v="0"/>
    <n v="27553.212816488514"/>
    <n v="0"/>
    <n v="27260.257276868011"/>
    <x v="1"/>
  </r>
  <r>
    <s v="Regular"/>
    <x v="0"/>
    <x v="1"/>
    <x v="1"/>
    <x v="0"/>
    <x v="1"/>
    <x v="5"/>
    <x v="2"/>
    <x v="5"/>
    <n v="0"/>
    <n v="0"/>
    <n v="49.462000000000003"/>
    <n v="49.462000000000003"/>
    <n v="0"/>
    <n v="0"/>
    <n v="0"/>
    <s v="LIVRE"/>
    <n v="0"/>
    <n v="0"/>
    <n v="13"/>
    <n v="0"/>
    <n v="0"/>
    <n v="1624.27"/>
    <n v="0"/>
    <m/>
    <n v="1607.0001847697904"/>
    <m/>
    <n v="0"/>
    <n v="0"/>
    <n v="0"/>
    <n v="0"/>
    <x v="1"/>
  </r>
  <r>
    <s v="Regular"/>
    <x v="0"/>
    <x v="1"/>
    <x v="1"/>
    <x v="0"/>
    <x v="1"/>
    <x v="5"/>
    <x v="2"/>
    <x v="6"/>
    <n v="0"/>
    <n v="0"/>
    <n v="53.892000000000003"/>
    <n v="40.514922909719999"/>
    <n v="0"/>
    <n v="0"/>
    <n v="0"/>
    <s v="LIVRE"/>
    <n v="0"/>
    <n v="0"/>
    <n v="13"/>
    <n v="0"/>
    <n v="0"/>
    <n v="1624.27"/>
    <n v="0"/>
    <m/>
    <n v="1607.0001847697904"/>
    <m/>
    <n v="0"/>
    <n v="21727.985005429102"/>
    <n v="0"/>
    <n v="21496.965355759698"/>
    <x v="1"/>
  </r>
  <r>
    <s v="Regular"/>
    <x v="0"/>
    <x v="1"/>
    <x v="1"/>
    <x v="0"/>
    <x v="1"/>
    <x v="5"/>
    <x v="2"/>
    <x v="7"/>
    <n v="0"/>
    <n v="0"/>
    <n v="32.723999999999997"/>
    <n v="-8.8316064601199997"/>
    <n v="0"/>
    <n v="0"/>
    <n v="0"/>
    <s v="LIVRE"/>
    <n v="0"/>
    <n v="0"/>
    <n v="13"/>
    <n v="0"/>
    <n v="0"/>
    <n v="1624.27"/>
    <n v="0"/>
    <m/>
    <n v="1607.0001847697904"/>
    <m/>
    <n v="0"/>
    <n v="67497.524904979102"/>
    <n v="0"/>
    <n v="66779.867259633524"/>
    <x v="1"/>
  </r>
  <r>
    <s v="Regular"/>
    <x v="0"/>
    <x v="1"/>
    <x v="1"/>
    <x v="0"/>
    <x v="1"/>
    <x v="5"/>
    <x v="2"/>
    <x v="8"/>
    <n v="0"/>
    <n v="0"/>
    <n v="26.404"/>
    <n v="13.89390018548"/>
    <n v="0"/>
    <n v="0"/>
    <n v="0"/>
    <s v="LIVRE"/>
    <n v="0"/>
    <n v="0"/>
    <n v="13"/>
    <n v="0"/>
    <n v="0"/>
    <n v="1624.27"/>
    <n v="0"/>
    <m/>
    <n v="1607.0001847697904"/>
    <m/>
    <n v="0"/>
    <n v="20319.779825730402"/>
    <n v="0"/>
    <n v="20103.73271342216"/>
    <x v="1"/>
  </r>
  <r>
    <s v="Regular"/>
    <x v="0"/>
    <x v="1"/>
    <x v="1"/>
    <x v="0"/>
    <x v="1"/>
    <x v="5"/>
    <x v="2"/>
    <x v="9"/>
    <n v="0"/>
    <n v="0"/>
    <n v="23.417999999999999"/>
    <n v="12.31977609864"/>
    <n v="0"/>
    <n v="0"/>
    <n v="0"/>
    <s v="LIVRE"/>
    <n v="0"/>
    <n v="0"/>
    <n v="13"/>
    <n v="0"/>
    <n v="0"/>
    <n v="1624.27"/>
    <n v="0"/>
    <m/>
    <n v="1607.0001847697904"/>
    <m/>
    <n v="0"/>
    <n v="18026.512136262005"/>
    <n v="0"/>
    <n v="17834.847860102022"/>
    <x v="1"/>
  </r>
  <r>
    <s v="Regular"/>
    <x v="0"/>
    <x v="1"/>
    <x v="1"/>
    <x v="0"/>
    <x v="1"/>
    <x v="5"/>
    <x v="2"/>
    <x v="10"/>
    <n v="0"/>
    <n v="0"/>
    <n v="34.978999999999999"/>
    <n v="18.35343897541"/>
    <n v="0"/>
    <n v="0"/>
    <n v="0"/>
    <s v="LIVRE"/>
    <n v="0"/>
    <n v="0"/>
    <n v="13"/>
    <n v="0"/>
    <n v="0"/>
    <n v="1624.27"/>
    <n v="0"/>
    <m/>
    <n v="1607.0001847697904"/>
    <m/>
    <n v="0"/>
    <n v="27004.400005410796"/>
    <n v="0"/>
    <n v="26717.279638417553"/>
    <x v="1"/>
  </r>
  <r>
    <s v="PROJETADO"/>
    <x v="0"/>
    <x v="1"/>
    <x v="1"/>
    <x v="0"/>
    <x v="1"/>
    <x v="5"/>
    <x v="2"/>
    <x v="11"/>
    <n v="0"/>
    <n v="0"/>
    <n v="34.978999999999999"/>
    <n v="18.35343897541"/>
    <n v="0"/>
    <n v="0"/>
    <n v="0"/>
    <s v="LIVRE"/>
    <n v="0"/>
    <n v="0"/>
    <n v="13"/>
    <n v="0"/>
    <n v="0"/>
    <n v="1624.27"/>
    <n v="0"/>
    <m/>
    <n v="1607.0001847697904"/>
    <m/>
    <n v="0"/>
    <n v="27004.400005410796"/>
    <n v="0"/>
    <n v="26717.279638417553"/>
    <x v="1"/>
  </r>
  <r>
    <s v="Sistema de Compensação"/>
    <x v="0"/>
    <x v="1"/>
    <x v="2"/>
    <x v="0"/>
    <x v="0"/>
    <x v="5"/>
    <x v="1"/>
    <x v="2"/>
    <n v="0"/>
    <n v="0"/>
    <n v="2.306"/>
    <n v="2.2137600000000002"/>
    <n v="2.306"/>
    <n v="2.2137600000000002"/>
    <n v="0"/>
    <s v="CATIVO"/>
    <n v="0"/>
    <n v="0"/>
    <n v="3"/>
    <n v="62"/>
    <n v="0"/>
    <n v="80.73"/>
    <n v="291.85000000000002"/>
    <m/>
    <n v="109.15710156873617"/>
    <n v="219.61640797284883"/>
    <n v="0"/>
    <n v="34.366779199999954"/>
    <n v="0"/>
    <n v="30.326068520115761"/>
    <x v="2"/>
  </r>
  <r>
    <s v="Sistema de Compensação"/>
    <x v="0"/>
    <x v="1"/>
    <x v="2"/>
    <x v="0"/>
    <x v="0"/>
    <x v="5"/>
    <x v="1"/>
    <x v="3"/>
    <n v="0"/>
    <n v="0"/>
    <n v="7.25"/>
    <n v="6.96"/>
    <n v="7.25"/>
    <n v="6.96"/>
    <n v="0"/>
    <s v="CATIVO"/>
    <n v="0"/>
    <n v="0"/>
    <n v="3"/>
    <n v="62"/>
    <n v="0"/>
    <n v="80.73"/>
    <n v="291.85000000000002"/>
    <m/>
    <n v="109.15710156873617"/>
    <n v="219.61640797284883"/>
    <n v="0"/>
    <n v="108.04820000000001"/>
    <n v="0"/>
    <n v="95.344317767059664"/>
    <x v="2"/>
  </r>
  <r>
    <s v="Sistema de Compensação"/>
    <x v="0"/>
    <x v="1"/>
    <x v="2"/>
    <x v="0"/>
    <x v="0"/>
    <x v="5"/>
    <x v="1"/>
    <x v="4"/>
    <n v="0"/>
    <n v="0"/>
    <n v="12.491"/>
    <n v="11.991359999999998"/>
    <n v="12.491"/>
    <n v="11.991359999999998"/>
    <n v="0"/>
    <s v="CATIVO"/>
    <n v="0"/>
    <n v="0"/>
    <n v="3"/>
    <n v="62"/>
    <n v="0"/>
    <n v="80.73"/>
    <n v="291.85000000000002"/>
    <m/>
    <n v="109.15710156873617"/>
    <n v="219.61640797284883"/>
    <n v="0"/>
    <n v="186.15587120000046"/>
    <n v="0"/>
    <n v="164.26839630735793"/>
    <x v="2"/>
  </r>
  <r>
    <s v="Sistema de Compensação"/>
    <x v="0"/>
    <x v="1"/>
    <x v="2"/>
    <x v="0"/>
    <x v="0"/>
    <x v="5"/>
    <x v="1"/>
    <x v="5"/>
    <n v="0"/>
    <n v="0"/>
    <n v="8.8330000000000002"/>
    <n v="8.4796800000000001"/>
    <n v="8.8330000000000002"/>
    <n v="8.4796800000000001"/>
    <n v="0"/>
    <s v="CATIVO"/>
    <n v="0"/>
    <n v="0"/>
    <n v="3"/>
    <n v="62"/>
    <n v="0"/>
    <n v="80.73"/>
    <n v="291.85000000000002"/>
    <m/>
    <n v="109.15710156873617"/>
    <n v="219.61640797284883"/>
    <n v="0"/>
    <n v="131.63996560000004"/>
    <n v="0"/>
    <n v="116.16225639123284"/>
    <x v="2"/>
  </r>
  <r>
    <s v="Sistema de Compensação"/>
    <x v="0"/>
    <x v="1"/>
    <x v="2"/>
    <x v="0"/>
    <x v="0"/>
    <x v="5"/>
    <x v="1"/>
    <x v="6"/>
    <n v="0"/>
    <n v="0"/>
    <n v="12.132999999999999"/>
    <n v="11.647679999999999"/>
    <n v="12.132999999999999"/>
    <n v="11.647679999999999"/>
    <n v="0"/>
    <s v="CATIVO"/>
    <n v="0"/>
    <n v="0"/>
    <n v="3"/>
    <n v="62"/>
    <n v="0"/>
    <n v="80.73"/>
    <n v="291.85000000000002"/>
    <m/>
    <n v="109.15710156873617"/>
    <n v="219.61640797284883"/>
    <n v="0"/>
    <n v="180.82052559999991"/>
    <n v="0"/>
    <n v="159.56035965072195"/>
    <x v="2"/>
  </r>
  <r>
    <s v="Sistema de Compensação"/>
    <x v="0"/>
    <x v="1"/>
    <x v="2"/>
    <x v="0"/>
    <x v="0"/>
    <x v="5"/>
    <x v="1"/>
    <x v="7"/>
    <n v="0"/>
    <n v="0"/>
    <n v="9.8719999999999999"/>
    <n v="9.4771199999999993"/>
    <n v="9.8719999999999999"/>
    <n v="9.4771199999999993"/>
    <n v="0"/>
    <s v="CATIVO"/>
    <n v="0"/>
    <n v="0"/>
    <n v="3"/>
    <n v="62"/>
    <n v="0"/>
    <n v="80.73"/>
    <n v="291.85000000000002"/>
    <m/>
    <n v="109.15710156873617"/>
    <n v="219.61640797284883"/>
    <n v="0"/>
    <n v="147.12439040000021"/>
    <n v="0"/>
    <n v="129.82608344778126"/>
    <x v="2"/>
  </r>
  <r>
    <s v="Sistema de Compensação"/>
    <x v="0"/>
    <x v="1"/>
    <x v="2"/>
    <x v="0"/>
    <x v="0"/>
    <x v="5"/>
    <x v="1"/>
    <x v="8"/>
    <n v="0"/>
    <n v="0"/>
    <n v="7.1609999999999996"/>
    <n v="6.8745599999999998"/>
    <n v="7.1609999999999996"/>
    <n v="6.8745599999999998"/>
    <n v="0"/>
    <s v="CATIVO"/>
    <n v="0"/>
    <n v="0"/>
    <n v="3"/>
    <n v="62"/>
    <n v="0"/>
    <n v="80.73"/>
    <n v="291.85000000000002"/>
    <m/>
    <n v="109.15710156873617"/>
    <n v="219.61640797284883"/>
    <n v="0"/>
    <n v="106.72181519999994"/>
    <n v="0"/>
    <n v="94.173884073091543"/>
    <x v="2"/>
  </r>
  <r>
    <s v="Sistema de Compensação"/>
    <x v="0"/>
    <x v="1"/>
    <x v="2"/>
    <x v="0"/>
    <x v="0"/>
    <x v="5"/>
    <x v="1"/>
    <x v="9"/>
    <n v="0"/>
    <n v="0"/>
    <n v="7.3840000000000003"/>
    <n v="7.0886399999999998"/>
    <n v="7.3840000000000003"/>
    <n v="7.0886399999999998"/>
    <n v="0"/>
    <s v="CATIVO"/>
    <n v="0"/>
    <n v="0"/>
    <n v="3"/>
    <n v="62"/>
    <n v="0"/>
    <n v="80.73"/>
    <n v="291.85000000000002"/>
    <m/>
    <n v="109.15710156873617"/>
    <n v="219.61640797284883"/>
    <n v="0"/>
    <n v="110.0452288000002"/>
    <n v="0"/>
    <n v="97.106543778202706"/>
    <x v="2"/>
  </r>
  <r>
    <s v="Sistema de Compensação"/>
    <x v="0"/>
    <x v="1"/>
    <x v="2"/>
    <x v="0"/>
    <x v="0"/>
    <x v="5"/>
    <x v="1"/>
    <x v="10"/>
    <n v="0"/>
    <n v="0"/>
    <n v="8.0359999999999996"/>
    <n v="7.7145599999999996"/>
    <n v="8.0359999999999996"/>
    <n v="7.7145599999999996"/>
    <n v="0"/>
    <s v="CATIVO"/>
    <n v="0"/>
    <n v="0"/>
    <n v="3"/>
    <n v="62"/>
    <n v="0"/>
    <n v="80.73"/>
    <n v="291.85000000000002"/>
    <m/>
    <n v="109.15710156873617"/>
    <n v="219.61640797284883"/>
    <n v="0"/>
    <n v="119.7621152"/>
    <n v="0"/>
    <n v="105.68095690704706"/>
    <x v="2"/>
  </r>
  <r>
    <s v="PROJETADO"/>
    <x v="0"/>
    <x v="1"/>
    <x v="2"/>
    <x v="0"/>
    <x v="0"/>
    <x v="5"/>
    <x v="1"/>
    <x v="11"/>
    <n v="0"/>
    <n v="0"/>
    <n v="8.0359999999999996"/>
    <n v="7.7145599999999996"/>
    <n v="8.0359999999999996"/>
    <n v="7.7145599999999996"/>
    <n v="0"/>
    <s v="CATIVO"/>
    <n v="0"/>
    <n v="0"/>
    <n v="3"/>
    <n v="62"/>
    <n v="0"/>
    <n v="80.73"/>
    <n v="291.85000000000002"/>
    <m/>
    <n v="109.15710156873617"/>
    <n v="219.61640797284883"/>
    <n v="0"/>
    <n v="119.7621152"/>
    <n v="0"/>
    <n v="105.68095690704706"/>
    <x v="2"/>
  </r>
  <r>
    <s v="Sistema de Compensação"/>
    <x v="0"/>
    <x v="1"/>
    <x v="2"/>
    <x v="0"/>
    <x v="0"/>
    <x v="5"/>
    <x v="0"/>
    <x v="2"/>
    <n v="50"/>
    <n v="48"/>
    <n v="0"/>
    <n v="0"/>
    <n v="0"/>
    <n v="0"/>
    <n v="1"/>
    <s v="CATIVO"/>
    <n v="0"/>
    <n v="5"/>
    <n v="0"/>
    <n v="0"/>
    <n v="20.34"/>
    <n v="0"/>
    <n v="0"/>
    <n v="22.882430152149013"/>
    <m/>
    <m/>
    <n v="40.68"/>
    <n v="0"/>
    <n v="45.764860304298026"/>
    <n v="0"/>
    <x v="2"/>
  </r>
  <r>
    <s v="Sistema de Compensação"/>
    <x v="0"/>
    <x v="1"/>
    <x v="2"/>
    <x v="0"/>
    <x v="0"/>
    <x v="5"/>
    <x v="0"/>
    <x v="3"/>
    <n v="50"/>
    <n v="48"/>
    <n v="0"/>
    <n v="0"/>
    <n v="0"/>
    <n v="0"/>
    <n v="1"/>
    <s v="CATIVO"/>
    <n v="0"/>
    <n v="5"/>
    <n v="0"/>
    <n v="0"/>
    <n v="20.34"/>
    <n v="0"/>
    <n v="0"/>
    <n v="22.882430152149013"/>
    <m/>
    <m/>
    <n v="40.68"/>
    <n v="0"/>
    <n v="45.764860304298026"/>
    <n v="0"/>
    <x v="2"/>
  </r>
  <r>
    <s v="Sistema de Compensação"/>
    <x v="0"/>
    <x v="1"/>
    <x v="2"/>
    <x v="0"/>
    <x v="0"/>
    <x v="5"/>
    <x v="0"/>
    <x v="4"/>
    <n v="55"/>
    <n v="52.8"/>
    <n v="0"/>
    <n v="0"/>
    <n v="0"/>
    <n v="0"/>
    <n v="1"/>
    <s v="CATIVO"/>
    <n v="0"/>
    <n v="5"/>
    <n v="0"/>
    <n v="0"/>
    <n v="20.34"/>
    <n v="0"/>
    <n v="0"/>
    <n v="22.882430152149013"/>
    <m/>
    <m/>
    <n v="44.748000000000054"/>
    <n v="0"/>
    <n v="50.341346334727895"/>
    <n v="0"/>
    <x v="2"/>
  </r>
  <r>
    <s v="Sistema de Compensação"/>
    <x v="0"/>
    <x v="1"/>
    <x v="2"/>
    <x v="0"/>
    <x v="0"/>
    <x v="5"/>
    <x v="0"/>
    <x v="5"/>
    <n v="50"/>
    <n v="48"/>
    <n v="0"/>
    <n v="0"/>
    <n v="0"/>
    <n v="0"/>
    <n v="1"/>
    <s v="CATIVO"/>
    <n v="0"/>
    <n v="5"/>
    <n v="0"/>
    <n v="0"/>
    <n v="20.34"/>
    <n v="0"/>
    <n v="0"/>
    <n v="22.882430152149013"/>
    <m/>
    <m/>
    <n v="40.68"/>
    <n v="0"/>
    <n v="45.764860304298026"/>
    <n v="0"/>
    <x v="2"/>
  </r>
  <r>
    <s v="Sistema de Compensação"/>
    <x v="0"/>
    <x v="1"/>
    <x v="2"/>
    <x v="0"/>
    <x v="0"/>
    <x v="5"/>
    <x v="0"/>
    <x v="6"/>
    <n v="54"/>
    <n v="51.839999999999996"/>
    <n v="0"/>
    <n v="0"/>
    <n v="0"/>
    <n v="0"/>
    <n v="1"/>
    <s v="CATIVO"/>
    <n v="0"/>
    <n v="5"/>
    <n v="0"/>
    <n v="0"/>
    <n v="20.34"/>
    <n v="0"/>
    <n v="0"/>
    <n v="22.882430152149013"/>
    <m/>
    <m/>
    <n v="43.934400000000075"/>
    <n v="0"/>
    <n v="49.426049128641949"/>
    <n v="0"/>
    <x v="2"/>
  </r>
  <r>
    <s v="Sistema de Compensação"/>
    <x v="0"/>
    <x v="1"/>
    <x v="2"/>
    <x v="0"/>
    <x v="0"/>
    <x v="5"/>
    <x v="0"/>
    <x v="7"/>
    <n v="52"/>
    <n v="49.92"/>
    <n v="0"/>
    <n v="0"/>
    <n v="0"/>
    <n v="0"/>
    <n v="1"/>
    <s v="CATIVO"/>
    <n v="0"/>
    <n v="5"/>
    <n v="0"/>
    <n v="0"/>
    <n v="20.34"/>
    <n v="0"/>
    <n v="0"/>
    <n v="22.882430152149013"/>
    <m/>
    <m/>
    <n v="42.307199999999966"/>
    <n v="0"/>
    <n v="47.595454716469909"/>
    <n v="0"/>
    <x v="2"/>
  </r>
  <r>
    <s v="Sistema de Compensação"/>
    <x v="0"/>
    <x v="1"/>
    <x v="2"/>
    <x v="0"/>
    <x v="0"/>
    <x v="5"/>
    <x v="0"/>
    <x v="8"/>
    <n v="50"/>
    <n v="48"/>
    <n v="0"/>
    <n v="0"/>
    <n v="0"/>
    <n v="0"/>
    <n v="1"/>
    <s v="CATIVO"/>
    <n v="0"/>
    <n v="5"/>
    <n v="0"/>
    <n v="0"/>
    <n v="20.34"/>
    <n v="0"/>
    <n v="0"/>
    <n v="22.882430152149013"/>
    <m/>
    <m/>
    <n v="40.68"/>
    <n v="0"/>
    <n v="45.764860304298026"/>
    <n v="0"/>
    <x v="2"/>
  </r>
  <r>
    <s v="Sistema de Compensação"/>
    <x v="0"/>
    <x v="1"/>
    <x v="2"/>
    <x v="0"/>
    <x v="0"/>
    <x v="5"/>
    <x v="0"/>
    <x v="9"/>
    <n v="50"/>
    <n v="48"/>
    <n v="0"/>
    <n v="0"/>
    <n v="0"/>
    <n v="0"/>
    <n v="1"/>
    <s v="CATIVO"/>
    <n v="0"/>
    <n v="5"/>
    <n v="0"/>
    <n v="0"/>
    <n v="20.34"/>
    <n v="0"/>
    <n v="0"/>
    <n v="22.882430152149013"/>
    <m/>
    <m/>
    <n v="40.68"/>
    <n v="0"/>
    <n v="45.764860304298026"/>
    <n v="0"/>
    <x v="2"/>
  </r>
  <r>
    <s v="Sistema de Compensação"/>
    <x v="0"/>
    <x v="1"/>
    <x v="2"/>
    <x v="0"/>
    <x v="0"/>
    <x v="5"/>
    <x v="0"/>
    <x v="10"/>
    <n v="50"/>
    <n v="48"/>
    <n v="0"/>
    <n v="0"/>
    <n v="0"/>
    <n v="0"/>
    <n v="1"/>
    <s v="CATIVO"/>
    <n v="0"/>
    <n v="5"/>
    <n v="0"/>
    <n v="0"/>
    <n v="20.34"/>
    <n v="0"/>
    <n v="0"/>
    <n v="22.882430152149013"/>
    <m/>
    <m/>
    <n v="40.68"/>
    <n v="0"/>
    <n v="45.764860304298026"/>
    <n v="0"/>
    <x v="2"/>
  </r>
  <r>
    <s v="PROJETADO"/>
    <x v="0"/>
    <x v="1"/>
    <x v="2"/>
    <x v="0"/>
    <x v="0"/>
    <x v="5"/>
    <x v="0"/>
    <x v="11"/>
    <n v="50"/>
    <n v="48"/>
    <n v="0"/>
    <n v="0"/>
    <n v="0"/>
    <n v="0"/>
    <n v="1"/>
    <s v="CATIVO"/>
    <n v="0"/>
    <n v="5"/>
    <n v="0"/>
    <n v="0"/>
    <n v="20.34"/>
    <n v="0"/>
    <n v="0"/>
    <n v="22.882430152149013"/>
    <m/>
    <m/>
    <n v="40.68"/>
    <n v="0"/>
    <n v="45.764860304298026"/>
    <n v="0"/>
    <x v="2"/>
  </r>
  <r>
    <s v="Sistema de Compensação"/>
    <x v="0"/>
    <x v="1"/>
    <x v="2"/>
    <x v="0"/>
    <x v="0"/>
    <x v="5"/>
    <x v="2"/>
    <x v="2"/>
    <n v="0"/>
    <n v="0"/>
    <n v="0.70199999999999996"/>
    <n v="0.67391999999999996"/>
    <n v="0.70199999999999996"/>
    <n v="0.67391999999999996"/>
    <n v="0"/>
    <s v="CATIVO"/>
    <n v="0"/>
    <n v="0"/>
    <n v="13"/>
    <n v="22"/>
    <n v="0"/>
    <n v="1624.27"/>
    <n v="291.85000000000002"/>
    <m/>
    <n v="1607.0001847697904"/>
    <n v="219.61640797284883"/>
    <n v="0"/>
    <n v="53.804649599999991"/>
    <n v="0"/>
    <n v="51.291393924213295"/>
    <x v="2"/>
  </r>
  <r>
    <s v="Sistema de Compensação"/>
    <x v="0"/>
    <x v="1"/>
    <x v="2"/>
    <x v="0"/>
    <x v="0"/>
    <x v="5"/>
    <x v="2"/>
    <x v="3"/>
    <n v="0"/>
    <n v="0"/>
    <n v="0.8"/>
    <n v="0.76800000000000002"/>
    <n v="0.8"/>
    <n v="0.76800000000000002"/>
    <n v="0"/>
    <s v="CATIVO"/>
    <n v="0"/>
    <n v="0"/>
    <n v="13"/>
    <n v="22"/>
    <n v="0"/>
    <n v="1624.27"/>
    <n v="291.85000000000002"/>
    <m/>
    <n v="1607.0001847697904"/>
    <n v="219.61640797284883"/>
    <n v="0"/>
    <n v="61.315840000000051"/>
    <n v="0"/>
    <n v="58.451730967764512"/>
    <x v="2"/>
  </r>
  <r>
    <s v="Sistema de Compensação"/>
    <x v="0"/>
    <x v="1"/>
    <x v="2"/>
    <x v="0"/>
    <x v="0"/>
    <x v="5"/>
    <x v="2"/>
    <x v="4"/>
    <n v="0"/>
    <n v="0"/>
    <n v="0.871"/>
    <n v="0.83616000000000001"/>
    <n v="0.871"/>
    <n v="0.83616000000000001"/>
    <n v="0"/>
    <s v="CATIVO"/>
    <n v="0"/>
    <n v="0"/>
    <n v="13"/>
    <n v="22"/>
    <n v="0"/>
    <n v="1624.27"/>
    <n v="291.85000000000002"/>
    <m/>
    <n v="1607.0001847697904"/>
    <n v="219.61640797284883"/>
    <n v="0"/>
    <n v="66.75762079999997"/>
    <n v="0"/>
    <n v="63.639322091153517"/>
    <x v="2"/>
  </r>
  <r>
    <s v="Sistema de Compensação"/>
    <x v="0"/>
    <x v="1"/>
    <x v="2"/>
    <x v="0"/>
    <x v="0"/>
    <x v="5"/>
    <x v="2"/>
    <x v="5"/>
    <n v="0"/>
    <n v="0"/>
    <n v="0.68500000000000005"/>
    <n v="0.65760000000000007"/>
    <n v="0.68500000000000005"/>
    <n v="0.65760000000000007"/>
    <n v="0"/>
    <s v="CATIVO"/>
    <n v="0"/>
    <n v="0"/>
    <n v="13"/>
    <n v="22"/>
    <n v="0"/>
    <n v="1624.27"/>
    <n v="291.85000000000002"/>
    <m/>
    <n v="1607.0001847697904"/>
    <n v="219.61640797284883"/>
    <n v="0"/>
    <n v="52.501687999999959"/>
    <n v="0"/>
    <n v="50.049294641148279"/>
    <x v="2"/>
  </r>
  <r>
    <s v="Sistema de Compensação"/>
    <x v="0"/>
    <x v="1"/>
    <x v="2"/>
    <x v="0"/>
    <x v="0"/>
    <x v="5"/>
    <x v="2"/>
    <x v="6"/>
    <n v="0"/>
    <n v="0"/>
    <n v="0.48299999999999998"/>
    <n v="0.46367999999999998"/>
    <n v="0.48299999999999998"/>
    <n v="0.46367999999999998"/>
    <n v="0"/>
    <s v="CATIVO"/>
    <n v="0"/>
    <n v="0"/>
    <n v="13"/>
    <n v="22"/>
    <n v="0"/>
    <n v="1624.27"/>
    <n v="291.85000000000002"/>
    <m/>
    <n v="1607.0001847697904"/>
    <n v="219.61640797284883"/>
    <n v="0"/>
    <n v="37.019438400000006"/>
    <n v="0"/>
    <n v="35.290232571787797"/>
    <x v="2"/>
  </r>
  <r>
    <s v="Sistema de Compensação"/>
    <x v="0"/>
    <x v="1"/>
    <x v="2"/>
    <x v="0"/>
    <x v="0"/>
    <x v="5"/>
    <x v="2"/>
    <x v="7"/>
    <n v="0"/>
    <n v="0"/>
    <n v="0.35099999999999998"/>
    <n v="0.33695999999999998"/>
    <n v="0.35099999999999998"/>
    <n v="0.33695999999999998"/>
    <n v="0"/>
    <s v="CATIVO"/>
    <n v="0"/>
    <n v="0"/>
    <n v="13"/>
    <n v="22"/>
    <n v="0"/>
    <n v="1624.27"/>
    <n v="291.85000000000002"/>
    <m/>
    <n v="1607.0001847697904"/>
    <n v="219.61640797284883"/>
    <n v="0"/>
    <n v="26.902324799999995"/>
    <n v="0"/>
    <n v="25.645696962106648"/>
    <x v="2"/>
  </r>
  <r>
    <s v="Sistema de Compensação"/>
    <x v="0"/>
    <x v="1"/>
    <x v="2"/>
    <x v="0"/>
    <x v="0"/>
    <x v="5"/>
    <x v="2"/>
    <x v="8"/>
    <n v="0"/>
    <n v="0"/>
    <n v="0.40200000000000002"/>
    <n v="0.38591999999999999"/>
    <n v="0.40200000000000002"/>
    <n v="0.38591999999999999"/>
    <n v="0"/>
    <s v="CATIVO"/>
    <n v="0"/>
    <n v="0"/>
    <n v="13"/>
    <n v="22"/>
    <n v="0"/>
    <n v="1624.27"/>
    <n v="291.85000000000002"/>
    <m/>
    <n v="1607.0001847697904"/>
    <n v="219.61640797284883"/>
    <n v="0"/>
    <n v="30.811209600000076"/>
    <n v="0"/>
    <n v="29.371994811301708"/>
    <x v="2"/>
  </r>
  <r>
    <s v="Sistema de Compensação"/>
    <x v="0"/>
    <x v="1"/>
    <x v="2"/>
    <x v="0"/>
    <x v="0"/>
    <x v="5"/>
    <x v="2"/>
    <x v="9"/>
    <n v="0"/>
    <n v="0"/>
    <n v="0.50800000000000001"/>
    <n v="0.48768"/>
    <n v="0.50800000000000001"/>
    <n v="0.48768"/>
    <n v="0"/>
    <s v="CATIVO"/>
    <n v="0"/>
    <n v="0"/>
    <n v="13"/>
    <n v="22"/>
    <n v="0"/>
    <n v="1624.27"/>
    <n v="291.85000000000002"/>
    <m/>
    <n v="1607.0001847697904"/>
    <n v="219.61640797284883"/>
    <n v="0"/>
    <n v="38.935558400000012"/>
    <n v="0"/>
    <n v="37.116849164530436"/>
    <x v="2"/>
  </r>
  <r>
    <s v="Sistema de Compensação"/>
    <x v="0"/>
    <x v="1"/>
    <x v="2"/>
    <x v="0"/>
    <x v="0"/>
    <x v="5"/>
    <x v="2"/>
    <x v="10"/>
    <n v="0"/>
    <n v="0"/>
    <n v="0.435"/>
    <n v="0.41759999999999997"/>
    <n v="0.435"/>
    <n v="0.41759999999999997"/>
    <n v="0"/>
    <s v="CATIVO"/>
    <n v="0"/>
    <n v="0"/>
    <n v="13"/>
    <n v="22"/>
    <n v="0"/>
    <n v="1624.27"/>
    <n v="291.85000000000002"/>
    <m/>
    <n v="1607.0001847697904"/>
    <n v="219.61640797284883"/>
    <n v="0"/>
    <n v="33.34048800000005"/>
    <n v="0"/>
    <n v="31.783128713721972"/>
    <x v="2"/>
  </r>
  <r>
    <s v="PROJETADO"/>
    <x v="0"/>
    <x v="1"/>
    <x v="2"/>
    <x v="0"/>
    <x v="0"/>
    <x v="5"/>
    <x v="2"/>
    <x v="11"/>
    <n v="0"/>
    <n v="0"/>
    <n v="0.435"/>
    <n v="0.41759999999999997"/>
    <n v="0.435"/>
    <n v="0.41759999999999997"/>
    <n v="0"/>
    <s v="CATIVO"/>
    <n v="0"/>
    <n v="0"/>
    <n v="13"/>
    <n v="22"/>
    <n v="0"/>
    <n v="1624.27"/>
    <n v="291.85000000000002"/>
    <m/>
    <n v="1607.0001847697904"/>
    <n v="219.61640797284883"/>
    <n v="0"/>
    <n v="33.34048800000005"/>
    <n v="0"/>
    <n v="31.783128713721972"/>
    <x v="2"/>
  </r>
  <r>
    <s v="Regular"/>
    <x v="1"/>
    <x v="2"/>
    <x v="3"/>
    <x v="1"/>
    <x v="0"/>
    <x v="5"/>
    <x v="0"/>
    <x v="0"/>
    <n v="0"/>
    <n v="0"/>
    <n v="862.51199999999994"/>
    <n v="862.51199999999994"/>
    <n v="862.51199999999994"/>
    <n v="862.51199999999994"/>
    <n v="4573"/>
    <s v="CATIVO"/>
    <n v="0"/>
    <n v="0"/>
    <n v="16"/>
    <n v="53"/>
    <n v="0"/>
    <n v="370.66"/>
    <n v="291.85000000000002"/>
    <m/>
    <n v="419.42956266093978"/>
    <n v="219.61640797284883"/>
    <n v="0"/>
    <n v="0"/>
    <n v="0"/>
    <n v="0"/>
    <x v="3"/>
  </r>
  <r>
    <s v="Regular"/>
    <x v="1"/>
    <x v="2"/>
    <x v="3"/>
    <x v="2"/>
    <x v="0"/>
    <x v="5"/>
    <x v="0"/>
    <x v="0"/>
    <n v="0"/>
    <n v="0"/>
    <n v="5.58"/>
    <n v="5.58"/>
    <n v="5.58"/>
    <n v="5.58"/>
    <n v="7"/>
    <s v="CATIVO"/>
    <n v="0"/>
    <n v="0"/>
    <n v="14"/>
    <n v="52"/>
    <n v="0"/>
    <n v="106.78"/>
    <n v="102.15"/>
    <m/>
    <n v="109.77314099414674"/>
    <n v="76.86574279049708"/>
    <n v="0"/>
    <n v="2165.1516000000006"/>
    <n v="0"/>
    <n v="1934.112089962581"/>
    <x v="4"/>
  </r>
  <r>
    <s v="Regular"/>
    <x v="1"/>
    <x v="2"/>
    <x v="3"/>
    <x v="2"/>
    <x v="0"/>
    <x v="5"/>
    <x v="0"/>
    <x v="1"/>
    <n v="0"/>
    <n v="0"/>
    <n v="5.6550000000000002"/>
    <n v="5.6550000000000002"/>
    <n v="5.6550000000000002"/>
    <n v="5.6550000000000002"/>
    <n v="9"/>
    <s v="CATIVO"/>
    <n v="0"/>
    <n v="0"/>
    <n v="14"/>
    <n v="52"/>
    <n v="0"/>
    <n v="106.78"/>
    <n v="102.15"/>
    <m/>
    <n v="109.77314099414674"/>
    <n v="76.86574279049708"/>
    <n v="0"/>
    <n v="2194.2531000000008"/>
    <n v="0"/>
    <n v="1960.1082202040136"/>
    <x v="4"/>
  </r>
  <r>
    <s v="Regular"/>
    <x v="1"/>
    <x v="2"/>
    <x v="3"/>
    <x v="2"/>
    <x v="0"/>
    <x v="5"/>
    <x v="0"/>
    <x v="2"/>
    <n v="0"/>
    <n v="0"/>
    <n v="5.55"/>
    <n v="5.55"/>
    <n v="5.55"/>
    <n v="5.55"/>
    <n v="4"/>
    <s v="CATIVO"/>
    <n v="0"/>
    <n v="0"/>
    <n v="14"/>
    <n v="52"/>
    <n v="0"/>
    <n v="106.78"/>
    <n v="102.15"/>
    <m/>
    <n v="109.77314099414674"/>
    <n v="76.86574279049708"/>
    <n v="0"/>
    <n v="2153.5110000000004"/>
    <n v="0"/>
    <n v="1923.7136378660077"/>
    <x v="4"/>
  </r>
  <r>
    <s v="Regular"/>
    <x v="1"/>
    <x v="2"/>
    <x v="3"/>
    <x v="2"/>
    <x v="0"/>
    <x v="5"/>
    <x v="0"/>
    <x v="3"/>
    <n v="0"/>
    <n v="0"/>
    <n v="5.58"/>
    <n v="5.58"/>
    <n v="5.58"/>
    <n v="5.58"/>
    <n v="8"/>
    <s v="CATIVO"/>
    <n v="0"/>
    <n v="0"/>
    <n v="14"/>
    <n v="52"/>
    <n v="0"/>
    <n v="106.78"/>
    <n v="102.15"/>
    <m/>
    <n v="109.77314099414674"/>
    <n v="76.86574279049708"/>
    <n v="0"/>
    <n v="2165.1516000000006"/>
    <n v="0"/>
    <n v="1934.112089962581"/>
    <x v="4"/>
  </r>
  <r>
    <s v="Regular"/>
    <x v="1"/>
    <x v="2"/>
    <x v="3"/>
    <x v="2"/>
    <x v="0"/>
    <x v="5"/>
    <x v="0"/>
    <x v="4"/>
    <n v="0"/>
    <n v="0"/>
    <n v="5.61"/>
    <n v="5.61"/>
    <n v="5.61"/>
    <n v="5.61"/>
    <n v="10"/>
    <s v="CATIVO"/>
    <n v="0"/>
    <n v="0"/>
    <n v="14"/>
    <n v="52"/>
    <n v="0"/>
    <n v="106.78"/>
    <n v="102.15"/>
    <m/>
    <n v="109.77314099414674"/>
    <n v="76.86574279049708"/>
    <n v="0"/>
    <n v="2176.7922000000008"/>
    <n v="0"/>
    <n v="1944.510542059154"/>
    <x v="4"/>
  </r>
  <r>
    <s v="Regular"/>
    <x v="1"/>
    <x v="2"/>
    <x v="3"/>
    <x v="2"/>
    <x v="0"/>
    <x v="5"/>
    <x v="0"/>
    <x v="5"/>
    <n v="0"/>
    <n v="0"/>
    <n v="8.19"/>
    <n v="8.19"/>
    <n v="8.19"/>
    <n v="8.19"/>
    <n v="16"/>
    <s v="CATIVO"/>
    <n v="0"/>
    <n v="0"/>
    <n v="14"/>
    <n v="52"/>
    <n v="0"/>
    <n v="106.78"/>
    <n v="102.15"/>
    <m/>
    <n v="109.77314099414674"/>
    <n v="76.86574279049708"/>
    <n v="0"/>
    <n v="3177.8838000000005"/>
    <n v="0"/>
    <n v="2838.7774223644333"/>
    <x v="4"/>
  </r>
  <r>
    <s v="Regular"/>
    <x v="1"/>
    <x v="2"/>
    <x v="3"/>
    <x v="2"/>
    <x v="0"/>
    <x v="5"/>
    <x v="0"/>
    <x v="6"/>
    <n v="0"/>
    <n v="0"/>
    <n v="8.43"/>
    <n v="8.43"/>
    <n v="8.43"/>
    <n v="8.43"/>
    <n v="13"/>
    <s v="CATIVO"/>
    <n v="0"/>
    <n v="0"/>
    <n v="14"/>
    <n v="52"/>
    <n v="0"/>
    <n v="106.78"/>
    <n v="102.15"/>
    <m/>
    <n v="109.77314099414674"/>
    <n v="76.86574279049708"/>
    <n v="0"/>
    <n v="3271.0086000000006"/>
    <n v="0"/>
    <n v="2921.9650391370174"/>
    <x v="4"/>
  </r>
  <r>
    <s v="Regular"/>
    <x v="1"/>
    <x v="2"/>
    <x v="3"/>
    <x v="2"/>
    <x v="0"/>
    <x v="5"/>
    <x v="0"/>
    <x v="7"/>
    <n v="0"/>
    <n v="0"/>
    <n v="8.64"/>
    <n v="8.64"/>
    <n v="8.64"/>
    <n v="8.64"/>
    <n v="15"/>
    <s v="CATIVO"/>
    <n v="0"/>
    <n v="0"/>
    <n v="14"/>
    <n v="52"/>
    <n v="0"/>
    <n v="106.78"/>
    <n v="102.15"/>
    <m/>
    <n v="109.77314099414674"/>
    <n v="76.86574279049708"/>
    <n v="0"/>
    <n v="3352.4928000000009"/>
    <n v="0"/>
    <n v="2994.7542038130287"/>
    <x v="4"/>
  </r>
  <r>
    <s v="Regular"/>
    <x v="1"/>
    <x v="2"/>
    <x v="3"/>
    <x v="2"/>
    <x v="0"/>
    <x v="5"/>
    <x v="0"/>
    <x v="8"/>
    <n v="0"/>
    <n v="0"/>
    <n v="9.39"/>
    <n v="9.39"/>
    <n v="9.39"/>
    <n v="9.39"/>
    <n v="14"/>
    <s v="CATIVO"/>
    <n v="0"/>
    <n v="0"/>
    <n v="14"/>
    <n v="52"/>
    <n v="0"/>
    <n v="106.78"/>
    <n v="102.15"/>
    <m/>
    <n v="109.77314099414674"/>
    <n v="76.86574279049708"/>
    <n v="0"/>
    <n v="3643.5078000000012"/>
    <n v="0"/>
    <n v="3254.7155062273541"/>
    <x v="4"/>
  </r>
  <r>
    <s v="Regular"/>
    <x v="1"/>
    <x v="2"/>
    <x v="3"/>
    <x v="2"/>
    <x v="0"/>
    <x v="5"/>
    <x v="0"/>
    <x v="9"/>
    <n v="0"/>
    <n v="0"/>
    <n v="9"/>
    <n v="9"/>
    <n v="9"/>
    <n v="9"/>
    <n v="14"/>
    <s v="CATIVO"/>
    <n v="0"/>
    <n v="0"/>
    <n v="14"/>
    <n v="52"/>
    <n v="0"/>
    <n v="106.78"/>
    <n v="102.15"/>
    <m/>
    <n v="109.77314099414674"/>
    <n v="76.86574279049708"/>
    <n v="0"/>
    <n v="3492.1800000000007"/>
    <n v="0"/>
    <n v="3119.5356289719048"/>
    <x v="4"/>
  </r>
  <r>
    <s v="Regular"/>
    <x v="1"/>
    <x v="2"/>
    <x v="3"/>
    <x v="2"/>
    <x v="0"/>
    <x v="5"/>
    <x v="0"/>
    <x v="10"/>
    <n v="0"/>
    <n v="0"/>
    <n v="7.83"/>
    <n v="7.83"/>
    <n v="7.83"/>
    <n v="7.83"/>
    <n v="10"/>
    <s v="CATIVO"/>
    <n v="0"/>
    <n v="0"/>
    <n v="14"/>
    <n v="52"/>
    <n v="0"/>
    <n v="106.78"/>
    <n v="102.15"/>
    <m/>
    <n v="109.77314099414674"/>
    <n v="76.86574279049708"/>
    <n v="0"/>
    <n v="3038.1966000000007"/>
    <n v="0"/>
    <n v="2713.9959972055572"/>
    <x v="4"/>
  </r>
  <r>
    <s v="PROJETADO"/>
    <x v="1"/>
    <x v="2"/>
    <x v="3"/>
    <x v="2"/>
    <x v="0"/>
    <x v="5"/>
    <x v="0"/>
    <x v="11"/>
    <n v="0"/>
    <n v="0"/>
    <n v="7.83"/>
    <n v="7.83"/>
    <n v="7.83"/>
    <n v="7.83"/>
    <n v="10"/>
    <s v="CATIVO"/>
    <n v="0"/>
    <n v="0"/>
    <n v="14"/>
    <n v="52"/>
    <n v="0"/>
    <n v="106.78"/>
    <n v="102.15"/>
    <m/>
    <n v="109.77314099414674"/>
    <n v="76.86574279049708"/>
    <n v="0"/>
    <n v="3038.1966000000007"/>
    <n v="0"/>
    <n v="2713.9959972055572"/>
    <x v="4"/>
  </r>
  <r>
    <s v="Regular"/>
    <x v="1"/>
    <x v="2"/>
    <x v="3"/>
    <x v="3"/>
    <x v="0"/>
    <x v="5"/>
    <x v="0"/>
    <x v="0"/>
    <n v="0"/>
    <n v="0"/>
    <n v="11.752000000000001"/>
    <n v="11.752000000000001"/>
    <n v="11.752000000000001"/>
    <n v="11.752000000000001"/>
    <n v="28"/>
    <s v="CATIVO"/>
    <n v="0"/>
    <n v="0"/>
    <n v="12"/>
    <n v="63"/>
    <n v="0"/>
    <n v="183.06"/>
    <n v="175.11"/>
    <m/>
    <n v="188.18252741853726"/>
    <n v="131.76984478370929"/>
    <n v="0"/>
    <n v="2806.1425600000007"/>
    <n v="0"/>
    <n v="2506.7201854138689"/>
    <x v="4"/>
  </r>
  <r>
    <s v="Regular"/>
    <x v="1"/>
    <x v="2"/>
    <x v="3"/>
    <x v="3"/>
    <x v="0"/>
    <x v="5"/>
    <x v="0"/>
    <x v="1"/>
    <n v="0"/>
    <n v="0"/>
    <n v="11.974"/>
    <n v="11.974"/>
    <n v="11.974"/>
    <n v="11.974"/>
    <n v="24"/>
    <s v="CATIVO"/>
    <n v="0"/>
    <n v="0"/>
    <n v="12"/>
    <n v="63"/>
    <n v="0"/>
    <n v="183.06"/>
    <n v="175.11"/>
    <m/>
    <n v="188.18252741853726"/>
    <n v="131.76984478370929"/>
    <n v="0"/>
    <n v="2859.1517200000003"/>
    <n v="0"/>
    <n v="2554.073136499801"/>
    <x v="4"/>
  </r>
  <r>
    <s v="Regular"/>
    <x v="1"/>
    <x v="2"/>
    <x v="3"/>
    <x v="3"/>
    <x v="0"/>
    <x v="5"/>
    <x v="0"/>
    <x v="2"/>
    <n v="0"/>
    <n v="0"/>
    <n v="12.063000000000001"/>
    <n v="12.063000000000001"/>
    <n v="12.063000000000001"/>
    <n v="12.063000000000001"/>
    <n v="21"/>
    <s v="CATIVO"/>
    <n v="0"/>
    <n v="0"/>
    <n v="12"/>
    <n v="63"/>
    <n v="0"/>
    <n v="183.06"/>
    <n v="175.11"/>
    <m/>
    <n v="188.18252741853726"/>
    <n v="131.76984478370929"/>
    <n v="0"/>
    <n v="2880.4031400000003"/>
    <n v="0"/>
    <n v="2573.0569772504678"/>
    <x v="4"/>
  </r>
  <r>
    <s v="Regular"/>
    <x v="1"/>
    <x v="2"/>
    <x v="3"/>
    <x v="3"/>
    <x v="0"/>
    <x v="5"/>
    <x v="0"/>
    <x v="3"/>
    <n v="0"/>
    <n v="0"/>
    <n v="11.632"/>
    <n v="11.632"/>
    <n v="11.632"/>
    <n v="11.632"/>
    <n v="33"/>
    <s v="CATIVO"/>
    <n v="0"/>
    <n v="0"/>
    <n v="12"/>
    <n v="63"/>
    <n v="0"/>
    <n v="183.06"/>
    <n v="175.11"/>
    <m/>
    <n v="188.18252741853726"/>
    <n v="131.76984478370929"/>
    <n v="0"/>
    <n v="2777.4889600000001"/>
    <n v="0"/>
    <n v="2481.1239956376889"/>
    <x v="4"/>
  </r>
  <r>
    <s v="Regular"/>
    <x v="1"/>
    <x v="2"/>
    <x v="3"/>
    <x v="3"/>
    <x v="0"/>
    <x v="5"/>
    <x v="0"/>
    <x v="4"/>
    <n v="0"/>
    <n v="0"/>
    <n v="11.725"/>
    <n v="11.725"/>
    <n v="11.725"/>
    <n v="11.725"/>
    <n v="23"/>
    <s v="CATIVO"/>
    <n v="0"/>
    <n v="0"/>
    <n v="12"/>
    <n v="63"/>
    <n v="0"/>
    <n v="183.06"/>
    <n v="175.11"/>
    <m/>
    <n v="188.18252741853726"/>
    <n v="131.76984478370929"/>
    <n v="0"/>
    <n v="2799.6955000000003"/>
    <n v="0"/>
    <n v="2500.9610427142279"/>
    <x v="4"/>
  </r>
  <r>
    <s v="Regular"/>
    <x v="1"/>
    <x v="2"/>
    <x v="3"/>
    <x v="3"/>
    <x v="0"/>
    <x v="5"/>
    <x v="0"/>
    <x v="5"/>
    <n v="0"/>
    <n v="0"/>
    <n v="17.297000000000001"/>
    <n v="17.297000000000001"/>
    <n v="17.297000000000001"/>
    <n v="17.297000000000001"/>
    <n v="27"/>
    <s v="CATIVO"/>
    <n v="0"/>
    <n v="0"/>
    <n v="12"/>
    <n v="63"/>
    <n v="0"/>
    <n v="183.06"/>
    <n v="175.11"/>
    <m/>
    <n v="188.18252741853726"/>
    <n v="131.76984478370929"/>
    <n v="0"/>
    <n v="4130.1776600000003"/>
    <n v="0"/>
    <n v="3689.4774546548406"/>
    <x v="4"/>
  </r>
  <r>
    <s v="Regular"/>
    <x v="1"/>
    <x v="2"/>
    <x v="3"/>
    <x v="3"/>
    <x v="0"/>
    <x v="5"/>
    <x v="0"/>
    <x v="6"/>
    <n v="0"/>
    <n v="0"/>
    <n v="17.948"/>
    <n v="17.948"/>
    <n v="17.948"/>
    <n v="17.948"/>
    <n v="32"/>
    <s v="CATIVO"/>
    <n v="0"/>
    <n v="0"/>
    <n v="12"/>
    <n v="63"/>
    <n v="0"/>
    <n v="183.06"/>
    <n v="175.11"/>
    <m/>
    <n v="188.18252741853726"/>
    <n v="131.76984478370929"/>
    <n v="0"/>
    <n v="4285.6234400000003"/>
    <n v="0"/>
    <n v="3828.3367841906156"/>
    <x v="4"/>
  </r>
  <r>
    <s v="Regular"/>
    <x v="1"/>
    <x v="2"/>
    <x v="3"/>
    <x v="3"/>
    <x v="0"/>
    <x v="5"/>
    <x v="0"/>
    <x v="7"/>
    <n v="0"/>
    <n v="0"/>
    <n v="18.116"/>
    <n v="18.116"/>
    <n v="18.116"/>
    <n v="18.116"/>
    <n v="38"/>
    <s v="CATIVO"/>
    <n v="0"/>
    <n v="0"/>
    <n v="12"/>
    <n v="63"/>
    <n v="0"/>
    <n v="183.06"/>
    <n v="175.11"/>
    <m/>
    <n v="188.18252741853726"/>
    <n v="131.76984478370929"/>
    <n v="0"/>
    <n v="4325.7384800000009"/>
    <n v="0"/>
    <n v="3864.1714498772672"/>
    <x v="4"/>
  </r>
  <r>
    <s v="Regular"/>
    <x v="1"/>
    <x v="2"/>
    <x v="3"/>
    <x v="3"/>
    <x v="0"/>
    <x v="5"/>
    <x v="0"/>
    <x v="8"/>
    <n v="0"/>
    <n v="0"/>
    <n v="19.456"/>
    <n v="19.456"/>
    <n v="19.456"/>
    <n v="19.456"/>
    <n v="50"/>
    <s v="CATIVO"/>
    <n v="0"/>
    <n v="0"/>
    <n v="12"/>
    <n v="63"/>
    <n v="0"/>
    <n v="183.06"/>
    <n v="175.11"/>
    <m/>
    <n v="188.18252741853726"/>
    <n v="131.76984478370929"/>
    <n v="0"/>
    <n v="4645.7036800000005"/>
    <n v="0"/>
    <n v="4149.9955690446077"/>
    <x v="4"/>
  </r>
  <r>
    <s v="Regular"/>
    <x v="1"/>
    <x v="2"/>
    <x v="3"/>
    <x v="3"/>
    <x v="0"/>
    <x v="5"/>
    <x v="0"/>
    <x v="9"/>
    <n v="0"/>
    <n v="0"/>
    <n v="18.814"/>
    <n v="18.814"/>
    <n v="18.814"/>
    <n v="18.814"/>
    <n v="41"/>
    <s v="CATIVO"/>
    <n v="0"/>
    <n v="0"/>
    <n v="12"/>
    <n v="63"/>
    <n v="0"/>
    <n v="183.06"/>
    <n v="175.11"/>
    <m/>
    <n v="188.18252741853726"/>
    <n v="131.76984478370929"/>
    <n v="0"/>
    <n v="4492.4069200000004"/>
    <n v="0"/>
    <n v="4013.0559537420459"/>
    <x v="4"/>
  </r>
  <r>
    <s v="Regular"/>
    <x v="1"/>
    <x v="2"/>
    <x v="3"/>
    <x v="3"/>
    <x v="0"/>
    <x v="5"/>
    <x v="0"/>
    <x v="10"/>
    <n v="0"/>
    <n v="0"/>
    <n v="16.195"/>
    <n v="16.195"/>
    <n v="16.195"/>
    <n v="16.195"/>
    <n v="47"/>
    <s v="CATIVO"/>
    <n v="0"/>
    <n v="0"/>
    <n v="12"/>
    <n v="63"/>
    <n v="0"/>
    <n v="183.06"/>
    <n v="175.11"/>
    <m/>
    <n v="188.18252741853726"/>
    <n v="131.76984478370929"/>
    <n v="0"/>
    <n v="3867.0421000000006"/>
    <n v="0"/>
    <n v="3454.4191118769231"/>
    <x v="4"/>
  </r>
  <r>
    <s v="PROJETADO"/>
    <x v="1"/>
    <x v="2"/>
    <x v="3"/>
    <x v="3"/>
    <x v="0"/>
    <x v="5"/>
    <x v="0"/>
    <x v="11"/>
    <n v="0"/>
    <n v="0"/>
    <n v="16.195"/>
    <n v="16.195"/>
    <n v="16.195"/>
    <n v="16.195"/>
    <n v="47"/>
    <s v="CATIVO"/>
    <n v="0"/>
    <n v="0"/>
    <n v="12"/>
    <n v="63"/>
    <n v="0"/>
    <n v="183.06"/>
    <n v="175.11"/>
    <m/>
    <n v="188.18252741853726"/>
    <n v="131.76984478370929"/>
    <n v="0"/>
    <n v="3867.0421000000006"/>
    <n v="0"/>
    <n v="3454.4191118769231"/>
    <x v="4"/>
  </r>
  <r>
    <s v="Regular"/>
    <x v="1"/>
    <x v="2"/>
    <x v="3"/>
    <x v="4"/>
    <x v="0"/>
    <x v="5"/>
    <x v="0"/>
    <x v="0"/>
    <n v="0"/>
    <n v="0"/>
    <n v="12.407999999999999"/>
    <n v="12.407999999999999"/>
    <n v="12.407999999999999"/>
    <n v="12.407999999999999"/>
    <n v="98"/>
    <s v="CATIVO"/>
    <n v="0"/>
    <n v="0"/>
    <n v="2"/>
    <n v="60"/>
    <n v="0"/>
    <n v="274.58999999999997"/>
    <n v="262.67"/>
    <m/>
    <n v="282.27379112780591"/>
    <n v="197.65476717556396"/>
    <n v="0"/>
    <n v="740.63352000000066"/>
    <n v="0"/>
    <n v="661.66150571424589"/>
    <x v="4"/>
  </r>
  <r>
    <s v="Regular"/>
    <x v="1"/>
    <x v="2"/>
    <x v="3"/>
    <x v="4"/>
    <x v="0"/>
    <x v="5"/>
    <x v="0"/>
    <x v="1"/>
    <n v="0"/>
    <n v="0"/>
    <n v="12.455"/>
    <n v="12.455"/>
    <n v="12.455"/>
    <n v="12.455"/>
    <n v="98"/>
    <s v="CATIVO"/>
    <n v="0"/>
    <n v="0"/>
    <n v="2"/>
    <n v="60"/>
    <n v="0"/>
    <n v="274.58999999999997"/>
    <n v="262.67"/>
    <m/>
    <n v="282.27379112780591"/>
    <n v="197.65476717556396"/>
    <n v="0"/>
    <n v="743.43895000000066"/>
    <n v="0"/>
    <n v="664.16779929649681"/>
    <x v="4"/>
  </r>
  <r>
    <s v="Regular"/>
    <x v="1"/>
    <x v="2"/>
    <x v="3"/>
    <x v="4"/>
    <x v="0"/>
    <x v="5"/>
    <x v="0"/>
    <x v="2"/>
    <n v="0"/>
    <n v="0"/>
    <n v="13.506"/>
    <n v="13.506"/>
    <n v="13.506"/>
    <n v="13.506"/>
    <n v="101"/>
    <s v="CATIVO"/>
    <n v="0"/>
    <n v="0"/>
    <n v="2"/>
    <n v="60"/>
    <n v="0"/>
    <n v="274.58999999999997"/>
    <n v="262.67"/>
    <m/>
    <n v="282.27379112780591"/>
    <n v="197.65476717556396"/>
    <n v="0"/>
    <n v="806.17314000000079"/>
    <n v="0"/>
    <n v="720.2127898272571"/>
    <x v="4"/>
  </r>
  <r>
    <s v="Regular"/>
    <x v="1"/>
    <x v="2"/>
    <x v="3"/>
    <x v="4"/>
    <x v="0"/>
    <x v="5"/>
    <x v="0"/>
    <x v="3"/>
    <n v="0"/>
    <n v="0"/>
    <n v="11.481999999999999"/>
    <n v="11.481999999999999"/>
    <n v="11.481999999999999"/>
    <n v="11.481999999999999"/>
    <n v="97"/>
    <s v="CATIVO"/>
    <n v="0"/>
    <n v="0"/>
    <n v="2"/>
    <n v="60"/>
    <n v="0"/>
    <n v="274.58999999999997"/>
    <n v="262.67"/>
    <m/>
    <n v="282.27379112780591"/>
    <n v="197.65476717556396"/>
    <n v="0"/>
    <n v="685.3605800000006"/>
    <n v="0"/>
    <n v="612.28218960436584"/>
    <x v="4"/>
  </r>
  <r>
    <s v="Regular"/>
    <x v="1"/>
    <x v="2"/>
    <x v="3"/>
    <x v="4"/>
    <x v="0"/>
    <x v="5"/>
    <x v="0"/>
    <x v="4"/>
    <n v="0"/>
    <n v="0"/>
    <n v="13.247999999999999"/>
    <n v="13.247999999999999"/>
    <n v="13.247999999999999"/>
    <n v="13.247999999999999"/>
    <n v="93"/>
    <s v="CATIVO"/>
    <n v="0"/>
    <n v="0"/>
    <n v="2"/>
    <n v="60"/>
    <n v="0"/>
    <n v="274.58999999999997"/>
    <n v="262.67"/>
    <m/>
    <n v="282.27379112780591"/>
    <n v="197.65476717556396"/>
    <n v="0"/>
    <n v="790.77312000000063"/>
    <n v="0"/>
    <n v="706.45483782256042"/>
    <x v="4"/>
  </r>
  <r>
    <s v="Regular"/>
    <x v="1"/>
    <x v="2"/>
    <x v="3"/>
    <x v="4"/>
    <x v="0"/>
    <x v="5"/>
    <x v="0"/>
    <x v="5"/>
    <n v="0"/>
    <n v="0"/>
    <n v="22.48"/>
    <n v="22.48"/>
    <n v="22.48"/>
    <n v="22.48"/>
    <n v="100"/>
    <s v="CATIVO"/>
    <n v="0"/>
    <n v="0"/>
    <n v="2"/>
    <n v="60"/>
    <n v="0"/>
    <n v="274.58999999999997"/>
    <n v="262.67"/>
    <m/>
    <n v="282.27379112780591"/>
    <n v="197.65476717556396"/>
    <n v="0"/>
    <n v="1341.8312000000012"/>
    <n v="0"/>
    <n v="1198.7548878510838"/>
    <x v="4"/>
  </r>
  <r>
    <s v="Regular"/>
    <x v="1"/>
    <x v="2"/>
    <x v="3"/>
    <x v="4"/>
    <x v="0"/>
    <x v="5"/>
    <x v="0"/>
    <x v="6"/>
    <n v="0"/>
    <n v="0"/>
    <n v="21.47"/>
    <n v="21.47"/>
    <n v="21.47"/>
    <n v="21.47"/>
    <n v="126"/>
    <s v="CATIVO"/>
    <n v="0"/>
    <n v="0"/>
    <n v="2"/>
    <n v="60"/>
    <n v="0"/>
    <n v="274.58999999999997"/>
    <n v="262.67"/>
    <m/>
    <n v="282.27379112780591"/>
    <n v="197.65476717556396"/>
    <n v="0"/>
    <n v="1281.5443000000012"/>
    <n v="0"/>
    <n v="1144.8962385303723"/>
    <x v="4"/>
  </r>
  <r>
    <s v="Regular"/>
    <x v="1"/>
    <x v="2"/>
    <x v="3"/>
    <x v="4"/>
    <x v="0"/>
    <x v="5"/>
    <x v="0"/>
    <x v="7"/>
    <n v="0"/>
    <n v="0"/>
    <n v="18.599"/>
    <n v="18.599"/>
    <n v="18.599"/>
    <n v="18.599"/>
    <n v="161"/>
    <s v="CATIVO"/>
    <n v="0"/>
    <n v="0"/>
    <n v="2"/>
    <n v="60"/>
    <n v="0"/>
    <n v="274.58999999999997"/>
    <n v="262.67"/>
    <m/>
    <n v="282.27379112780591"/>
    <n v="197.65476717556396"/>
    <n v="0"/>
    <n v="1110.174310000001"/>
    <n v="0"/>
    <n v="991.79902843159732"/>
    <x v="4"/>
  </r>
  <r>
    <s v="Regular"/>
    <x v="1"/>
    <x v="2"/>
    <x v="3"/>
    <x v="4"/>
    <x v="0"/>
    <x v="5"/>
    <x v="0"/>
    <x v="8"/>
    <n v="0"/>
    <n v="0"/>
    <n v="19.41"/>
    <n v="19.41"/>
    <n v="19.41"/>
    <n v="19.41"/>
    <n v="170"/>
    <s v="CATIVO"/>
    <n v="0"/>
    <n v="0"/>
    <n v="2"/>
    <n v="60"/>
    <n v="0"/>
    <n v="274.58999999999997"/>
    <n v="262.67"/>
    <m/>
    <n v="282.27379112780591"/>
    <n v="197.65476717556396"/>
    <n v="0"/>
    <n v="1158.582900000001"/>
    <n v="0"/>
    <n v="1035.0459240742678"/>
    <x v="4"/>
  </r>
  <r>
    <s v="Regular"/>
    <x v="1"/>
    <x v="2"/>
    <x v="3"/>
    <x v="4"/>
    <x v="0"/>
    <x v="5"/>
    <x v="0"/>
    <x v="9"/>
    <n v="0"/>
    <n v="0"/>
    <n v="20.244"/>
    <n v="20.244"/>
    <n v="20.244"/>
    <n v="20.244"/>
    <n v="153"/>
    <s v="CATIVO"/>
    <n v="0"/>
    <n v="0"/>
    <n v="2"/>
    <n v="60"/>
    <n v="0"/>
    <n v="274.58999999999997"/>
    <n v="262.67"/>
    <m/>
    <n v="282.27379112780591"/>
    <n v="197.65476717556396"/>
    <n v="0"/>
    <n v="1208.3643600000012"/>
    <n v="0"/>
    <n v="1079.5193038103801"/>
    <x v="4"/>
  </r>
  <r>
    <s v="Regular"/>
    <x v="1"/>
    <x v="2"/>
    <x v="3"/>
    <x v="4"/>
    <x v="0"/>
    <x v="5"/>
    <x v="0"/>
    <x v="10"/>
    <n v="0"/>
    <n v="0"/>
    <n v="17.539000000000001"/>
    <n v="17.539000000000001"/>
    <n v="17.539000000000001"/>
    <n v="17.539000000000001"/>
    <n v="123"/>
    <s v="CATIVO"/>
    <n v="0"/>
    <n v="0"/>
    <n v="2"/>
    <n v="60"/>
    <n v="0"/>
    <n v="274.58999999999997"/>
    <n v="262.67"/>
    <m/>
    <n v="282.27379112780591"/>
    <n v="197.65476717556396"/>
    <n v="0"/>
    <n v="1046.9029100000012"/>
    <n v="0"/>
    <n v="935.27410934253385"/>
    <x v="4"/>
  </r>
  <r>
    <s v="PROJETADO"/>
    <x v="1"/>
    <x v="2"/>
    <x v="3"/>
    <x v="4"/>
    <x v="0"/>
    <x v="5"/>
    <x v="0"/>
    <x v="11"/>
    <n v="0"/>
    <n v="0"/>
    <n v="17.539000000000001"/>
    <n v="17.539000000000001"/>
    <n v="17.539000000000001"/>
    <n v="17.539000000000001"/>
    <n v="123"/>
    <s v="CATIVO"/>
    <n v="0"/>
    <n v="0"/>
    <n v="2"/>
    <n v="60"/>
    <n v="0"/>
    <n v="274.58999999999997"/>
    <n v="262.67"/>
    <m/>
    <n v="282.27379112780591"/>
    <n v="197.65476717556396"/>
    <n v="0"/>
    <n v="1046.9029100000012"/>
    <n v="0"/>
    <n v="935.27410934253385"/>
    <x v="4"/>
  </r>
  <r>
    <s v="Regular"/>
    <x v="1"/>
    <x v="2"/>
    <x v="3"/>
    <x v="5"/>
    <x v="0"/>
    <x v="5"/>
    <x v="0"/>
    <x v="0"/>
    <n v="0"/>
    <n v="0"/>
    <n v="3.452"/>
    <n v="3.452"/>
    <n v="3.452"/>
    <n v="3.452"/>
    <n v="53"/>
    <s v="CATIVO"/>
    <n v="0"/>
    <n v="0"/>
    <n v="6"/>
    <n v="54"/>
    <n v="0"/>
    <n v="305.10000000000002"/>
    <n v="291.85000000000002"/>
    <m/>
    <n v="313.63754569756213"/>
    <n v="219.61640797284883"/>
    <n v="0"/>
    <n v="0"/>
    <n v="0"/>
    <n v="0"/>
    <x v="4"/>
  </r>
  <r>
    <s v="Regular"/>
    <x v="1"/>
    <x v="2"/>
    <x v="3"/>
    <x v="5"/>
    <x v="0"/>
    <x v="5"/>
    <x v="0"/>
    <x v="1"/>
    <n v="0"/>
    <n v="0"/>
    <n v="4.0410000000000004"/>
    <n v="4.0410000000000004"/>
    <n v="4.0410000000000004"/>
    <n v="4.0410000000000004"/>
    <n v="57"/>
    <s v="CATIVO"/>
    <n v="0"/>
    <n v="0"/>
    <n v="6"/>
    <n v="54"/>
    <n v="0"/>
    <n v="305.10000000000002"/>
    <n v="291.85000000000002"/>
    <m/>
    <n v="313.63754569756213"/>
    <n v="219.61640797284883"/>
    <n v="0"/>
    <n v="0"/>
    <n v="0"/>
    <n v="0"/>
    <x v="4"/>
  </r>
  <r>
    <s v="Regular"/>
    <x v="1"/>
    <x v="2"/>
    <x v="3"/>
    <x v="5"/>
    <x v="0"/>
    <x v="5"/>
    <x v="0"/>
    <x v="2"/>
    <n v="0"/>
    <n v="0"/>
    <n v="4.5439999999999996"/>
    <n v="4.5439999999999996"/>
    <n v="4.5439999999999996"/>
    <n v="4.5439999999999996"/>
    <n v="59"/>
    <s v="CATIVO"/>
    <n v="0"/>
    <n v="0"/>
    <n v="6"/>
    <n v="54"/>
    <n v="0"/>
    <n v="305.10000000000002"/>
    <n v="291.85000000000002"/>
    <m/>
    <n v="313.63754569756213"/>
    <n v="219.61640797284883"/>
    <n v="0"/>
    <n v="0"/>
    <n v="0"/>
    <n v="0"/>
    <x v="4"/>
  </r>
  <r>
    <s v="Regular"/>
    <x v="1"/>
    <x v="2"/>
    <x v="3"/>
    <x v="5"/>
    <x v="0"/>
    <x v="5"/>
    <x v="0"/>
    <x v="3"/>
    <n v="0"/>
    <n v="0"/>
    <n v="2.8109999999999999"/>
    <n v="2.8109999999999999"/>
    <n v="2.8109999999999999"/>
    <n v="2.8109999999999999"/>
    <n v="48"/>
    <s v="CATIVO"/>
    <n v="0"/>
    <n v="0"/>
    <n v="6"/>
    <n v="54"/>
    <n v="0"/>
    <n v="305.10000000000002"/>
    <n v="291.85000000000002"/>
    <m/>
    <n v="313.63754569756213"/>
    <n v="219.61640797284883"/>
    <n v="0"/>
    <n v="0"/>
    <n v="0"/>
    <n v="0"/>
    <x v="4"/>
  </r>
  <r>
    <s v="Regular"/>
    <x v="1"/>
    <x v="2"/>
    <x v="3"/>
    <x v="5"/>
    <x v="0"/>
    <x v="5"/>
    <x v="0"/>
    <x v="4"/>
    <n v="0"/>
    <n v="0"/>
    <n v="4.9960000000000004"/>
    <n v="4.9960000000000004"/>
    <n v="4.9960000000000004"/>
    <n v="4.9960000000000004"/>
    <n v="61"/>
    <s v="CATIVO"/>
    <n v="0"/>
    <n v="0"/>
    <n v="6"/>
    <n v="54"/>
    <n v="0"/>
    <n v="305.10000000000002"/>
    <n v="291.85000000000002"/>
    <m/>
    <n v="313.63754569756213"/>
    <n v="219.61640797284883"/>
    <n v="0"/>
    <n v="0"/>
    <n v="0"/>
    <n v="0"/>
    <x v="4"/>
  </r>
  <r>
    <s v="Regular"/>
    <x v="1"/>
    <x v="2"/>
    <x v="3"/>
    <x v="5"/>
    <x v="0"/>
    <x v="5"/>
    <x v="0"/>
    <x v="5"/>
    <n v="0"/>
    <n v="0"/>
    <n v="16.841000000000001"/>
    <n v="16.841000000000001"/>
    <n v="16.841000000000001"/>
    <n v="16.841000000000001"/>
    <n v="130"/>
    <s v="CATIVO"/>
    <n v="0"/>
    <n v="0"/>
    <n v="6"/>
    <n v="54"/>
    <n v="0"/>
    <n v="305.10000000000002"/>
    <n v="291.85000000000002"/>
    <m/>
    <n v="313.63754569756213"/>
    <n v="219.61640797284883"/>
    <n v="0"/>
    <n v="0"/>
    <n v="0"/>
    <n v="0"/>
    <x v="4"/>
  </r>
  <r>
    <s v="Regular"/>
    <x v="1"/>
    <x v="2"/>
    <x v="3"/>
    <x v="5"/>
    <x v="0"/>
    <x v="5"/>
    <x v="0"/>
    <x v="6"/>
    <n v="0"/>
    <n v="0"/>
    <n v="11.708"/>
    <n v="11.708"/>
    <n v="11.708"/>
    <n v="11.708"/>
    <n v="110"/>
    <s v="CATIVO"/>
    <n v="0"/>
    <n v="0"/>
    <n v="6"/>
    <n v="54"/>
    <n v="0"/>
    <n v="305.10000000000002"/>
    <n v="291.85000000000002"/>
    <m/>
    <n v="313.63754569756213"/>
    <n v="219.61640797284883"/>
    <n v="0"/>
    <n v="0"/>
    <n v="0"/>
    <n v="0"/>
    <x v="4"/>
  </r>
  <r>
    <s v="Regular"/>
    <x v="1"/>
    <x v="2"/>
    <x v="3"/>
    <x v="5"/>
    <x v="0"/>
    <x v="5"/>
    <x v="0"/>
    <x v="7"/>
    <n v="0"/>
    <n v="0"/>
    <n v="5.2409999999999997"/>
    <n v="5.2409999999999997"/>
    <n v="5.2409999999999997"/>
    <n v="5.2409999999999997"/>
    <n v="74"/>
    <s v="CATIVO"/>
    <n v="0"/>
    <n v="0"/>
    <n v="6"/>
    <n v="54"/>
    <n v="0"/>
    <n v="305.10000000000002"/>
    <n v="291.85000000000002"/>
    <m/>
    <n v="313.63754569756213"/>
    <n v="219.61640797284883"/>
    <n v="0"/>
    <n v="0"/>
    <n v="0"/>
    <n v="0"/>
    <x v="4"/>
  </r>
  <r>
    <s v="Regular"/>
    <x v="1"/>
    <x v="2"/>
    <x v="3"/>
    <x v="5"/>
    <x v="0"/>
    <x v="5"/>
    <x v="0"/>
    <x v="8"/>
    <n v="0"/>
    <n v="0"/>
    <n v="5.3920000000000003"/>
    <n v="5.3920000000000003"/>
    <n v="5.3920000000000003"/>
    <n v="5.3920000000000003"/>
    <n v="79"/>
    <s v="CATIVO"/>
    <n v="0"/>
    <n v="0"/>
    <n v="6"/>
    <n v="54"/>
    <n v="0"/>
    <n v="305.10000000000002"/>
    <n v="291.85000000000002"/>
    <m/>
    <n v="313.63754569756213"/>
    <n v="219.61640797284883"/>
    <n v="0"/>
    <n v="0"/>
    <n v="0"/>
    <n v="0"/>
    <x v="4"/>
  </r>
  <r>
    <s v="Regular"/>
    <x v="1"/>
    <x v="2"/>
    <x v="3"/>
    <x v="5"/>
    <x v="0"/>
    <x v="5"/>
    <x v="0"/>
    <x v="9"/>
    <n v="0"/>
    <n v="0"/>
    <n v="8.2720000000000002"/>
    <n v="8.2720000000000002"/>
    <n v="8.2720000000000002"/>
    <n v="8.2720000000000002"/>
    <n v="92"/>
    <s v="CATIVO"/>
    <n v="0"/>
    <n v="0"/>
    <n v="6"/>
    <n v="54"/>
    <n v="0"/>
    <n v="305.10000000000002"/>
    <n v="291.85000000000002"/>
    <m/>
    <n v="313.63754569756213"/>
    <n v="219.61640797284883"/>
    <n v="0"/>
    <n v="0"/>
    <n v="0"/>
    <n v="0"/>
    <x v="4"/>
  </r>
  <r>
    <s v="Regular"/>
    <x v="1"/>
    <x v="2"/>
    <x v="3"/>
    <x v="5"/>
    <x v="0"/>
    <x v="5"/>
    <x v="0"/>
    <x v="10"/>
    <n v="0"/>
    <n v="0"/>
    <n v="6.8289999999999997"/>
    <n v="6.8289999999999997"/>
    <n v="6.8289999999999997"/>
    <n v="6.8289999999999997"/>
    <n v="81"/>
    <s v="CATIVO"/>
    <n v="0"/>
    <n v="0"/>
    <n v="6"/>
    <n v="54"/>
    <n v="0"/>
    <n v="305.10000000000002"/>
    <n v="291.85000000000002"/>
    <m/>
    <n v="313.63754569756213"/>
    <n v="219.61640797284883"/>
    <n v="0"/>
    <n v="0"/>
    <n v="0"/>
    <n v="0"/>
    <x v="4"/>
  </r>
  <r>
    <s v="PROJETADO"/>
    <x v="1"/>
    <x v="2"/>
    <x v="3"/>
    <x v="5"/>
    <x v="0"/>
    <x v="5"/>
    <x v="0"/>
    <x v="11"/>
    <n v="0"/>
    <n v="0"/>
    <n v="6.8289999999999997"/>
    <n v="6.8289999999999997"/>
    <n v="6.8289999999999997"/>
    <n v="6.8289999999999997"/>
    <n v="81"/>
    <s v="CATIVO"/>
    <n v="0"/>
    <n v="0"/>
    <n v="6"/>
    <n v="54"/>
    <n v="0"/>
    <n v="305.10000000000002"/>
    <n v="291.85000000000002"/>
    <m/>
    <n v="313.63754569756213"/>
    <n v="219.61640797284883"/>
    <n v="0"/>
    <n v="0"/>
    <n v="0"/>
    <n v="0"/>
    <x v="4"/>
  </r>
  <r>
    <s v="Regular"/>
    <x v="2"/>
    <x v="2"/>
    <x v="2"/>
    <x v="6"/>
    <x v="2"/>
    <x v="5"/>
    <x v="0"/>
    <x v="0"/>
    <n v="0"/>
    <n v="0"/>
    <n v="133.84200000000001"/>
    <n v="133.84200000000001"/>
    <n v="133.84200000000001"/>
    <n v="133.84200000000001"/>
    <n v="0"/>
    <s v="CATIVO"/>
    <n v="0"/>
    <n v="0"/>
    <n v="36"/>
    <n v="80"/>
    <n v="0"/>
    <n v="326.19"/>
    <n v="256.83"/>
    <m/>
    <n v="394.26378890128336"/>
    <n v="206.43942349447789"/>
    <n v="0"/>
    <n v="10639.100580000002"/>
    <n v="0"/>
    <n v="5131.8714480940507"/>
    <x v="2"/>
  </r>
  <r>
    <s v="Sistema de Compensação"/>
    <x v="2"/>
    <x v="2"/>
    <x v="2"/>
    <x v="6"/>
    <x v="2"/>
    <x v="5"/>
    <x v="0"/>
    <x v="0"/>
    <n v="0"/>
    <n v="0"/>
    <n v="4.0759999999999996"/>
    <n v="4.0759999999999996"/>
    <n v="4.0759999999999996"/>
    <n v="4.0759999999999996"/>
    <n v="0"/>
    <s v="CATIVO"/>
    <n v="0"/>
    <n v="0"/>
    <n v="36"/>
    <n v="80"/>
    <n v="0"/>
    <n v="326.19"/>
    <n v="256.83"/>
    <m/>
    <n v="394.26378890128336"/>
    <n v="206.43942349447789"/>
    <n v="0"/>
    <n v="324.00124"/>
    <n v="0"/>
    <n v="156.28508257819925"/>
    <x v="2"/>
  </r>
  <r>
    <s v="Regular"/>
    <x v="2"/>
    <x v="2"/>
    <x v="2"/>
    <x v="6"/>
    <x v="2"/>
    <x v="5"/>
    <x v="0"/>
    <x v="1"/>
    <n v="0"/>
    <n v="0"/>
    <n v="181.97499999999999"/>
    <n v="181.97499999999999"/>
    <n v="181.97499999999999"/>
    <n v="181.97499999999999"/>
    <n v="0"/>
    <s v="CATIVO"/>
    <n v="0"/>
    <n v="0"/>
    <n v="36"/>
    <n v="80"/>
    <n v="0"/>
    <n v="326.19"/>
    <n v="256.83"/>
    <m/>
    <n v="394.26378890128336"/>
    <n v="206.43942349447789"/>
    <n v="0"/>
    <n v="14465.192750000002"/>
    <n v="0"/>
    <n v="6977.4234303650182"/>
    <x v="2"/>
  </r>
  <r>
    <s v="Sistema de Compensação"/>
    <x v="2"/>
    <x v="2"/>
    <x v="2"/>
    <x v="6"/>
    <x v="2"/>
    <x v="5"/>
    <x v="0"/>
    <x v="1"/>
    <n v="0"/>
    <n v="0"/>
    <n v="1.5580000000000001"/>
    <n v="1.5580000000000001"/>
    <n v="1.5580000000000001"/>
    <n v="1.5580000000000001"/>
    <n v="0"/>
    <s v="CATIVO"/>
    <n v="0"/>
    <n v="0"/>
    <n v="36"/>
    <n v="80"/>
    <n v="0"/>
    <n v="326.19"/>
    <n v="256.83"/>
    <m/>
    <n v="394.26378890128336"/>
    <n v="206.43942349447789"/>
    <n v="0"/>
    <n v="123.84542000000002"/>
    <n v="0"/>
    <n v="59.738017334846539"/>
    <x v="2"/>
  </r>
  <r>
    <s v="Regular"/>
    <x v="2"/>
    <x v="2"/>
    <x v="2"/>
    <x v="6"/>
    <x v="2"/>
    <x v="5"/>
    <x v="0"/>
    <x v="2"/>
    <n v="0"/>
    <n v="0"/>
    <n v="131.28299999999999"/>
    <n v="131.28299999999999"/>
    <n v="131.28299999999999"/>
    <n v="131.28299999999999"/>
    <n v="0"/>
    <s v="CATIVO"/>
    <n v="0"/>
    <n v="0"/>
    <n v="36"/>
    <n v="80"/>
    <n v="0"/>
    <n v="326.19"/>
    <n v="256.83"/>
    <m/>
    <n v="394.26378890128336"/>
    <n v="206.43942349447789"/>
    <n v="0"/>
    <n v="10435.685670000001"/>
    <n v="0"/>
    <n v="5033.7523297629377"/>
    <x v="2"/>
  </r>
  <r>
    <s v="Sistema de Compensação"/>
    <x v="2"/>
    <x v="2"/>
    <x v="2"/>
    <x v="6"/>
    <x v="2"/>
    <x v="5"/>
    <x v="0"/>
    <x v="2"/>
    <n v="0"/>
    <n v="0"/>
    <n v="2.0630000000000002"/>
    <n v="2.0630000000000002"/>
    <n v="2.0630000000000002"/>
    <n v="2.0630000000000002"/>
    <n v="0"/>
    <s v="CATIVO"/>
    <n v="0"/>
    <n v="0"/>
    <n v="36"/>
    <n v="80"/>
    <n v="0"/>
    <n v="326.19"/>
    <n v="256.83"/>
    <m/>
    <n v="394.26378890128336"/>
    <n v="206.43942349447789"/>
    <n v="0"/>
    <n v="163.98787000000004"/>
    <n v="0"/>
    <n v="79.101110245050322"/>
    <x v="2"/>
  </r>
  <r>
    <s v="Regular"/>
    <x v="2"/>
    <x v="2"/>
    <x v="2"/>
    <x v="6"/>
    <x v="2"/>
    <x v="5"/>
    <x v="0"/>
    <x v="3"/>
    <n v="0"/>
    <n v="0"/>
    <n v="115.495"/>
    <n v="115.495"/>
    <n v="115.495"/>
    <n v="115.495"/>
    <n v="0"/>
    <s v="CATIVO"/>
    <n v="0"/>
    <n v="0"/>
    <n v="36"/>
    <n v="80"/>
    <n v="0"/>
    <n v="326.19"/>
    <n v="256.83"/>
    <m/>
    <n v="394.26378890128336"/>
    <n v="206.43942349447789"/>
    <n v="0"/>
    <n v="9180.6975500000008"/>
    <n v="0"/>
    <n v="4428.3968627009635"/>
    <x v="2"/>
  </r>
  <r>
    <s v="Sistema de Compensação"/>
    <x v="2"/>
    <x v="2"/>
    <x v="2"/>
    <x v="6"/>
    <x v="2"/>
    <x v="5"/>
    <x v="0"/>
    <x v="3"/>
    <n v="0"/>
    <n v="0"/>
    <n v="2.5190000000000001"/>
    <n v="2.5190000000000001"/>
    <n v="2.5190000000000001"/>
    <n v="2.5190000000000001"/>
    <n v="0"/>
    <s v="CATIVO"/>
    <n v="0"/>
    <n v="0"/>
    <n v="36"/>
    <n v="80"/>
    <n v="0"/>
    <n v="326.19"/>
    <n v="256.83"/>
    <m/>
    <n v="394.26378890128336"/>
    <n v="206.43942349447789"/>
    <n v="0"/>
    <n v="200.23531000000003"/>
    <n v="0"/>
    <n v="96.585408001590778"/>
    <x v="2"/>
  </r>
  <r>
    <s v="Regular"/>
    <x v="2"/>
    <x v="2"/>
    <x v="2"/>
    <x v="6"/>
    <x v="2"/>
    <x v="5"/>
    <x v="0"/>
    <x v="4"/>
    <n v="0"/>
    <n v="0"/>
    <n v="131.422"/>
    <n v="131.422"/>
    <n v="131.422"/>
    <n v="131.422"/>
    <n v="0"/>
    <s v="CATIVO"/>
    <n v="0"/>
    <n v="0"/>
    <n v="36"/>
    <n v="80"/>
    <n v="0"/>
    <n v="326.19"/>
    <n v="256.83"/>
    <m/>
    <n v="394.26378890128336"/>
    <n v="206.43942349447789"/>
    <n v="0"/>
    <n v="10446.734780000001"/>
    <n v="0"/>
    <n v="5039.0819731580241"/>
    <x v="2"/>
  </r>
  <r>
    <s v="Sistema de Compensação"/>
    <x v="2"/>
    <x v="2"/>
    <x v="2"/>
    <x v="6"/>
    <x v="2"/>
    <x v="5"/>
    <x v="0"/>
    <x v="4"/>
    <n v="0"/>
    <n v="0"/>
    <n v="5.9550000000000001"/>
    <n v="5.9550000000000001"/>
    <n v="5.9550000000000001"/>
    <n v="5.9550000000000001"/>
    <n v="0"/>
    <s v="CATIVO"/>
    <n v="0"/>
    <n v="0"/>
    <n v="36"/>
    <n v="80"/>
    <n v="0"/>
    <n v="326.19"/>
    <n v="256.83"/>
    <m/>
    <n v="394.26378890128336"/>
    <n v="206.43942349447789"/>
    <n v="0"/>
    <n v="473.36295000000007"/>
    <n v="0"/>
    <n v="228.33112530745257"/>
    <x v="2"/>
  </r>
  <r>
    <s v="Regular"/>
    <x v="2"/>
    <x v="2"/>
    <x v="2"/>
    <x v="6"/>
    <x v="2"/>
    <x v="5"/>
    <x v="0"/>
    <x v="5"/>
    <n v="0"/>
    <n v="0"/>
    <n v="146.76900000000001"/>
    <n v="146.76900000000001"/>
    <n v="146.76900000000001"/>
    <n v="146.76900000000001"/>
    <n v="0"/>
    <s v="CATIVO"/>
    <n v="0"/>
    <n v="0"/>
    <n v="36"/>
    <n v="80"/>
    <n v="0"/>
    <n v="326.19"/>
    <n v="256.83"/>
    <m/>
    <n v="394.26378890128336"/>
    <n v="206.43942349447789"/>
    <n v="0"/>
    <n v="11666.667810000003"/>
    <n v="0"/>
    <n v="5627.5282838370294"/>
    <x v="2"/>
  </r>
  <r>
    <s v="Sistema de Compensação"/>
    <x v="2"/>
    <x v="2"/>
    <x v="2"/>
    <x v="6"/>
    <x v="2"/>
    <x v="5"/>
    <x v="0"/>
    <x v="5"/>
    <n v="0"/>
    <n v="0"/>
    <n v="3.589"/>
    <n v="3.589"/>
    <n v="3.589"/>
    <n v="3.589"/>
    <n v="0"/>
    <s v="CATIVO"/>
    <n v="0"/>
    <n v="0"/>
    <n v="36"/>
    <n v="80"/>
    <n v="0"/>
    <n v="326.19"/>
    <n v="256.83"/>
    <m/>
    <n v="394.26378890128336"/>
    <n v="206.43942349447789"/>
    <n v="0"/>
    <n v="285.28961000000004"/>
    <n v="0"/>
    <n v="137.61215931627999"/>
    <x v="2"/>
  </r>
  <r>
    <s v="Regular"/>
    <x v="2"/>
    <x v="2"/>
    <x v="2"/>
    <x v="6"/>
    <x v="2"/>
    <x v="5"/>
    <x v="0"/>
    <x v="6"/>
    <n v="0"/>
    <n v="0"/>
    <n v="170.96600000000001"/>
    <n v="170.96600000000001"/>
    <n v="170.96600000000001"/>
    <n v="170.96600000000001"/>
    <n v="0"/>
    <s v="CATIVO"/>
    <n v="0"/>
    <n v="0"/>
    <n v="36"/>
    <n v="80"/>
    <n v="0"/>
    <n v="326.19"/>
    <n v="256.83"/>
    <m/>
    <n v="394.26378890128336"/>
    <n v="206.43942349447789"/>
    <n v="0"/>
    <n v="13590.087340000002"/>
    <n v="0"/>
    <n v="6555.3080049225755"/>
    <x v="2"/>
  </r>
  <r>
    <s v="Sistema de Compensação"/>
    <x v="2"/>
    <x v="2"/>
    <x v="2"/>
    <x v="6"/>
    <x v="2"/>
    <x v="5"/>
    <x v="0"/>
    <x v="6"/>
    <n v="0"/>
    <n v="0"/>
    <n v="10.715"/>
    <n v="10.715"/>
    <n v="10.715"/>
    <n v="10.715"/>
    <n v="0"/>
    <s v="CATIVO"/>
    <n v="0"/>
    <n v="0"/>
    <n v="36"/>
    <n v="80"/>
    <n v="0"/>
    <n v="326.19"/>
    <n v="256.83"/>
    <m/>
    <n v="394.26378890128336"/>
    <n v="206.43942349447789"/>
    <n v="0"/>
    <n v="851.73535000000004"/>
    <n v="0"/>
    <n v="410.84265452046253"/>
    <x v="2"/>
  </r>
  <r>
    <s v="Regular"/>
    <x v="2"/>
    <x v="2"/>
    <x v="2"/>
    <x v="6"/>
    <x v="2"/>
    <x v="5"/>
    <x v="0"/>
    <x v="7"/>
    <n v="0"/>
    <n v="0"/>
    <n v="165.13200000000001"/>
    <n v="165.13200000000001"/>
    <n v="165.13200000000001"/>
    <n v="165.13200000000001"/>
    <n v="0"/>
    <s v="CATIVO"/>
    <n v="0"/>
    <n v="0"/>
    <n v="36"/>
    <n v="80"/>
    <n v="0"/>
    <n v="326.19"/>
    <n v="256.83"/>
    <m/>
    <n v="394.26378890128336"/>
    <n v="206.43942349447789"/>
    <n v="0"/>
    <n v="13126.342680000002"/>
    <n v="0"/>
    <n v="6331.6163533619247"/>
    <x v="2"/>
  </r>
  <r>
    <s v="Refaturamento - Regular"/>
    <x v="2"/>
    <x v="2"/>
    <x v="2"/>
    <x v="6"/>
    <x v="2"/>
    <x v="5"/>
    <x v="0"/>
    <x v="7"/>
    <n v="0"/>
    <n v="0"/>
    <n v="-0.29399999999999998"/>
    <n v="-0.29399999999999998"/>
    <n v="-0.29399999999999998"/>
    <n v="-0.29399999999999998"/>
    <n v="0"/>
    <s v="CATIVO"/>
    <n v="0"/>
    <n v="0"/>
    <n v="36"/>
    <n v="80"/>
    <n v="0"/>
    <n v="326.19"/>
    <n v="256.83"/>
    <m/>
    <n v="394.26378890128336"/>
    <n v="206.43942349447789"/>
    <n v="0"/>
    <n v="-23.370060000000002"/>
    <n v="0"/>
    <n v="-11.272770921980026"/>
    <x v="2"/>
  </r>
  <r>
    <s v="Sistema de Compensação"/>
    <x v="2"/>
    <x v="2"/>
    <x v="2"/>
    <x v="6"/>
    <x v="2"/>
    <x v="5"/>
    <x v="0"/>
    <x v="7"/>
    <n v="0"/>
    <n v="0"/>
    <n v="15.925000000000001"/>
    <n v="15.925000000000001"/>
    <n v="15.925000000000001"/>
    <n v="15.925000000000001"/>
    <n v="0"/>
    <s v="CATIVO"/>
    <n v="0"/>
    <n v="0"/>
    <n v="36"/>
    <n v="80"/>
    <n v="0"/>
    <n v="326.19"/>
    <n v="256.83"/>
    <m/>
    <n v="394.26378890128336"/>
    <n v="206.43942349447789"/>
    <n v="0"/>
    <n v="1265.8782500000002"/>
    <n v="0"/>
    <n v="610.60842494058477"/>
    <x v="2"/>
  </r>
  <r>
    <s v="Sistema de Compensação"/>
    <x v="2"/>
    <x v="2"/>
    <x v="2"/>
    <x v="6"/>
    <x v="2"/>
    <x v="5"/>
    <x v="0"/>
    <x v="7"/>
    <n v="0"/>
    <n v="0"/>
    <n v="-14.53"/>
    <n v="-14.53"/>
    <n v="-14.53"/>
    <n v="-14.53"/>
    <n v="0"/>
    <s v="CATIVO"/>
    <n v="0"/>
    <n v="0"/>
    <n v="36"/>
    <n v="80"/>
    <n v="0"/>
    <n v="326.19"/>
    <n v="256.83"/>
    <m/>
    <n v="394.26378890128336"/>
    <n v="206.43942349447789"/>
    <n v="0"/>
    <n v="-1154.9897000000001"/>
    <n v="0"/>
    <n v="-557.12027719853666"/>
    <x v="2"/>
  </r>
  <r>
    <s v="Regular"/>
    <x v="2"/>
    <x v="2"/>
    <x v="2"/>
    <x v="6"/>
    <x v="2"/>
    <x v="5"/>
    <x v="0"/>
    <x v="8"/>
    <n v="0"/>
    <n v="0"/>
    <n v="155.02699999999999"/>
    <n v="155.02699999999999"/>
    <n v="155.02699999999999"/>
    <n v="155.02699999999999"/>
    <n v="0"/>
    <s v="CATIVO"/>
    <n v="0"/>
    <n v="0"/>
    <n v="36"/>
    <n v="80"/>
    <n v="0"/>
    <n v="326.19"/>
    <n v="256.83"/>
    <m/>
    <n v="394.26378890128336"/>
    <n v="206.43942349447789"/>
    <n v="0"/>
    <n v="12323.096230000001"/>
    <n v="0"/>
    <n v="5944.1627813666582"/>
    <x v="2"/>
  </r>
  <r>
    <s v="Sistema de Compensação"/>
    <x v="2"/>
    <x v="2"/>
    <x v="2"/>
    <x v="6"/>
    <x v="2"/>
    <x v="5"/>
    <x v="0"/>
    <x v="8"/>
    <n v="0"/>
    <n v="0"/>
    <n v="3.8679999999999999"/>
    <n v="3.8679999999999999"/>
    <n v="3.8679999999999999"/>
    <n v="3.8679999999999999"/>
    <n v="0"/>
    <s v="CATIVO"/>
    <n v="0"/>
    <n v="0"/>
    <n v="36"/>
    <n v="80"/>
    <n v="0"/>
    <n v="326.19"/>
    <n v="256.83"/>
    <m/>
    <n v="394.26378890128336"/>
    <n v="206.43942349447789"/>
    <n v="0"/>
    <n v="307.46732000000003"/>
    <n v="0"/>
    <n v="148.30978886468961"/>
    <x v="2"/>
  </r>
  <r>
    <s v="Sistema de Compensação"/>
    <x v="2"/>
    <x v="2"/>
    <x v="2"/>
    <x v="6"/>
    <x v="2"/>
    <x v="5"/>
    <x v="0"/>
    <x v="8"/>
    <n v="0"/>
    <n v="0"/>
    <n v="-11.319000000000001"/>
    <n v="-11.319000000000001"/>
    <n v="-11.319000000000001"/>
    <n v="-11.319000000000001"/>
    <n v="0"/>
    <s v="CATIVO"/>
    <n v="0"/>
    <n v="0"/>
    <n v="36"/>
    <n v="80"/>
    <n v="0"/>
    <n v="326.19"/>
    <n v="256.83"/>
    <m/>
    <n v="394.26378890128336"/>
    <n v="206.43942349447789"/>
    <n v="0"/>
    <n v="-899.7473100000002"/>
    <n v="0"/>
    <n v="-434.00168049623107"/>
    <x v="2"/>
  </r>
  <r>
    <s v="Regular"/>
    <x v="2"/>
    <x v="2"/>
    <x v="2"/>
    <x v="6"/>
    <x v="2"/>
    <x v="5"/>
    <x v="0"/>
    <x v="9"/>
    <n v="0"/>
    <n v="0"/>
    <n v="138.32900000000001"/>
    <n v="138.32900000000001"/>
    <n v="138.32900000000001"/>
    <n v="138.32900000000001"/>
    <n v="0"/>
    <s v="CATIVO"/>
    <n v="0"/>
    <n v="0"/>
    <n v="36"/>
    <n v="80"/>
    <n v="0"/>
    <n v="326.19"/>
    <n v="256.83"/>
    <m/>
    <n v="394.26378890128336"/>
    <n v="206.43942349447789"/>
    <n v="0"/>
    <n v="10995.772210000001"/>
    <n v="0"/>
    <n v="5303.9154043080789"/>
    <x v="2"/>
  </r>
  <r>
    <s v="Refaturamento - Regular"/>
    <x v="2"/>
    <x v="2"/>
    <x v="2"/>
    <x v="6"/>
    <x v="2"/>
    <x v="5"/>
    <x v="0"/>
    <x v="9"/>
    <n v="0"/>
    <n v="0"/>
    <n v="2E-3"/>
    <n v="2E-3"/>
    <n v="2E-3"/>
    <n v="2E-3"/>
    <n v="0"/>
    <s v="CATIVO"/>
    <n v="0"/>
    <n v="0"/>
    <n v="36"/>
    <n v="80"/>
    <n v="0"/>
    <n v="326.19"/>
    <n v="256.83"/>
    <m/>
    <n v="394.26378890128336"/>
    <n v="206.43942349447789"/>
    <n v="0"/>
    <n v="0.15898000000000001"/>
    <n v="0"/>
    <n v="7.6685516476054608E-2"/>
    <x v="2"/>
  </r>
  <r>
    <s v="Sistema de Compensação"/>
    <x v="2"/>
    <x v="2"/>
    <x v="2"/>
    <x v="6"/>
    <x v="2"/>
    <x v="5"/>
    <x v="0"/>
    <x v="9"/>
    <n v="0"/>
    <n v="0"/>
    <n v="3.1179999999999999"/>
    <n v="3.1179999999999999"/>
    <n v="3.1179999999999999"/>
    <n v="3.1179999999999999"/>
    <n v="0"/>
    <s v="CATIVO"/>
    <n v="0"/>
    <n v="0"/>
    <n v="36"/>
    <n v="80"/>
    <n v="0"/>
    <n v="326.19"/>
    <n v="256.83"/>
    <m/>
    <n v="394.26378890128336"/>
    <n v="206.43942349447789"/>
    <n v="0"/>
    <n v="247.84982000000002"/>
    <n v="0"/>
    <n v="119.55272018616913"/>
    <x v="2"/>
  </r>
  <r>
    <s v="Regular"/>
    <x v="2"/>
    <x v="2"/>
    <x v="2"/>
    <x v="6"/>
    <x v="2"/>
    <x v="5"/>
    <x v="0"/>
    <x v="10"/>
    <n v="0"/>
    <n v="0"/>
    <n v="106.161"/>
    <n v="106.161"/>
    <n v="106.161"/>
    <n v="106.161"/>
    <n v="0"/>
    <s v="CATIVO"/>
    <n v="0"/>
    <n v="0"/>
    <n v="36"/>
    <n v="80"/>
    <n v="0"/>
    <n v="326.19"/>
    <n v="256.83"/>
    <m/>
    <n v="394.26378890128336"/>
    <n v="206.43942349447789"/>
    <n v="0"/>
    <n v="8438.7378900000003"/>
    <n v="0"/>
    <n v="4070.5055573072163"/>
    <x v="2"/>
  </r>
  <r>
    <s v="Sistema de Compensação"/>
    <x v="2"/>
    <x v="2"/>
    <x v="2"/>
    <x v="6"/>
    <x v="2"/>
    <x v="5"/>
    <x v="0"/>
    <x v="10"/>
    <n v="0"/>
    <n v="0"/>
    <n v="6.8719999999999999"/>
    <n v="6.8719999999999999"/>
    <n v="6.8719999999999999"/>
    <n v="6.8719999999999999"/>
    <n v="0"/>
    <s v="CATIVO"/>
    <n v="0"/>
    <n v="0"/>
    <n v="36"/>
    <n v="80"/>
    <n v="0"/>
    <n v="326.19"/>
    <n v="256.83"/>
    <m/>
    <n v="394.26378890128336"/>
    <n v="206.43942349447789"/>
    <n v="0"/>
    <n v="546.25528000000008"/>
    <n v="0"/>
    <n v="263.49143461172361"/>
    <x v="2"/>
  </r>
  <r>
    <s v="PROJETADO"/>
    <x v="2"/>
    <x v="2"/>
    <x v="2"/>
    <x v="6"/>
    <x v="2"/>
    <x v="5"/>
    <x v="0"/>
    <x v="11"/>
    <n v="0"/>
    <n v="0"/>
    <n v="106.161"/>
    <n v="106.161"/>
    <n v="106.161"/>
    <n v="106.161"/>
    <n v="0"/>
    <s v="CATIVO"/>
    <n v="0"/>
    <n v="0"/>
    <n v="36"/>
    <n v="80"/>
    <n v="0"/>
    <n v="326.19"/>
    <n v="256.83"/>
    <m/>
    <n v="394.26378890128336"/>
    <n v="206.43942349447789"/>
    <n v="0"/>
    <n v="8438.7378900000003"/>
    <n v="0"/>
    <n v="4070.5055573072163"/>
    <x v="2"/>
  </r>
  <r>
    <s v="PROJETADO"/>
    <x v="2"/>
    <x v="2"/>
    <x v="2"/>
    <x v="6"/>
    <x v="2"/>
    <x v="5"/>
    <x v="0"/>
    <x v="11"/>
    <n v="0"/>
    <n v="0"/>
    <n v="6.8719999999999999"/>
    <n v="6.8719999999999999"/>
    <n v="6.8719999999999999"/>
    <n v="6.8719999999999999"/>
    <n v="0"/>
    <s v="CATIVO"/>
    <n v="0"/>
    <n v="0"/>
    <n v="36"/>
    <n v="80"/>
    <n v="0"/>
    <n v="326.19"/>
    <n v="256.83"/>
    <m/>
    <n v="394.26378890128336"/>
    <n v="206.43942349447789"/>
    <n v="0"/>
    <n v="546.25528000000008"/>
    <n v="0"/>
    <n v="263.49143461172361"/>
    <x v="2"/>
  </r>
  <r>
    <s v="Regular"/>
    <x v="2"/>
    <x v="2"/>
    <x v="2"/>
    <x v="6"/>
    <x v="3"/>
    <x v="5"/>
    <x v="0"/>
    <x v="0"/>
    <n v="0"/>
    <n v="0"/>
    <n v="141.75899999999999"/>
    <n v="56.703600000000002"/>
    <n v="141.75899999999999"/>
    <n v="56.703600000000002"/>
    <n v="0"/>
    <s v="CATIVO"/>
    <n v="0"/>
    <n v="0"/>
    <n v="36"/>
    <n v="80"/>
    <n v="0"/>
    <n v="326.19"/>
    <n v="256.83"/>
    <m/>
    <n v="394.26378890128336"/>
    <n v="206.43942349447789"/>
    <n v="0"/>
    <n v="60857.422217999992"/>
    <n v="0"/>
    <n v="56528.483076670942"/>
    <x v="5"/>
  </r>
  <r>
    <s v="Sistema de Compensação"/>
    <x v="2"/>
    <x v="2"/>
    <x v="2"/>
    <x v="6"/>
    <x v="3"/>
    <x v="5"/>
    <x v="0"/>
    <x v="0"/>
    <n v="0"/>
    <n v="0"/>
    <n v="5.782"/>
    <n v="5.782"/>
    <n v="5.782"/>
    <n v="5.782"/>
    <n v="0"/>
    <s v="CATIVO"/>
    <n v="0"/>
    <n v="0"/>
    <n v="36"/>
    <n v="80"/>
    <n v="0"/>
    <n v="326.19"/>
    <n v="256.83"/>
    <m/>
    <n v="394.26378890128336"/>
    <n v="206.43942349447789"/>
    <n v="0"/>
    <n v="459.61118000000005"/>
    <n v="0"/>
    <n v="221.69782813227386"/>
    <x v="2"/>
  </r>
  <r>
    <s v="Regular"/>
    <x v="2"/>
    <x v="2"/>
    <x v="2"/>
    <x v="6"/>
    <x v="3"/>
    <x v="5"/>
    <x v="0"/>
    <x v="1"/>
    <n v="0"/>
    <n v="0"/>
    <n v="152.84700000000001"/>
    <n v="61.138800000000003"/>
    <n v="152.84700000000001"/>
    <n v="61.138800000000003"/>
    <n v="0"/>
    <s v="CATIVO"/>
    <n v="0"/>
    <n v="0"/>
    <n v="36"/>
    <n v="80"/>
    <n v="0"/>
    <n v="326.19"/>
    <n v="256.83"/>
    <m/>
    <n v="394.26378890128336"/>
    <n v="206.43942349447789"/>
    <n v="0"/>
    <n v="65617.522794000004"/>
    <n v="0"/>
    <n v="60949.985911440715"/>
    <x v="5"/>
  </r>
  <r>
    <s v="Sistema de Compensação"/>
    <x v="2"/>
    <x v="2"/>
    <x v="2"/>
    <x v="6"/>
    <x v="3"/>
    <x v="5"/>
    <x v="0"/>
    <x v="1"/>
    <n v="0"/>
    <n v="0"/>
    <n v="5.9429999999999996"/>
    <n v="5.9429999999999996"/>
    <n v="5.9429999999999996"/>
    <n v="5.9429999999999996"/>
    <n v="0"/>
    <s v="CATIVO"/>
    <n v="0"/>
    <n v="0"/>
    <n v="36"/>
    <n v="80"/>
    <n v="0"/>
    <n v="326.19"/>
    <n v="256.83"/>
    <m/>
    <n v="394.26378890128336"/>
    <n v="206.43942349447789"/>
    <n v="0"/>
    <n v="472.40907000000004"/>
    <n v="0"/>
    <n v="227.87101220859623"/>
    <x v="2"/>
  </r>
  <r>
    <s v="Regular"/>
    <x v="2"/>
    <x v="2"/>
    <x v="2"/>
    <x v="6"/>
    <x v="3"/>
    <x v="5"/>
    <x v="0"/>
    <x v="2"/>
    <n v="0"/>
    <n v="0"/>
    <n v="160.99299999999999"/>
    <n v="64.397199999999998"/>
    <n v="160.99299999999999"/>
    <n v="64.397199999999998"/>
    <n v="0"/>
    <s v="CATIVO"/>
    <n v="0"/>
    <n v="0"/>
    <n v="36"/>
    <n v="80"/>
    <n v="0"/>
    <n v="326.19"/>
    <n v="256.83"/>
    <m/>
    <n v="394.26378890128336"/>
    <n v="206.43942349447789"/>
    <n v="0"/>
    <n v="69114.616885999989"/>
    <n v="0"/>
    <n v="64198.323040953204"/>
    <x v="5"/>
  </r>
  <r>
    <s v="Sistema de Compensação"/>
    <x v="2"/>
    <x v="2"/>
    <x v="2"/>
    <x v="6"/>
    <x v="3"/>
    <x v="5"/>
    <x v="0"/>
    <x v="2"/>
    <n v="0"/>
    <n v="0"/>
    <n v="6.2729999999999997"/>
    <n v="6.2729999999999997"/>
    <n v="6.2729999999999997"/>
    <n v="6.2729999999999997"/>
    <n v="0"/>
    <s v="CATIVO"/>
    <n v="0"/>
    <n v="0"/>
    <n v="36"/>
    <n v="80"/>
    <n v="0"/>
    <n v="326.19"/>
    <n v="256.83"/>
    <m/>
    <n v="394.26378890128336"/>
    <n v="206.43942349447789"/>
    <n v="0"/>
    <n v="498.64077000000003"/>
    <n v="0"/>
    <n v="240.52412242714524"/>
    <x v="2"/>
  </r>
  <r>
    <s v="Regular"/>
    <x v="2"/>
    <x v="2"/>
    <x v="2"/>
    <x v="6"/>
    <x v="3"/>
    <x v="5"/>
    <x v="0"/>
    <x v="3"/>
    <n v="0"/>
    <n v="0"/>
    <n v="138.024"/>
    <n v="55.209600000000002"/>
    <n v="138.024"/>
    <n v="55.209600000000002"/>
    <n v="0"/>
    <s v="CATIVO"/>
    <n v="0"/>
    <n v="0"/>
    <n v="36"/>
    <n v="80"/>
    <n v="0"/>
    <n v="326.19"/>
    <n v="256.83"/>
    <m/>
    <n v="394.26378890128336"/>
    <n v="206.43942349447789"/>
    <n v="0"/>
    <n v="59253.979248000003"/>
    <n v="0"/>
    <n v="55039.096975673019"/>
    <x v="5"/>
  </r>
  <r>
    <s v="Sistema de Compensação"/>
    <x v="2"/>
    <x v="2"/>
    <x v="2"/>
    <x v="6"/>
    <x v="3"/>
    <x v="5"/>
    <x v="0"/>
    <x v="3"/>
    <n v="0"/>
    <n v="0"/>
    <n v="7.1980000000000004"/>
    <n v="7.1980000000000004"/>
    <n v="7.1980000000000004"/>
    <n v="7.1980000000000004"/>
    <n v="0"/>
    <s v="CATIVO"/>
    <n v="0"/>
    <n v="0"/>
    <n v="36"/>
    <n v="80"/>
    <n v="0"/>
    <n v="326.19"/>
    <n v="256.83"/>
    <m/>
    <n v="394.26378890128336"/>
    <n v="206.43942349447789"/>
    <n v="0"/>
    <n v="572.16902000000005"/>
    <n v="0"/>
    <n v="275.99117379732053"/>
    <x v="2"/>
  </r>
  <r>
    <s v="Regular"/>
    <x v="2"/>
    <x v="2"/>
    <x v="2"/>
    <x v="6"/>
    <x v="3"/>
    <x v="5"/>
    <x v="0"/>
    <x v="4"/>
    <n v="0"/>
    <n v="0"/>
    <n v="143.86799999999999"/>
    <n v="57.547199999999997"/>
    <n v="143.86799999999999"/>
    <n v="57.547199999999997"/>
    <n v="0"/>
    <s v="CATIVO"/>
    <n v="0"/>
    <n v="0"/>
    <n v="36"/>
    <n v="80"/>
    <n v="0"/>
    <n v="326.19"/>
    <n v="256.83"/>
    <m/>
    <n v="394.26378890128336"/>
    <n v="206.43942349447789"/>
    <n v="0"/>
    <n v="61762.820135999995"/>
    <n v="0"/>
    <n v="57369.477798760534"/>
    <x v="5"/>
  </r>
  <r>
    <s v="Sistema de Compensação"/>
    <x v="2"/>
    <x v="2"/>
    <x v="2"/>
    <x v="6"/>
    <x v="3"/>
    <x v="5"/>
    <x v="0"/>
    <x v="4"/>
    <n v="0"/>
    <n v="0"/>
    <n v="6.5640000000000001"/>
    <n v="6.5640000000000001"/>
    <n v="6.5640000000000001"/>
    <n v="6.5640000000000001"/>
    <n v="0"/>
    <s v="CATIVO"/>
    <n v="0"/>
    <n v="0"/>
    <n v="36"/>
    <n v="80"/>
    <n v="0"/>
    <n v="326.19"/>
    <n v="256.83"/>
    <m/>
    <n v="394.26378890128336"/>
    <n v="206.43942349447789"/>
    <n v="0"/>
    <n v="521.77236000000005"/>
    <n v="0"/>
    <n v="251.68186507441121"/>
    <x v="2"/>
  </r>
  <r>
    <s v="Regular"/>
    <x v="2"/>
    <x v="2"/>
    <x v="2"/>
    <x v="6"/>
    <x v="3"/>
    <x v="5"/>
    <x v="0"/>
    <x v="5"/>
    <n v="0"/>
    <n v="0"/>
    <n v="168.44300000000001"/>
    <n v="67.377200000000002"/>
    <n v="168.44300000000001"/>
    <n v="67.377200000000002"/>
    <n v="0"/>
    <s v="CATIVO"/>
    <n v="0"/>
    <n v="0"/>
    <n v="36"/>
    <n v="80"/>
    <n v="0"/>
    <n v="326.19"/>
    <n v="256.83"/>
    <m/>
    <n v="394.26378890128336"/>
    <n v="206.43942349447789"/>
    <n v="0"/>
    <n v="72312.916786000016"/>
    <n v="0"/>
    <n v="67169.119949235566"/>
    <x v="5"/>
  </r>
  <r>
    <s v="Sistema de Compensação"/>
    <x v="2"/>
    <x v="2"/>
    <x v="2"/>
    <x v="6"/>
    <x v="3"/>
    <x v="5"/>
    <x v="0"/>
    <x v="5"/>
    <n v="0"/>
    <n v="0"/>
    <n v="4.17"/>
    <n v="4.17"/>
    <n v="4.17"/>
    <n v="4.17"/>
    <n v="0"/>
    <s v="CATIVO"/>
    <n v="0"/>
    <n v="0"/>
    <n v="36"/>
    <n v="80"/>
    <n v="0"/>
    <n v="326.19"/>
    <n v="256.83"/>
    <m/>
    <n v="394.26378890128336"/>
    <n v="206.43942349447789"/>
    <n v="0"/>
    <n v="331.47330000000005"/>
    <n v="0"/>
    <n v="159.88930185257385"/>
    <x v="2"/>
  </r>
  <r>
    <s v="Regular"/>
    <x v="2"/>
    <x v="2"/>
    <x v="2"/>
    <x v="6"/>
    <x v="3"/>
    <x v="5"/>
    <x v="0"/>
    <x v="6"/>
    <n v="0"/>
    <n v="0"/>
    <n v="160.76499999999999"/>
    <n v="64.305999999999997"/>
    <n v="160.76499999999999"/>
    <n v="64.305999999999997"/>
    <n v="0"/>
    <s v="CATIVO"/>
    <n v="0"/>
    <n v="0"/>
    <n v="36"/>
    <n v="80"/>
    <n v="0"/>
    <n v="326.19"/>
    <n v="256.83"/>
    <m/>
    <n v="394.26378890128336"/>
    <n v="206.43942349447789"/>
    <n v="0"/>
    <n v="69016.73603"/>
    <n v="0"/>
    <n v="64107.404692619188"/>
    <x v="5"/>
  </r>
  <r>
    <s v="Sistema de Compensação"/>
    <x v="2"/>
    <x v="2"/>
    <x v="2"/>
    <x v="6"/>
    <x v="3"/>
    <x v="5"/>
    <x v="0"/>
    <x v="6"/>
    <n v="0"/>
    <n v="0"/>
    <n v="10.577999999999999"/>
    <n v="10.577999999999999"/>
    <n v="10.577999999999999"/>
    <n v="10.577999999999999"/>
    <n v="0"/>
    <s v="CATIVO"/>
    <n v="0"/>
    <n v="0"/>
    <n v="36"/>
    <n v="80"/>
    <n v="0"/>
    <n v="326.19"/>
    <n v="256.83"/>
    <m/>
    <n v="394.26378890128336"/>
    <n v="206.43942349447789"/>
    <n v="0"/>
    <n v="840.84522000000004"/>
    <n v="0"/>
    <n v="405.58969664185275"/>
    <x v="2"/>
  </r>
  <r>
    <s v="Regular"/>
    <x v="2"/>
    <x v="2"/>
    <x v="2"/>
    <x v="6"/>
    <x v="3"/>
    <x v="5"/>
    <x v="0"/>
    <x v="7"/>
    <n v="0"/>
    <n v="0"/>
    <n v="154.96299999999999"/>
    <n v="61.985199999999999"/>
    <n v="154.96299999999999"/>
    <n v="61.985199999999999"/>
    <n v="0"/>
    <s v="CATIVO"/>
    <n v="0"/>
    <n v="0"/>
    <n v="36"/>
    <n v="80"/>
    <n v="0"/>
    <n v="326.19"/>
    <n v="256.83"/>
    <m/>
    <n v="394.26378890128336"/>
    <n v="206.43942349447789"/>
    <n v="0"/>
    <n v="66525.925826000006"/>
    <n v="0"/>
    <n v="61793.771986330044"/>
    <x v="5"/>
  </r>
  <r>
    <s v="Refaturamento - Regular"/>
    <x v="2"/>
    <x v="2"/>
    <x v="2"/>
    <x v="6"/>
    <x v="3"/>
    <x v="5"/>
    <x v="0"/>
    <x v="7"/>
    <n v="0"/>
    <n v="0"/>
    <n v="0.29299999999999998"/>
    <n v="0.1172"/>
    <n v="0.29299999999999998"/>
    <n v="0.1172"/>
    <n v="0"/>
    <s v="CATIVO"/>
    <n v="0"/>
    <n v="0"/>
    <n v="36"/>
    <n v="80"/>
    <n v="0"/>
    <n v="326.19"/>
    <n v="256.83"/>
    <m/>
    <n v="394.26378890128336"/>
    <n v="206.43942349447789"/>
    <n v="0"/>
    <n v="125.78548599999999"/>
    <n v="0"/>
    <n v="116.83805290291681"/>
    <x v="5"/>
  </r>
  <r>
    <s v="Sistema de Compensação"/>
    <x v="2"/>
    <x v="2"/>
    <x v="2"/>
    <x v="6"/>
    <x v="3"/>
    <x v="5"/>
    <x v="0"/>
    <x v="7"/>
    <n v="0"/>
    <n v="0"/>
    <n v="19.370999999999999"/>
    <n v="19.370999999999999"/>
    <n v="19.370999999999999"/>
    <n v="19.370999999999999"/>
    <n v="0"/>
    <s v="CATIVO"/>
    <n v="0"/>
    <n v="0"/>
    <n v="36"/>
    <n v="80"/>
    <n v="0"/>
    <n v="326.19"/>
    <n v="256.83"/>
    <m/>
    <n v="394.26378890128336"/>
    <n v="206.43942349447789"/>
    <n v="0"/>
    <n v="1539.80079"/>
    <n v="0"/>
    <n v="742.73756982882685"/>
    <x v="2"/>
  </r>
  <r>
    <s v="Sistema de Compensação"/>
    <x v="2"/>
    <x v="2"/>
    <x v="2"/>
    <x v="6"/>
    <x v="3"/>
    <x v="5"/>
    <x v="0"/>
    <x v="7"/>
    <n v="0"/>
    <n v="0"/>
    <n v="14.53"/>
    <n v="14.53"/>
    <n v="14.53"/>
    <n v="14.53"/>
    <n v="0"/>
    <s v="CATIVO"/>
    <n v="0"/>
    <n v="0"/>
    <n v="36"/>
    <n v="80"/>
    <n v="0"/>
    <n v="326.19"/>
    <n v="256.83"/>
    <m/>
    <n v="394.26378890128336"/>
    <n v="206.43942349447789"/>
    <n v="0"/>
    <n v="1154.9897000000001"/>
    <n v="0"/>
    <n v="557.12027719853666"/>
    <x v="2"/>
  </r>
  <r>
    <s v="Regular"/>
    <x v="2"/>
    <x v="2"/>
    <x v="2"/>
    <x v="6"/>
    <x v="3"/>
    <x v="5"/>
    <x v="0"/>
    <x v="8"/>
    <n v="0"/>
    <n v="0"/>
    <n v="165.768"/>
    <n v="66.307199999999995"/>
    <n v="165.768"/>
    <n v="66.307199999999995"/>
    <n v="0"/>
    <s v="CATIVO"/>
    <n v="0"/>
    <n v="0"/>
    <n v="36"/>
    <n v="80"/>
    <n v="0"/>
    <n v="326.19"/>
    <n v="256.83"/>
    <m/>
    <n v="394.26378890128336"/>
    <n v="206.43942349447789"/>
    <n v="0"/>
    <n v="71164.533936000007"/>
    <n v="0"/>
    <n v="66102.424415053654"/>
    <x v="5"/>
  </r>
  <r>
    <s v="Sistema de Compensação"/>
    <x v="2"/>
    <x v="2"/>
    <x v="2"/>
    <x v="6"/>
    <x v="3"/>
    <x v="5"/>
    <x v="0"/>
    <x v="8"/>
    <n v="0"/>
    <n v="0"/>
    <n v="19.545000000000002"/>
    <n v="19.545000000000002"/>
    <n v="19.545000000000002"/>
    <n v="19.545000000000002"/>
    <n v="0"/>
    <s v="CATIVO"/>
    <n v="0"/>
    <n v="0"/>
    <n v="36"/>
    <n v="80"/>
    <n v="0"/>
    <n v="326.19"/>
    <n v="256.83"/>
    <m/>
    <n v="394.26378890128336"/>
    <n v="206.43942349447789"/>
    <n v="0"/>
    <n v="1553.6320500000004"/>
    <n v="0"/>
    <n v="749.40920976224368"/>
    <x v="2"/>
  </r>
  <r>
    <s v="Sistema de Compensação"/>
    <x v="2"/>
    <x v="2"/>
    <x v="2"/>
    <x v="6"/>
    <x v="3"/>
    <x v="5"/>
    <x v="0"/>
    <x v="8"/>
    <n v="0"/>
    <n v="0"/>
    <n v="12.291"/>
    <n v="12.291"/>
    <n v="12.291"/>
    <n v="12.291"/>
    <n v="0"/>
    <s v="CATIVO"/>
    <n v="0"/>
    <n v="0"/>
    <n v="36"/>
    <n v="80"/>
    <n v="0"/>
    <n v="326.19"/>
    <n v="256.83"/>
    <m/>
    <n v="394.26378890128336"/>
    <n v="206.43942349447789"/>
    <n v="0"/>
    <n v="977.01159000000018"/>
    <n v="0"/>
    <n v="471.27084150359354"/>
    <x v="2"/>
  </r>
  <r>
    <s v="Regular"/>
    <x v="2"/>
    <x v="2"/>
    <x v="2"/>
    <x v="6"/>
    <x v="3"/>
    <x v="5"/>
    <x v="0"/>
    <x v="9"/>
    <n v="0"/>
    <n v="0"/>
    <n v="146.125"/>
    <n v="58.45"/>
    <n v="146.125"/>
    <n v="58.45"/>
    <n v="0"/>
    <s v="CATIVO"/>
    <n v="0"/>
    <n v="0"/>
    <n v="36"/>
    <n v="80"/>
    <n v="0"/>
    <n v="326.19"/>
    <n v="256.83"/>
    <m/>
    <n v="394.26378890128336"/>
    <n v="206.43942349447789"/>
    <n v="0"/>
    <n v="62731.75475"/>
    <n v="0"/>
    <n v="58269.489694330106"/>
    <x v="5"/>
  </r>
  <r>
    <s v="Refaturamento - Regular"/>
    <x v="2"/>
    <x v="2"/>
    <x v="2"/>
    <x v="6"/>
    <x v="3"/>
    <x v="5"/>
    <x v="0"/>
    <x v="9"/>
    <n v="0"/>
    <n v="0"/>
    <n v="-12.4"/>
    <n v="-4.96"/>
    <n v="-12.4"/>
    <n v="-4.96"/>
    <n v="0"/>
    <s v="CATIVO"/>
    <n v="0"/>
    <n v="0"/>
    <n v="36"/>
    <n v="80"/>
    <n v="0"/>
    <n v="326.19"/>
    <n v="256.83"/>
    <m/>
    <n v="394.26378890128336"/>
    <n v="206.43942349447789"/>
    <n v="0"/>
    <n v="-5323.3448000000008"/>
    <n v="0"/>
    <n v="-4944.6821023760021"/>
    <x v="5"/>
  </r>
  <r>
    <s v="Sistema de Compensação"/>
    <x v="2"/>
    <x v="2"/>
    <x v="2"/>
    <x v="6"/>
    <x v="3"/>
    <x v="5"/>
    <x v="0"/>
    <x v="9"/>
    <n v="0"/>
    <n v="0"/>
    <n v="13.478999999999999"/>
    <n v="13.478999999999999"/>
    <n v="13.478999999999999"/>
    <n v="13.478999999999999"/>
    <n v="0"/>
    <s v="CATIVO"/>
    <n v="0"/>
    <n v="0"/>
    <n v="36"/>
    <n v="80"/>
    <n v="0"/>
    <n v="326.19"/>
    <n v="256.83"/>
    <m/>
    <n v="394.26378890128336"/>
    <n v="206.43942349447789"/>
    <n v="0"/>
    <n v="1071.44571"/>
    <n v="0"/>
    <n v="516.82203829036996"/>
    <x v="2"/>
  </r>
  <r>
    <s v="Regular"/>
    <x v="2"/>
    <x v="2"/>
    <x v="2"/>
    <x v="6"/>
    <x v="3"/>
    <x v="5"/>
    <x v="0"/>
    <x v="10"/>
    <n v="0"/>
    <n v="0"/>
    <n v="120.61499999999999"/>
    <n v="48.246000000000002"/>
    <n v="120.61499999999999"/>
    <n v="48.246000000000002"/>
    <n v="0"/>
    <s v="CATIVO"/>
    <n v="0"/>
    <n v="0"/>
    <n v="36"/>
    <n v="80"/>
    <n v="0"/>
    <n v="326.19"/>
    <n v="256.83"/>
    <m/>
    <n v="394.26378890128336"/>
    <n v="206.43942349447789"/>
    <n v="0"/>
    <n v="51780.260729999995"/>
    <n v="0"/>
    <n v="48097.002562748508"/>
    <x v="5"/>
  </r>
  <r>
    <s v="Sistema de Compensação"/>
    <x v="2"/>
    <x v="2"/>
    <x v="2"/>
    <x v="6"/>
    <x v="3"/>
    <x v="5"/>
    <x v="0"/>
    <x v="10"/>
    <n v="0"/>
    <n v="0"/>
    <n v="19.254000000000001"/>
    <n v="19.254000000000001"/>
    <n v="19.254000000000001"/>
    <n v="19.254000000000001"/>
    <n v="0"/>
    <s v="CATIVO"/>
    <n v="0"/>
    <n v="0"/>
    <n v="36"/>
    <n v="80"/>
    <n v="0"/>
    <n v="326.19"/>
    <n v="256.83"/>
    <m/>
    <n v="394.26378890128336"/>
    <n v="206.43942349447789"/>
    <n v="0"/>
    <n v="1530.5004600000002"/>
    <n v="0"/>
    <n v="738.25146711497769"/>
    <x v="2"/>
  </r>
  <r>
    <s v="PROJETADO"/>
    <x v="2"/>
    <x v="2"/>
    <x v="2"/>
    <x v="6"/>
    <x v="3"/>
    <x v="5"/>
    <x v="0"/>
    <x v="11"/>
    <n v="0"/>
    <n v="0"/>
    <n v="120.61499999999999"/>
    <n v="48.246000000000002"/>
    <n v="120.61499999999999"/>
    <n v="48.246000000000002"/>
    <n v="0"/>
    <s v="CATIVO"/>
    <n v="0"/>
    <n v="0"/>
    <n v="36"/>
    <n v="80"/>
    <n v="0"/>
    <n v="326.19"/>
    <n v="256.83"/>
    <m/>
    <n v="394.26378890128336"/>
    <n v="206.43942349447789"/>
    <n v="0"/>
    <n v="51780.260729999995"/>
    <n v="0"/>
    <n v="48097.002562748508"/>
    <x v="5"/>
  </r>
  <r>
    <s v="PROJETADO"/>
    <x v="2"/>
    <x v="2"/>
    <x v="2"/>
    <x v="6"/>
    <x v="3"/>
    <x v="5"/>
    <x v="0"/>
    <x v="11"/>
    <n v="0"/>
    <n v="0"/>
    <n v="19.254000000000001"/>
    <n v="19.254000000000001"/>
    <n v="19.254000000000001"/>
    <n v="19.254000000000001"/>
    <n v="0"/>
    <s v="CATIVO"/>
    <n v="0"/>
    <n v="0"/>
    <n v="36"/>
    <n v="80"/>
    <n v="0"/>
    <n v="326.19"/>
    <n v="256.83"/>
    <m/>
    <n v="394.26378890128336"/>
    <n v="206.43942349447789"/>
    <n v="0"/>
    <n v="1530.5004600000002"/>
    <n v="0"/>
    <n v="738.25146711497769"/>
    <x v="2"/>
  </r>
  <r>
    <s v="Regular"/>
    <x v="2"/>
    <x v="2"/>
    <x v="2"/>
    <x v="0"/>
    <x v="0"/>
    <x v="5"/>
    <x v="0"/>
    <x v="0"/>
    <n v="0"/>
    <n v="0"/>
    <n v="945.65700000000004"/>
    <n v="945.65700000000004"/>
    <n v="945.65700000000004"/>
    <n v="945.65700000000004"/>
    <n v="2502"/>
    <s v="CATIVO"/>
    <n v="0"/>
    <n v="0"/>
    <n v="36"/>
    <n v="80"/>
    <n v="0"/>
    <n v="326.19"/>
    <n v="256.83"/>
    <m/>
    <n v="394.26378890128336"/>
    <n v="206.43942349447789"/>
    <n v="0"/>
    <n v="75170.274930000014"/>
    <n v="0"/>
    <n v="36259.097727098182"/>
    <x v="2"/>
  </r>
  <r>
    <s v="Sistema de Compensação"/>
    <x v="2"/>
    <x v="2"/>
    <x v="2"/>
    <x v="0"/>
    <x v="0"/>
    <x v="5"/>
    <x v="0"/>
    <x v="0"/>
    <n v="0"/>
    <n v="0"/>
    <n v="51.381"/>
    <n v="51.381"/>
    <n v="51.381"/>
    <n v="51.381"/>
    <n v="82"/>
    <s v="CATIVO"/>
    <n v="0"/>
    <n v="0"/>
    <n v="36"/>
    <n v="80"/>
    <n v="0"/>
    <n v="326.19"/>
    <n v="256.83"/>
    <m/>
    <n v="394.26378890128336"/>
    <n v="206.43942349447789"/>
    <n v="0"/>
    <n v="4084.2756900000004"/>
    <n v="0"/>
    <n v="1970.0892610280807"/>
    <x v="2"/>
  </r>
  <r>
    <s v="Regular"/>
    <x v="2"/>
    <x v="2"/>
    <x v="2"/>
    <x v="0"/>
    <x v="0"/>
    <x v="5"/>
    <x v="0"/>
    <x v="1"/>
    <n v="0"/>
    <n v="0"/>
    <n v="962.3"/>
    <n v="962.3"/>
    <n v="962.3"/>
    <n v="962.3"/>
    <n v="2496"/>
    <s v="CATIVO"/>
    <n v="0"/>
    <n v="0"/>
    <n v="36"/>
    <n v="80"/>
    <n v="0"/>
    <n v="326.19"/>
    <n v="256.83"/>
    <m/>
    <n v="394.26378890128336"/>
    <n v="206.43942349447789"/>
    <n v="0"/>
    <n v="76493.226999999999"/>
    <n v="0"/>
    <n v="36897.236252453673"/>
    <x v="2"/>
  </r>
  <r>
    <s v="Refaturamento - Regular"/>
    <x v="2"/>
    <x v="2"/>
    <x v="2"/>
    <x v="0"/>
    <x v="0"/>
    <x v="5"/>
    <x v="0"/>
    <x v="1"/>
    <n v="0"/>
    <n v="0"/>
    <n v="-0.17899999999999999"/>
    <n v="-0.17899999999999999"/>
    <n v="-0.17899999999999999"/>
    <n v="-0.17899999999999999"/>
    <n v="0"/>
    <s v="CATIVO"/>
    <n v="0"/>
    <n v="0"/>
    <n v="36"/>
    <n v="80"/>
    <n v="0"/>
    <n v="326.19"/>
    <n v="256.83"/>
    <m/>
    <n v="394.26378890128336"/>
    <n v="206.43942349447789"/>
    <n v="0"/>
    <n v="-14.228710000000001"/>
    <n v="0"/>
    <n v="-6.8633537246068865"/>
    <x v="2"/>
  </r>
  <r>
    <s v="Sistema de Compensação"/>
    <x v="2"/>
    <x v="2"/>
    <x v="2"/>
    <x v="0"/>
    <x v="0"/>
    <x v="5"/>
    <x v="0"/>
    <x v="1"/>
    <n v="0"/>
    <n v="0"/>
    <n v="66.06"/>
    <n v="66.06"/>
    <n v="66.06"/>
    <n v="66.06"/>
    <n v="85"/>
    <s v="CATIVO"/>
    <n v="0"/>
    <n v="0"/>
    <n v="36"/>
    <n v="80"/>
    <n v="0"/>
    <n v="326.19"/>
    <n v="256.83"/>
    <m/>
    <n v="394.26378890128336"/>
    <n v="206.43942349447789"/>
    <n v="0"/>
    <n v="5251.1094000000012"/>
    <n v="0"/>
    <n v="2532.9226092040835"/>
    <x v="2"/>
  </r>
  <r>
    <s v="Regular"/>
    <x v="2"/>
    <x v="2"/>
    <x v="2"/>
    <x v="0"/>
    <x v="0"/>
    <x v="5"/>
    <x v="0"/>
    <x v="2"/>
    <n v="0"/>
    <n v="0"/>
    <n v="1024.6300000000001"/>
    <n v="1024.6300000000001"/>
    <n v="1024.6300000000001"/>
    <n v="1024.6300000000001"/>
    <n v="2475"/>
    <s v="CATIVO"/>
    <n v="0"/>
    <n v="0"/>
    <n v="36"/>
    <n v="80"/>
    <n v="0"/>
    <n v="326.19"/>
    <n v="256.83"/>
    <m/>
    <n v="394.26378890128336"/>
    <n v="206.43942349447789"/>
    <n v="0"/>
    <n v="81447.838700000022"/>
    <n v="0"/>
    <n v="39287.140373429917"/>
    <x v="2"/>
  </r>
  <r>
    <s v="Sistema de Compensação"/>
    <x v="2"/>
    <x v="2"/>
    <x v="2"/>
    <x v="0"/>
    <x v="0"/>
    <x v="5"/>
    <x v="0"/>
    <x v="2"/>
    <n v="0"/>
    <n v="0"/>
    <n v="22.878"/>
    <n v="22.878"/>
    <n v="22.878"/>
    <n v="22.878"/>
    <n v="99"/>
    <s v="CATIVO"/>
    <n v="0"/>
    <n v="0"/>
    <n v="36"/>
    <n v="80"/>
    <n v="0"/>
    <n v="326.19"/>
    <n v="256.83"/>
    <m/>
    <n v="394.26378890128336"/>
    <n v="206.43942349447789"/>
    <n v="0"/>
    <n v="1818.5722200000002"/>
    <n v="0"/>
    <n v="877.2056229695886"/>
    <x v="2"/>
  </r>
  <r>
    <s v="Regular"/>
    <x v="2"/>
    <x v="2"/>
    <x v="2"/>
    <x v="0"/>
    <x v="0"/>
    <x v="5"/>
    <x v="0"/>
    <x v="3"/>
    <n v="0"/>
    <n v="0"/>
    <n v="861.80700000000002"/>
    <n v="861.80700000000002"/>
    <n v="861.80700000000002"/>
    <n v="861.80700000000002"/>
    <n v="2464"/>
    <s v="CATIVO"/>
    <n v="0"/>
    <n v="0"/>
    <n v="36"/>
    <n v="80"/>
    <n v="0"/>
    <n v="326.19"/>
    <n v="256.83"/>
    <m/>
    <n v="394.26378890128336"/>
    <n v="206.43942349447789"/>
    <n v="0"/>
    <n v="68505.038430000015"/>
    <n v="0"/>
    <n v="33044.057448839594"/>
    <x v="2"/>
  </r>
  <r>
    <s v="Sistema de Compensação"/>
    <x v="2"/>
    <x v="2"/>
    <x v="2"/>
    <x v="0"/>
    <x v="0"/>
    <x v="5"/>
    <x v="0"/>
    <x v="3"/>
    <n v="0"/>
    <n v="0"/>
    <n v="47.197000000000003"/>
    <n v="47.197000000000003"/>
    <n v="47.197000000000003"/>
    <n v="47.197000000000003"/>
    <n v="109"/>
    <s v="CATIVO"/>
    <n v="0"/>
    <n v="0"/>
    <n v="36"/>
    <n v="80"/>
    <n v="0"/>
    <n v="326.19"/>
    <n v="256.83"/>
    <m/>
    <n v="394.26378890128336"/>
    <n v="206.43942349447789"/>
    <n v="0"/>
    <n v="3751.6895300000006"/>
    <n v="0"/>
    <n v="1809.6631605601747"/>
    <x v="2"/>
  </r>
  <r>
    <s v="Regular"/>
    <x v="2"/>
    <x v="2"/>
    <x v="2"/>
    <x v="0"/>
    <x v="0"/>
    <x v="5"/>
    <x v="0"/>
    <x v="4"/>
    <n v="0"/>
    <n v="0"/>
    <n v="940.94"/>
    <n v="940.94"/>
    <n v="940.94"/>
    <n v="940.94"/>
    <n v="2457"/>
    <s v="CATIVO"/>
    <n v="0"/>
    <n v="0"/>
    <n v="36"/>
    <n v="80"/>
    <n v="0"/>
    <n v="326.19"/>
    <n v="256.83"/>
    <m/>
    <n v="394.26378890128336"/>
    <n v="206.43942349447789"/>
    <n v="0"/>
    <n v="74795.320600000006"/>
    <n v="0"/>
    <n v="36078.234936489411"/>
    <x v="2"/>
  </r>
  <r>
    <s v="Sistema de Compensação"/>
    <x v="2"/>
    <x v="2"/>
    <x v="2"/>
    <x v="0"/>
    <x v="0"/>
    <x v="5"/>
    <x v="0"/>
    <x v="4"/>
    <n v="0"/>
    <n v="0"/>
    <n v="43.276000000000003"/>
    <n v="43.276000000000003"/>
    <n v="43.276000000000003"/>
    <n v="43.276000000000003"/>
    <n v="112"/>
    <s v="CATIVO"/>
    <n v="0"/>
    <n v="0"/>
    <n v="36"/>
    <n v="80"/>
    <n v="0"/>
    <n v="326.19"/>
    <n v="256.83"/>
    <m/>
    <n v="394.26378890128336"/>
    <n v="206.43942349447789"/>
    <n v="0"/>
    <n v="3440.0092400000008"/>
    <n v="0"/>
    <n v="1659.3212055088695"/>
    <x v="2"/>
  </r>
  <r>
    <s v="Regular"/>
    <x v="2"/>
    <x v="2"/>
    <x v="2"/>
    <x v="0"/>
    <x v="0"/>
    <x v="5"/>
    <x v="0"/>
    <x v="5"/>
    <n v="0"/>
    <n v="0"/>
    <n v="1002.748"/>
    <n v="1002.748"/>
    <n v="1002.748"/>
    <n v="1002.748"/>
    <n v="2447"/>
    <s v="CATIVO"/>
    <n v="0"/>
    <n v="0"/>
    <n v="36"/>
    <n v="80"/>
    <n v="0"/>
    <n v="326.19"/>
    <n v="256.83"/>
    <m/>
    <n v="394.26378890128336"/>
    <n v="206.43942349447789"/>
    <n v="0"/>
    <n v="79708.438520000011"/>
    <n v="0"/>
    <n v="38448.1241376654"/>
    <x v="2"/>
  </r>
  <r>
    <s v="Refaturamento - Regular"/>
    <x v="2"/>
    <x v="2"/>
    <x v="2"/>
    <x v="0"/>
    <x v="0"/>
    <x v="5"/>
    <x v="0"/>
    <x v="5"/>
    <n v="0"/>
    <n v="0"/>
    <n v="-0.46"/>
    <n v="-0.46"/>
    <n v="-0.46"/>
    <n v="-0.46"/>
    <n v="0"/>
    <s v="CATIVO"/>
    <n v="0"/>
    <n v="0"/>
    <n v="36"/>
    <n v="80"/>
    <n v="0"/>
    <n v="326.19"/>
    <n v="256.83"/>
    <m/>
    <n v="394.26378890128336"/>
    <n v="206.43942349447789"/>
    <n v="0"/>
    <n v="-36.565400000000004"/>
    <n v="0"/>
    <n v="-17.637668789492558"/>
    <x v="2"/>
  </r>
  <r>
    <s v="Sistema de Compensação"/>
    <x v="2"/>
    <x v="2"/>
    <x v="2"/>
    <x v="0"/>
    <x v="0"/>
    <x v="5"/>
    <x v="0"/>
    <x v="5"/>
    <n v="0"/>
    <n v="0"/>
    <n v="51.188000000000002"/>
    <n v="51.188000000000002"/>
    <n v="51.188000000000002"/>
    <n v="51.188000000000002"/>
    <n v="118"/>
    <s v="CATIVO"/>
    <n v="0"/>
    <n v="0"/>
    <n v="36"/>
    <n v="80"/>
    <n v="0"/>
    <n v="326.19"/>
    <n v="256.83"/>
    <m/>
    <n v="394.26378890128336"/>
    <n v="206.43942349447789"/>
    <n v="0"/>
    <n v="4068.9341200000008"/>
    <n v="0"/>
    <n v="1962.6891086881415"/>
    <x v="2"/>
  </r>
  <r>
    <s v="Regular"/>
    <x v="2"/>
    <x v="2"/>
    <x v="2"/>
    <x v="0"/>
    <x v="0"/>
    <x v="5"/>
    <x v="0"/>
    <x v="6"/>
    <n v="0"/>
    <n v="0"/>
    <n v="892.37699999999995"/>
    <n v="892.37699999999995"/>
    <n v="892.37699999999995"/>
    <n v="892.37699999999995"/>
    <n v="2436"/>
    <s v="CATIVO"/>
    <n v="0"/>
    <n v="0"/>
    <n v="36"/>
    <n v="80"/>
    <n v="0"/>
    <n v="326.19"/>
    <n v="256.83"/>
    <m/>
    <n v="394.26378890128336"/>
    <n v="206.43942349447789"/>
    <n v="0"/>
    <n v="70935.047730000006"/>
    <n v="0"/>
    <n v="34216.195568176088"/>
    <x v="2"/>
  </r>
  <r>
    <s v="Sistema de Compensação"/>
    <x v="2"/>
    <x v="2"/>
    <x v="2"/>
    <x v="0"/>
    <x v="0"/>
    <x v="5"/>
    <x v="0"/>
    <x v="6"/>
    <n v="0"/>
    <n v="0"/>
    <n v="72.465000000000003"/>
    <n v="72.465000000000003"/>
    <n v="72.465000000000003"/>
    <n v="72.465000000000003"/>
    <n v="128"/>
    <s v="CATIVO"/>
    <n v="0"/>
    <n v="0"/>
    <n v="36"/>
    <n v="80"/>
    <n v="0"/>
    <n v="326.19"/>
    <n v="256.83"/>
    <m/>
    <n v="394.26378890128336"/>
    <n v="206.43942349447789"/>
    <n v="0"/>
    <n v="5760.2428500000005"/>
    <n v="0"/>
    <n v="2778.5079757186486"/>
    <x v="2"/>
  </r>
  <r>
    <s v="Regular"/>
    <x v="2"/>
    <x v="2"/>
    <x v="2"/>
    <x v="0"/>
    <x v="0"/>
    <x v="5"/>
    <x v="0"/>
    <x v="7"/>
    <n v="0"/>
    <n v="0"/>
    <n v="769.93399999999997"/>
    <n v="769.93399999999997"/>
    <n v="769.93399999999997"/>
    <n v="769.93399999999997"/>
    <n v="2423"/>
    <s v="CATIVO"/>
    <n v="0"/>
    <n v="0"/>
    <n v="36"/>
    <n v="80"/>
    <n v="0"/>
    <n v="326.19"/>
    <n v="256.83"/>
    <m/>
    <n v="394.26378890128336"/>
    <n v="206.43942349447789"/>
    <n v="0"/>
    <n v="61202.053660000005"/>
    <n v="0"/>
    <n v="29521.393221237311"/>
    <x v="2"/>
  </r>
  <r>
    <s v="Sistema de Compensação"/>
    <x v="2"/>
    <x v="2"/>
    <x v="2"/>
    <x v="0"/>
    <x v="0"/>
    <x v="5"/>
    <x v="0"/>
    <x v="7"/>
    <n v="0"/>
    <n v="0"/>
    <n v="79.855000000000004"/>
    <n v="79.855000000000004"/>
    <n v="79.855000000000004"/>
    <n v="79.855000000000004"/>
    <n v="138"/>
    <s v="CATIVO"/>
    <n v="0"/>
    <n v="0"/>
    <n v="36"/>
    <n v="80"/>
    <n v="0"/>
    <n v="326.19"/>
    <n v="256.83"/>
    <m/>
    <n v="394.26378890128336"/>
    <n v="206.43942349447789"/>
    <n v="0"/>
    <n v="6347.6739500000012"/>
    <n v="0"/>
    <n v="3061.8609590976703"/>
    <x v="2"/>
  </r>
  <r>
    <s v="Sistema de Compensação"/>
    <x v="2"/>
    <x v="2"/>
    <x v="2"/>
    <x v="0"/>
    <x v="0"/>
    <x v="5"/>
    <x v="0"/>
    <x v="7"/>
    <n v="0"/>
    <n v="0"/>
    <n v="-2.6030000000000002"/>
    <n v="-2.6030000000000002"/>
    <n v="-2.6030000000000002"/>
    <n v="-2.6030000000000002"/>
    <n v="2"/>
    <s v="CATIVO"/>
    <n v="0"/>
    <n v="0"/>
    <n v="36"/>
    <n v="80"/>
    <n v="0"/>
    <n v="326.19"/>
    <n v="256.83"/>
    <m/>
    <n v="394.26378890128336"/>
    <n v="206.43942349447789"/>
    <n v="0"/>
    <n v="-206.91247000000004"/>
    <n v="0"/>
    <n v="-99.806199693585071"/>
    <x v="2"/>
  </r>
  <r>
    <s v="Regular"/>
    <x v="2"/>
    <x v="2"/>
    <x v="2"/>
    <x v="0"/>
    <x v="0"/>
    <x v="5"/>
    <x v="0"/>
    <x v="8"/>
    <n v="0"/>
    <n v="0"/>
    <n v="781.57899999999995"/>
    <n v="781.57899999999995"/>
    <n v="781.57899999999995"/>
    <n v="781.57899999999995"/>
    <n v="2400"/>
    <s v="CATIVO"/>
    <n v="0"/>
    <n v="0"/>
    <n v="36"/>
    <n v="80"/>
    <n v="0"/>
    <n v="326.19"/>
    <n v="256.83"/>
    <m/>
    <n v="394.26378890128336"/>
    <n v="206.43942349447789"/>
    <n v="0"/>
    <n v="62127.71471"/>
    <n v="0"/>
    <n v="29967.894640919138"/>
    <x v="2"/>
  </r>
  <r>
    <s v="Sistema de Compensação"/>
    <x v="2"/>
    <x v="2"/>
    <x v="2"/>
    <x v="0"/>
    <x v="0"/>
    <x v="5"/>
    <x v="0"/>
    <x v="8"/>
    <n v="0"/>
    <n v="0"/>
    <n v="80"/>
    <n v="80"/>
    <n v="80"/>
    <n v="80"/>
    <n v="151"/>
    <s v="CATIVO"/>
    <n v="0"/>
    <n v="0"/>
    <n v="36"/>
    <n v="80"/>
    <n v="0"/>
    <n v="326.19"/>
    <n v="256.83"/>
    <m/>
    <n v="394.26378890128336"/>
    <n v="206.43942349447789"/>
    <n v="0"/>
    <n v="6359.2000000000007"/>
    <n v="0"/>
    <n v="3067.4206590421841"/>
    <x v="2"/>
  </r>
  <r>
    <s v="Regular"/>
    <x v="2"/>
    <x v="2"/>
    <x v="2"/>
    <x v="0"/>
    <x v="0"/>
    <x v="5"/>
    <x v="0"/>
    <x v="9"/>
    <n v="0"/>
    <n v="0"/>
    <n v="823.94200000000001"/>
    <n v="823.94200000000001"/>
    <n v="823.94200000000001"/>
    <n v="823.94200000000001"/>
    <n v="2394"/>
    <s v="CATIVO"/>
    <n v="0"/>
    <n v="0"/>
    <n v="36"/>
    <n v="80"/>
    <n v="0"/>
    <n v="326.19"/>
    <n v="256.83"/>
    <m/>
    <n v="394.26378890128336"/>
    <n v="206.43942349447789"/>
    <n v="0"/>
    <n v="65495.149580000005"/>
    <n v="0"/>
    <n v="31592.208908156692"/>
    <x v="2"/>
  </r>
  <r>
    <s v="Refaturamento - Regular"/>
    <x v="2"/>
    <x v="2"/>
    <x v="2"/>
    <x v="0"/>
    <x v="0"/>
    <x v="5"/>
    <x v="0"/>
    <x v="9"/>
    <n v="0"/>
    <n v="0"/>
    <n v="0.66"/>
    <n v="0.66"/>
    <n v="0.66"/>
    <n v="0.66"/>
    <n v="0"/>
    <s v="CATIVO"/>
    <n v="0"/>
    <n v="0"/>
    <n v="36"/>
    <n v="80"/>
    <n v="0"/>
    <n v="326.19"/>
    <n v="256.83"/>
    <m/>
    <n v="394.26378890128336"/>
    <n v="206.43942349447789"/>
    <n v="0"/>
    <n v="52.463400000000007"/>
    <n v="0"/>
    <n v="25.30622043709802"/>
    <x v="2"/>
  </r>
  <r>
    <s v="Sistema de Compensação"/>
    <x v="2"/>
    <x v="2"/>
    <x v="2"/>
    <x v="0"/>
    <x v="0"/>
    <x v="5"/>
    <x v="0"/>
    <x v="9"/>
    <n v="0"/>
    <n v="0"/>
    <n v="105.79600000000001"/>
    <n v="105.79600000000001"/>
    <n v="105.79600000000001"/>
    <n v="105.79600000000001"/>
    <n v="153"/>
    <s v="CATIVO"/>
    <n v="0"/>
    <n v="0"/>
    <n v="36"/>
    <n v="80"/>
    <n v="0"/>
    <n v="326.19"/>
    <n v="256.83"/>
    <m/>
    <n v="394.26378890128336"/>
    <n v="206.43942349447789"/>
    <n v="0"/>
    <n v="8409.724040000001"/>
    <n v="0"/>
    <n v="4056.5104505503364"/>
    <x v="2"/>
  </r>
  <r>
    <s v="Regular"/>
    <x v="2"/>
    <x v="2"/>
    <x v="2"/>
    <x v="0"/>
    <x v="0"/>
    <x v="5"/>
    <x v="0"/>
    <x v="10"/>
    <n v="0"/>
    <n v="0"/>
    <n v="803.98800000000006"/>
    <n v="803.98800000000006"/>
    <n v="803.98800000000006"/>
    <n v="803.98800000000006"/>
    <n v="2383"/>
    <s v="CATIVO"/>
    <n v="0"/>
    <n v="0"/>
    <n v="36"/>
    <n v="80"/>
    <n v="0"/>
    <n v="326.19"/>
    <n v="256.83"/>
    <m/>
    <n v="394.26378890128336"/>
    <n v="206.43942349447789"/>
    <n v="0"/>
    <n v="63909.006120000013"/>
    <n v="0"/>
    <n v="30827.117510275097"/>
    <x v="2"/>
  </r>
  <r>
    <s v="Sistema de Compensação"/>
    <x v="2"/>
    <x v="2"/>
    <x v="2"/>
    <x v="0"/>
    <x v="0"/>
    <x v="5"/>
    <x v="0"/>
    <x v="10"/>
    <n v="0"/>
    <n v="0"/>
    <n v="122.72499999999999"/>
    <n v="122.72499999999999"/>
    <n v="122.72499999999999"/>
    <n v="122.72499999999999"/>
    <n v="162"/>
    <s v="CATIVO"/>
    <n v="0"/>
    <n v="0"/>
    <n v="36"/>
    <n v="80"/>
    <n v="0"/>
    <n v="326.19"/>
    <n v="256.83"/>
    <m/>
    <n v="394.26378890128336"/>
    <n v="206.43942349447789"/>
    <n v="0"/>
    <n v="9755.4102500000008"/>
    <n v="0"/>
    <n v="4705.6150047619003"/>
    <x v="2"/>
  </r>
  <r>
    <s v="Sistema de Compensação"/>
    <x v="2"/>
    <x v="2"/>
    <x v="2"/>
    <x v="0"/>
    <x v="0"/>
    <x v="5"/>
    <x v="0"/>
    <x v="10"/>
    <n v="0"/>
    <n v="0"/>
    <n v="-4.1040000000000001"/>
    <n v="-4.1040000000000001"/>
    <n v="-4.1040000000000001"/>
    <n v="-4.1040000000000001"/>
    <n v="0"/>
    <s v="CATIVO"/>
    <n v="0"/>
    <n v="0"/>
    <n v="36"/>
    <n v="80"/>
    <n v="0"/>
    <n v="326.19"/>
    <n v="256.83"/>
    <m/>
    <n v="394.26378890128336"/>
    <n v="206.43942349447789"/>
    <n v="0"/>
    <n v="-326.22696000000002"/>
    <n v="0"/>
    <n v="-157.35867980886405"/>
    <x v="2"/>
  </r>
  <r>
    <s v="PROJETADO"/>
    <x v="2"/>
    <x v="2"/>
    <x v="2"/>
    <x v="0"/>
    <x v="0"/>
    <x v="5"/>
    <x v="0"/>
    <x v="11"/>
    <n v="0"/>
    <n v="0"/>
    <n v="803.98800000000006"/>
    <n v="803.98800000000006"/>
    <n v="803.98800000000006"/>
    <n v="803.98800000000006"/>
    <n v="2383"/>
    <s v="CATIVO"/>
    <n v="0"/>
    <n v="0"/>
    <n v="36"/>
    <n v="80"/>
    <n v="0"/>
    <n v="326.19"/>
    <n v="256.83"/>
    <m/>
    <n v="394.26378890128336"/>
    <n v="206.43942349447789"/>
    <n v="0"/>
    <n v="63909.006120000013"/>
    <n v="0"/>
    <n v="30827.117510275097"/>
    <x v="2"/>
  </r>
  <r>
    <s v="PROJETADO"/>
    <x v="2"/>
    <x v="2"/>
    <x v="2"/>
    <x v="0"/>
    <x v="0"/>
    <x v="5"/>
    <x v="0"/>
    <x v="11"/>
    <n v="0"/>
    <n v="0"/>
    <n v="122.72499999999999"/>
    <n v="122.72499999999999"/>
    <n v="122.72499999999999"/>
    <n v="122.72499999999999"/>
    <n v="162"/>
    <s v="CATIVO"/>
    <n v="0"/>
    <n v="0"/>
    <n v="36"/>
    <n v="80"/>
    <n v="0"/>
    <n v="326.19"/>
    <n v="256.83"/>
    <m/>
    <n v="394.26378890128336"/>
    <n v="206.43942349447789"/>
    <n v="0"/>
    <n v="9755.4102500000008"/>
    <n v="0"/>
    <n v="4705.6150047619003"/>
    <x v="2"/>
  </r>
  <r>
    <s v="PROJETADO"/>
    <x v="2"/>
    <x v="2"/>
    <x v="2"/>
    <x v="0"/>
    <x v="0"/>
    <x v="5"/>
    <x v="0"/>
    <x v="11"/>
    <n v="0"/>
    <n v="0"/>
    <n v="-4.1040000000000001"/>
    <n v="-4.1040000000000001"/>
    <n v="-4.1040000000000001"/>
    <n v="-4.1040000000000001"/>
    <n v="0"/>
    <s v="CATIVO"/>
    <n v="0"/>
    <n v="0"/>
    <n v="36"/>
    <n v="80"/>
    <n v="0"/>
    <n v="326.19"/>
    <n v="256.83"/>
    <m/>
    <n v="394.26378890128336"/>
    <n v="206.43942349447789"/>
    <n v="0"/>
    <n v="-326.22696000000002"/>
    <n v="0"/>
    <n v="-157.35867980886405"/>
    <x v="2"/>
  </r>
  <r>
    <s v="Regular"/>
    <x v="3"/>
    <x v="2"/>
    <x v="4"/>
    <x v="7"/>
    <x v="0"/>
    <x v="5"/>
    <x v="0"/>
    <x v="0"/>
    <n v="0"/>
    <n v="0"/>
    <n v="14.595000000000001"/>
    <n v="13.7193"/>
    <n v="14.595000000000001"/>
    <n v="13.7193"/>
    <n v="16"/>
    <s v="CATIVO"/>
    <n v="0"/>
    <n v="0"/>
    <n v="27"/>
    <n v="76"/>
    <n v="0"/>
    <n v="370.66"/>
    <n v="291.85000000000002"/>
    <m/>
    <n v="419.42956266093978"/>
    <n v="219.61640797284883"/>
    <n v="0"/>
    <n v="580.16000700000018"/>
    <n v="0"/>
    <n v="559.61255648400879"/>
    <x v="6"/>
  </r>
  <r>
    <s v="Refaturamento - Regular"/>
    <x v="3"/>
    <x v="2"/>
    <x v="4"/>
    <x v="7"/>
    <x v="0"/>
    <x v="5"/>
    <x v="0"/>
    <x v="0"/>
    <n v="0"/>
    <n v="0"/>
    <n v="-0.498"/>
    <n v="-0.46811999999999998"/>
    <n v="-0.498"/>
    <n v="-0.46811999999999998"/>
    <n v="0"/>
    <s v="CATIVO"/>
    <n v="0"/>
    <n v="0"/>
    <n v="27"/>
    <n v="76"/>
    <n v="0"/>
    <n v="370.66"/>
    <n v="291.85000000000002"/>
    <m/>
    <n v="419.42956266093978"/>
    <n v="219.61640797284883"/>
    <n v="0"/>
    <n v="-19.795798800000014"/>
    <n v="0"/>
    <n v="-19.094693602537617"/>
    <x v="6"/>
  </r>
  <r>
    <s v="Regular"/>
    <x v="3"/>
    <x v="2"/>
    <x v="4"/>
    <x v="7"/>
    <x v="0"/>
    <x v="5"/>
    <x v="0"/>
    <x v="1"/>
    <n v="0"/>
    <n v="0"/>
    <n v="14.583"/>
    <n v="13.708019999999999"/>
    <n v="14.583"/>
    <n v="13.708019999999999"/>
    <n v="16"/>
    <s v="CATIVO"/>
    <n v="0"/>
    <n v="0"/>
    <n v="27"/>
    <n v="76"/>
    <n v="0"/>
    <n v="370.66"/>
    <n v="291.85000000000002"/>
    <m/>
    <n v="419.42956266093978"/>
    <n v="219.61640797284883"/>
    <n v="0"/>
    <n v="579.68299980000052"/>
    <n v="0"/>
    <n v="559.15244338515288"/>
    <x v="6"/>
  </r>
  <r>
    <s v="Regular"/>
    <x v="3"/>
    <x v="2"/>
    <x v="4"/>
    <x v="7"/>
    <x v="0"/>
    <x v="5"/>
    <x v="0"/>
    <x v="2"/>
    <n v="0"/>
    <n v="0"/>
    <n v="15.177"/>
    <n v="14.26638"/>
    <n v="15.177"/>
    <n v="14.26638"/>
    <n v="16"/>
    <s v="CATIVO"/>
    <n v="0"/>
    <n v="0"/>
    <n v="27"/>
    <n v="76"/>
    <n v="0"/>
    <n v="370.66"/>
    <n v="291.85000000000002"/>
    <m/>
    <n v="419.42956266093978"/>
    <n v="219.61640797284883"/>
    <n v="0"/>
    <n v="603.29485619999991"/>
    <n v="0"/>
    <n v="581.92804177854043"/>
    <x v="6"/>
  </r>
  <r>
    <s v="Regular"/>
    <x v="3"/>
    <x v="2"/>
    <x v="4"/>
    <x v="7"/>
    <x v="0"/>
    <x v="5"/>
    <x v="0"/>
    <x v="3"/>
    <n v="0"/>
    <n v="0"/>
    <n v="13.978"/>
    <n v="13.13932"/>
    <n v="13.978"/>
    <n v="13.13932"/>
    <n v="16"/>
    <s v="CATIVO"/>
    <n v="0"/>
    <n v="0"/>
    <n v="27"/>
    <n v="76"/>
    <n v="0"/>
    <n v="370.66"/>
    <n v="291.85000000000002"/>
    <m/>
    <n v="419.42956266093978"/>
    <n v="219.61640797284883"/>
    <n v="0"/>
    <n v="555.63388680000003"/>
    <n v="0"/>
    <n v="535.95507465114588"/>
    <x v="6"/>
  </r>
  <r>
    <s v="Regular"/>
    <x v="3"/>
    <x v="2"/>
    <x v="4"/>
    <x v="7"/>
    <x v="0"/>
    <x v="5"/>
    <x v="0"/>
    <x v="4"/>
    <n v="0"/>
    <n v="0"/>
    <n v="13.185"/>
    <n v="12.3939"/>
    <n v="13.185"/>
    <n v="12.3939"/>
    <n v="16"/>
    <s v="CATIVO"/>
    <n v="0"/>
    <n v="0"/>
    <n v="27"/>
    <n v="76"/>
    <n v="0"/>
    <n v="370.66"/>
    <n v="291.85000000000002"/>
    <m/>
    <n v="419.42956266093978"/>
    <n v="219.61640797284883"/>
    <n v="0"/>
    <n v="524.11166100000014"/>
    <n v="0"/>
    <n v="505.54926736839025"/>
    <x v="6"/>
  </r>
  <r>
    <s v="Regular"/>
    <x v="3"/>
    <x v="2"/>
    <x v="4"/>
    <x v="7"/>
    <x v="0"/>
    <x v="5"/>
    <x v="0"/>
    <x v="5"/>
    <n v="0"/>
    <n v="0"/>
    <n v="15.356999999999999"/>
    <n v="14.43558"/>
    <n v="15.356999999999999"/>
    <n v="14.43558"/>
    <n v="16"/>
    <s v="CATIVO"/>
    <n v="0"/>
    <n v="0"/>
    <n v="27"/>
    <n v="76"/>
    <n v="0"/>
    <n v="370.66"/>
    <n v="291.85000000000002"/>
    <m/>
    <n v="419.42956266093978"/>
    <n v="219.61640797284883"/>
    <n v="0"/>
    <n v="610.44996419999973"/>
    <n v="0"/>
    <n v="588.82973826138516"/>
    <x v="6"/>
  </r>
  <r>
    <s v="Regular"/>
    <x v="3"/>
    <x v="2"/>
    <x v="4"/>
    <x v="7"/>
    <x v="0"/>
    <x v="5"/>
    <x v="0"/>
    <x v="6"/>
    <n v="0"/>
    <n v="0"/>
    <n v="14.31"/>
    <n v="13.4514"/>
    <n v="14.31"/>
    <n v="13.4514"/>
    <n v="16"/>
    <s v="CATIVO"/>
    <n v="0"/>
    <n v="0"/>
    <n v="27"/>
    <n v="76"/>
    <n v="0"/>
    <n v="370.66"/>
    <n v="291.85000000000002"/>
    <m/>
    <n v="419.42956266093978"/>
    <n v="219.61640797284883"/>
    <n v="0"/>
    <n v="568.83108600000071"/>
    <n v="0"/>
    <n v="548.6848703861715"/>
    <x v="6"/>
  </r>
  <r>
    <s v="Regular"/>
    <x v="3"/>
    <x v="2"/>
    <x v="4"/>
    <x v="7"/>
    <x v="0"/>
    <x v="5"/>
    <x v="0"/>
    <x v="7"/>
    <n v="0"/>
    <n v="0"/>
    <n v="14.478999999999999"/>
    <n v="13.61026"/>
    <n v="14.478999999999999"/>
    <n v="13.61026"/>
    <n v="16"/>
    <s v="CATIVO"/>
    <n v="0"/>
    <n v="0"/>
    <n v="27"/>
    <n v="76"/>
    <n v="0"/>
    <n v="370.66"/>
    <n v="291.85000000000002"/>
    <m/>
    <n v="419.42956266093978"/>
    <n v="219.61640797284883"/>
    <n v="0"/>
    <n v="575.54893739999932"/>
    <n v="0"/>
    <n v="555.16479652839689"/>
    <x v="6"/>
  </r>
  <r>
    <s v="Regular"/>
    <x v="3"/>
    <x v="2"/>
    <x v="4"/>
    <x v="7"/>
    <x v="0"/>
    <x v="5"/>
    <x v="0"/>
    <x v="8"/>
    <n v="0"/>
    <n v="0"/>
    <n v="14.087"/>
    <n v="13.24178"/>
    <n v="14.087"/>
    <n v="13.24178"/>
    <n v="16"/>
    <s v="CATIVO"/>
    <n v="0"/>
    <n v="0"/>
    <n v="27"/>
    <n v="76"/>
    <n v="0"/>
    <n v="370.66"/>
    <n v="291.85000000000002"/>
    <m/>
    <n v="419.42956266093978"/>
    <n v="219.61640797284883"/>
    <n v="0"/>
    <n v="559.96670219999965"/>
    <n v="0"/>
    <n v="540.13443529909046"/>
    <x v="6"/>
  </r>
  <r>
    <s v="Regular"/>
    <x v="3"/>
    <x v="2"/>
    <x v="4"/>
    <x v="7"/>
    <x v="0"/>
    <x v="5"/>
    <x v="0"/>
    <x v="9"/>
    <n v="0"/>
    <n v="0"/>
    <n v="15.03"/>
    <n v="14.1282"/>
    <n v="15.03"/>
    <n v="14.1282"/>
    <n v="16"/>
    <s v="CATIVO"/>
    <n v="0"/>
    <n v="0"/>
    <n v="27"/>
    <n v="76"/>
    <n v="0"/>
    <n v="370.66"/>
    <n v="291.85000000000002"/>
    <m/>
    <n v="419.42956266093978"/>
    <n v="219.61640797284883"/>
    <n v="0"/>
    <n v="597.45151799999985"/>
    <n v="0"/>
    <n v="576.29165631755041"/>
    <x v="6"/>
  </r>
  <r>
    <s v="Regular"/>
    <x v="3"/>
    <x v="2"/>
    <x v="4"/>
    <x v="7"/>
    <x v="0"/>
    <x v="5"/>
    <x v="0"/>
    <x v="10"/>
    <n v="0"/>
    <n v="0"/>
    <n v="13.217000000000001"/>
    <n v="12.42398"/>
    <n v="13.217000000000001"/>
    <n v="12.42398"/>
    <n v="16"/>
    <s v="CATIVO"/>
    <n v="0"/>
    <n v="0"/>
    <n v="27"/>
    <n v="76"/>
    <n v="0"/>
    <n v="370.66"/>
    <n v="291.85000000000002"/>
    <m/>
    <n v="419.42956266093978"/>
    <n v="219.61640797284883"/>
    <n v="0"/>
    <n v="525.3836802000003"/>
    <n v="0"/>
    <n v="506.77623563200723"/>
    <x v="6"/>
  </r>
  <r>
    <s v="PROJETADO"/>
    <x v="3"/>
    <x v="2"/>
    <x v="4"/>
    <x v="7"/>
    <x v="0"/>
    <x v="5"/>
    <x v="0"/>
    <x v="11"/>
    <n v="0"/>
    <n v="0"/>
    <n v="13.217000000000001"/>
    <n v="12.42398"/>
    <n v="13.217000000000001"/>
    <n v="12.42398"/>
    <n v="16"/>
    <s v="CATIVO"/>
    <n v="0"/>
    <n v="0"/>
    <n v="27"/>
    <n v="76"/>
    <n v="0"/>
    <n v="370.66"/>
    <n v="291.85000000000002"/>
    <m/>
    <n v="419.42956266093978"/>
    <n v="219.61640797284883"/>
    <n v="0"/>
    <n v="525.3836802000003"/>
    <n v="0"/>
    <n v="506.77623563200723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3E616B-C4A1-4F7B-BE1D-A200CAB2E04B}" name="Efeito Resumo" cacheId="2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476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showAll="0">
      <items count="10">
        <item x="4"/>
        <item x="5"/>
        <item x="8"/>
        <item x="0"/>
        <item x="1"/>
        <item x="6"/>
        <item x="3"/>
        <item x="2"/>
        <item x="7"/>
        <item t="default"/>
      </items>
    </pivotField>
    <pivotField axis="axisRow" showAll="0">
      <items count="10">
        <item x="7"/>
        <item x="6"/>
        <item x="8"/>
        <item x="0"/>
        <item x="1"/>
        <item x="2"/>
        <item x="3"/>
        <item x="4"/>
        <item x="5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7">
        <item x="4"/>
        <item x="0"/>
        <item x="1"/>
        <item x="3"/>
        <item x="2"/>
        <item x="5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4">
        <item x="0"/>
        <item x="1"/>
        <item x="2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475">
    <i>
      <x/>
    </i>
    <i r="1">
      <x/>
    </i>
    <i r="2">
      <x/>
    </i>
    <i r="3">
      <x v="3"/>
    </i>
    <i r="4">
      <x v="3"/>
    </i>
    <i r="5">
      <x v="3"/>
    </i>
    <i r="6">
      <x v="1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3"/>
    </i>
    <i r="3">
      <x v="3"/>
    </i>
    <i r="4">
      <x v="3"/>
    </i>
    <i r="5">
      <x v="3"/>
    </i>
    <i r="6">
      <x v="1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3"/>
    </i>
    <i r="5">
      <x v="3"/>
    </i>
    <i r="6">
      <x v="1"/>
    </i>
    <i r="7">
      <x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1"/>
    </i>
    <i r="3">
      <x v="6"/>
    </i>
    <i r="4">
      <x v="4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7"/>
    </i>
    <i r="4">
      <x v="1"/>
    </i>
    <i r="5">
      <x v="1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3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3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5"/>
    </i>
    <i r="4">
      <x v="3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8"/>
    </i>
    <i r="4">
      <x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2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 v="2"/>
    </i>
    <i r="3">
      <x v="4"/>
    </i>
    <i r="4">
      <x v="3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6">
      <x v="2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6">
      <x v="3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6">
      <x v="4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6">
      <x v="5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3"/>
    </i>
    <i r="3">
      <x v="3"/>
    </i>
    <i r="4">
      <x v="3"/>
    </i>
    <i r="5">
      <x/>
    </i>
    <i r="6">
      <x v="1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7"/>
    <dataField name="Soma de Variação TE" fld="34" baseField="0" baseItem="0" numFmtId="167"/>
    <dataField name="Soma de Variação" fld="35" baseField="0" baseItem="0" numFmtId="167"/>
  </dataFields>
  <formats count="256">
    <format dxfId="605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60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03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602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601">
      <pivotArea type="all" dataOnly="0" outline="0" fieldPosition="0"/>
    </format>
    <format dxfId="600">
      <pivotArea outline="0" collapsedLevelsAreSubtotals="1" fieldPosition="0"/>
    </format>
    <format dxfId="599">
      <pivotArea field="16" type="button" dataOnly="0" labelOnly="1" outline="0" axis="axisRow" fieldPosition="0"/>
    </format>
    <format dxfId="598">
      <pivotArea dataOnly="0" labelOnly="1" fieldPosition="0">
        <references count="1">
          <reference field="16" count="0"/>
        </references>
      </pivotArea>
    </format>
    <format dxfId="597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596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595">
      <pivotArea dataOnly="0" labelOnly="1" fieldPosition="0">
        <references count="2">
          <reference field="1" count="1">
            <x v="0"/>
          </reference>
          <reference field="16" count="1" selected="0">
            <x v="2"/>
          </reference>
        </references>
      </pivotArea>
    </format>
    <format dxfId="594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1" selected="0">
            <x v="0"/>
          </reference>
        </references>
      </pivotArea>
    </format>
    <format dxfId="593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92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91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90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89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588">
      <pivotArea dataOnly="0" labelOnly="1" fieldPosition="0">
        <references count="3">
          <reference field="1" count="1" selected="0">
            <x v="0"/>
          </reference>
          <reference field="2" count="1">
            <x v="3"/>
          </reference>
          <reference field="16" count="1" selected="0">
            <x v="2"/>
          </reference>
        </references>
      </pivotArea>
    </format>
    <format dxfId="587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1" selected="0">
            <x v="0"/>
          </reference>
        </references>
      </pivotArea>
    </format>
    <format dxfId="58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2">
            <x v="3"/>
            <x v="7"/>
          </reference>
          <reference field="16" count="1" selected="0">
            <x v="0"/>
          </reference>
        </references>
      </pivotArea>
    </format>
    <format dxfId="585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58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7"/>
          </reference>
          <reference field="16" count="1" selected="0">
            <x v="0"/>
          </reference>
        </references>
      </pivotArea>
    </format>
    <format dxfId="583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5"/>
            <x v="8"/>
          </reference>
          <reference field="16" count="1" selected="0">
            <x v="0"/>
          </reference>
        </references>
      </pivotArea>
    </format>
    <format dxfId="582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581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4"/>
          </reference>
          <reference field="16" count="1" selected="0">
            <x v="1"/>
          </reference>
        </references>
      </pivotArea>
    </format>
    <format dxfId="580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>
            <x v="3"/>
          </reference>
          <reference field="16" count="1" selected="0">
            <x v="2"/>
          </reference>
        </references>
      </pivotArea>
    </format>
    <format dxfId="579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78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7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76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5">
            <x v="4"/>
            <x v="5"/>
            <x v="6"/>
            <x v="7"/>
            <x v="8"/>
          </reference>
          <reference field="16" count="1" selected="0">
            <x v="0"/>
          </reference>
        </references>
      </pivotArea>
    </format>
    <format dxfId="57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2">
            <x v="1"/>
            <x v="3"/>
          </reference>
          <reference field="16" count="1" selected="0">
            <x v="0"/>
          </reference>
        </references>
      </pivotArea>
    </format>
    <format dxfId="57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7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7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7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7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569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56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3"/>
          </reference>
          <reference field="16" count="1" selected="0">
            <x v="1"/>
          </reference>
        </references>
      </pivotArea>
    </format>
    <format dxfId="56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2"/>
          </reference>
        </references>
      </pivotArea>
    </format>
    <format dxfId="566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5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4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5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5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55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5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5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5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5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5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0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51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5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1"/>
          </reference>
        </references>
      </pivotArea>
    </format>
    <format dxfId="549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0"/>
          </reference>
          <reference field="16" count="1" selected="0">
            <x v="2"/>
          </reference>
        </references>
      </pivotArea>
    </format>
    <format dxfId="54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47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46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4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4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4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4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4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4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3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3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3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3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3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3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3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32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531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5">
            <x v="0"/>
            <x v="2"/>
            <x v="3"/>
            <x v="4"/>
            <x v="5"/>
          </reference>
          <reference field="16" count="1" selected="0">
            <x v="1"/>
          </reference>
        </references>
      </pivotArea>
    </format>
    <format dxfId="530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1"/>
          </reference>
          <reference field="16" count="1" selected="0">
            <x v="2"/>
          </reference>
        </references>
      </pivotArea>
    </format>
    <format dxfId="52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528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0"/>
          <reference field="16" count="1" selected="0">
            <x v="0"/>
          </reference>
        </references>
      </pivotArea>
    </format>
    <format dxfId="527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0"/>
          <reference field="16" count="1" selected="0">
            <x v="0"/>
          </reference>
        </references>
      </pivotArea>
    </format>
    <format dxfId="52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2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2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2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2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2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2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1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1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1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1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1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1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13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51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51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51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50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4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50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5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507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1"/>
          </reference>
          <reference field="7" count="0"/>
          <reference field="16" count="1" selected="0">
            <x v="2"/>
          </reference>
        </references>
      </pivotArea>
    </format>
    <format dxfId="50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0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0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0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1" selected="0">
            <x v="0"/>
          </reference>
        </references>
      </pivotArea>
    </format>
    <format dxfId="50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1" selected="0">
            <x v="0"/>
          </reference>
        </references>
      </pivotArea>
    </format>
    <format dxfId="49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2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1" selected="0">
            <x v="0"/>
          </reference>
        </references>
      </pivotArea>
    </format>
    <format dxfId="49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8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8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8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8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85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8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48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48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48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4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48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5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47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16" count="1" selected="0">
            <x v="2"/>
          </reference>
        </references>
      </pivotArea>
    </format>
    <format dxfId="47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2"/>
          </reference>
        </references>
      </pivotArea>
    </format>
    <format dxfId="47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16" count="1" selected="0">
            <x v="2"/>
          </reference>
        </references>
      </pivotArea>
    </format>
    <format dxfId="476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75">
      <pivotArea type="all" dataOnly="0" outline="0" fieldPosition="0"/>
    </format>
    <format dxfId="474">
      <pivotArea outline="0" collapsedLevelsAreSubtotals="1" fieldPosition="0"/>
    </format>
    <format dxfId="473">
      <pivotArea field="16" type="button" dataOnly="0" labelOnly="1" outline="0" axis="axisRow" fieldPosition="0"/>
    </format>
    <format dxfId="472">
      <pivotArea dataOnly="0" labelOnly="1" fieldPosition="0">
        <references count="1">
          <reference field="16" count="0"/>
        </references>
      </pivotArea>
    </format>
    <format dxfId="471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470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469">
      <pivotArea dataOnly="0" labelOnly="1" fieldPosition="0">
        <references count="2">
          <reference field="1" count="1">
            <x v="0"/>
          </reference>
          <reference field="16" count="1" selected="0">
            <x v="2"/>
          </reference>
        </references>
      </pivotArea>
    </format>
    <format dxfId="468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1" selected="0">
            <x v="0"/>
          </reference>
        </references>
      </pivotArea>
    </format>
    <format dxfId="467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66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65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64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63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462">
      <pivotArea dataOnly="0" labelOnly="1" fieldPosition="0">
        <references count="3">
          <reference field="1" count="1" selected="0">
            <x v="0"/>
          </reference>
          <reference field="2" count="1">
            <x v="3"/>
          </reference>
          <reference field="16" count="1" selected="0">
            <x v="2"/>
          </reference>
        </references>
      </pivotArea>
    </format>
    <format dxfId="461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1" selected="0">
            <x v="0"/>
          </reference>
        </references>
      </pivotArea>
    </format>
    <format dxfId="460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2">
            <x v="3"/>
            <x v="7"/>
          </reference>
          <reference field="16" count="1" selected="0">
            <x v="0"/>
          </reference>
        </references>
      </pivotArea>
    </format>
    <format dxfId="459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458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7"/>
          </reference>
          <reference field="16" count="1" selected="0">
            <x v="0"/>
          </reference>
        </references>
      </pivotArea>
    </format>
    <format dxfId="457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5"/>
            <x v="8"/>
          </reference>
          <reference field="16" count="1" selected="0">
            <x v="0"/>
          </reference>
        </references>
      </pivotArea>
    </format>
    <format dxfId="456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45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4"/>
          </reference>
          <reference field="16" count="1" selected="0">
            <x v="1"/>
          </reference>
        </references>
      </pivotArea>
    </format>
    <format dxfId="454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1">
            <x v="3"/>
          </reference>
          <reference field="16" count="1" selected="0">
            <x v="2"/>
          </reference>
        </references>
      </pivotArea>
    </format>
    <format dxfId="453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52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51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50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5">
            <x v="4"/>
            <x v="5"/>
            <x v="6"/>
            <x v="7"/>
            <x v="8"/>
          </reference>
          <reference field="16" count="1" selected="0">
            <x v="0"/>
          </reference>
        </references>
      </pivotArea>
    </format>
    <format dxfId="449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2">
            <x v="1"/>
            <x v="3"/>
          </reference>
          <reference field="16" count="1" selected="0">
            <x v="0"/>
          </reference>
        </references>
      </pivotArea>
    </format>
    <format dxfId="44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4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4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4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4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443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4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3"/>
          </reference>
          <reference field="16" count="1" selected="0">
            <x v="1"/>
          </reference>
        </references>
      </pivotArea>
    </format>
    <format dxfId="441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3"/>
          </reference>
          <reference field="16" count="1" selected="0">
            <x v="2"/>
          </reference>
        </references>
      </pivotArea>
    </format>
    <format dxfId="440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9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8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2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3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2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2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2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2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0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25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2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1"/>
          </reference>
        </references>
      </pivotArea>
    </format>
    <format dxfId="42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0"/>
          </reference>
          <reference field="16" count="1" selected="0">
            <x v="2"/>
          </reference>
        </references>
      </pivotArea>
    </format>
    <format dxfId="422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21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20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1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1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1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1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1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1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1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1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1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1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0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0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0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06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1">
            <x v="1"/>
          </reference>
          <reference field="16" count="1" selected="0">
            <x v="0"/>
          </reference>
        </references>
      </pivotArea>
    </format>
    <format dxfId="40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5">
            <x v="0"/>
            <x v="2"/>
            <x v="3"/>
            <x v="4"/>
            <x v="5"/>
          </reference>
          <reference field="16" count="1" selected="0">
            <x v="1"/>
          </reference>
        </references>
      </pivotArea>
    </format>
    <format dxfId="404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1">
            <x v="1"/>
          </reference>
          <reference field="16" count="1" selected="0">
            <x v="2"/>
          </reference>
        </references>
      </pivotArea>
    </format>
    <format dxfId="403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402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0"/>
          <reference field="16" count="1" selected="0">
            <x v="0"/>
          </reference>
        </references>
      </pivotArea>
    </format>
    <format dxfId="401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0"/>
          <reference field="16" count="1" selected="0">
            <x v="0"/>
          </reference>
        </references>
      </pivotArea>
    </format>
    <format dxfId="40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9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8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8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87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16" count="1" selected="0">
            <x v="0"/>
          </reference>
        </references>
      </pivotArea>
    </format>
    <format dxfId="38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38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2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38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38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4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38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5"/>
          </reference>
          <reference field="7" count="1">
            <x v="1"/>
          </reference>
          <reference field="16" count="1" selected="0">
            <x v="1"/>
          </reference>
        </references>
      </pivotArea>
    </format>
    <format dxfId="381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1"/>
          </reference>
          <reference field="7" count="0"/>
          <reference field="16" count="1" selected="0">
            <x v="2"/>
          </reference>
        </references>
      </pivotArea>
    </format>
    <format dxfId="38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0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1" selected="0">
            <x v="0"/>
          </reference>
        </references>
      </pivotArea>
    </format>
    <format dxfId="37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1" selected="0">
            <x v="0"/>
          </reference>
        </references>
      </pivotArea>
    </format>
    <format dxfId="37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2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1" selected="0">
            <x v="0"/>
          </reference>
        </references>
      </pivotArea>
    </format>
    <format dxfId="37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8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8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9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5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5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4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5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5"/>
          </reference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5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16" count="1" selected="0">
            <x v="2"/>
          </reference>
        </references>
      </pivotArea>
    </format>
    <format dxfId="35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16" count="1" selected="0">
            <x v="2"/>
          </reference>
        </references>
      </pivotArea>
    </format>
    <format dxfId="35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16" count="1" selected="0">
            <x v="2"/>
          </reference>
        </references>
      </pivotArea>
    </format>
    <format dxfId="35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295584-7583-43E9-BBAC-9D801BDBA6ED}" name="Subsidio Resumo" cacheId="2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330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Row" showAll="0">
      <items count="9">
        <item x="7"/>
        <item x="6"/>
        <item x="0"/>
        <item x="1"/>
        <item x="2"/>
        <item x="3"/>
        <item x="4"/>
        <item x="5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7">
        <item x="3"/>
        <item x="5"/>
        <item x="0"/>
        <item x="2"/>
        <item x="1"/>
        <item x="4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8">
        <item x="6"/>
        <item x="4"/>
        <item x="1"/>
        <item x="0"/>
        <item x="5"/>
        <item x="2"/>
        <item x="3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329">
    <i>
      <x/>
    </i>
    <i r="1">
      <x v="3"/>
    </i>
    <i r="2">
      <x/>
    </i>
    <i r="3">
      <x v="4"/>
    </i>
    <i r="4">
      <x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 v="2"/>
    </i>
    <i r="4">
      <x v="4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2"/>
    </i>
    <i r="3">
      <x/>
    </i>
    <i r="4">
      <x v="2"/>
    </i>
    <i r="5">
      <x/>
    </i>
    <i r="6">
      <x v="1"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 v="1"/>
    </i>
    <i r="3">
      <x v="1"/>
    </i>
    <i r="4">
      <x v="2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6">
      <x v="2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6">
      <x v="3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6">
      <x v="4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6">
      <x v="5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2"/>
    </i>
    <i r="2">
      <x/>
    </i>
    <i r="3">
      <x v="3"/>
    </i>
    <i r="4">
      <x v="1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5"/>
    </i>
    <i r="1">
      <x/>
    </i>
    <i r="2">
      <x v="2"/>
    </i>
    <i r="3">
      <x v="3"/>
    </i>
    <i r="4">
      <x v="2"/>
    </i>
    <i r="5">
      <x v="3"/>
    </i>
    <i r="6">
      <x v="1"/>
    </i>
    <i r="7">
      <x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3"/>
    </i>
    <i r="4">
      <x v="1"/>
    </i>
    <i r="5">
      <x v="1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3"/>
    </i>
    <i r="6">
      <x v="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6"/>
    </i>
    <i r="1">
      <x v="1"/>
    </i>
    <i r="2">
      <x/>
    </i>
    <i r="3">
      <x v="2"/>
    </i>
    <i r="4">
      <x v="3"/>
    </i>
    <i r="5">
      <x v="3"/>
    </i>
    <i r="6">
      <x v="1"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200">
    <format dxfId="349">
      <pivotArea outline="0" collapsedLevelsAreSubtotals="1" fieldPosition="0"/>
    </format>
    <format dxfId="34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47">
      <pivotArea type="all" dataOnly="0" outline="0" fieldPosition="0"/>
    </format>
    <format dxfId="346">
      <pivotArea outline="0" collapsedLevelsAreSubtotals="1" fieldPosition="0"/>
    </format>
    <format dxfId="345">
      <pivotArea field="31" type="button" dataOnly="0" labelOnly="1" outline="0" axis="axisRow" fieldPosition="0"/>
    </format>
    <format dxfId="344">
      <pivotArea dataOnly="0" labelOnly="1" fieldPosition="0">
        <references count="1">
          <reference field="31" count="0"/>
        </references>
      </pivotArea>
    </format>
    <format dxfId="343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342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41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340">
      <pivotArea dataOnly="0" labelOnly="1" fieldPosition="0">
        <references count="2">
          <reference field="1" count="1">
            <x v="0"/>
          </reference>
          <reference field="31" count="1" selected="0">
            <x v="3"/>
          </reference>
        </references>
      </pivotArea>
    </format>
    <format dxfId="339">
      <pivotArea dataOnly="0" labelOnly="1" fieldPosition="0">
        <references count="2">
          <reference field="1" count="1">
            <x v="2"/>
          </reference>
          <reference field="31" count="1" selected="0">
            <x v="4"/>
          </reference>
        </references>
      </pivotArea>
    </format>
    <format dxfId="338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5"/>
          </reference>
        </references>
      </pivotArea>
    </format>
    <format dxfId="337">
      <pivotArea dataOnly="0" labelOnly="1" fieldPosition="0">
        <references count="2">
          <reference field="1" count="1">
            <x v="1"/>
          </reference>
          <reference field="31" count="1" selected="0">
            <x v="6"/>
          </reference>
        </references>
      </pivotArea>
    </format>
    <format dxfId="336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335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334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333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332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331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5"/>
          </reference>
        </references>
      </pivotArea>
    </format>
    <format dxfId="330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5"/>
          </reference>
        </references>
      </pivotArea>
    </format>
    <format dxfId="329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6"/>
          </reference>
        </references>
      </pivotArea>
    </format>
    <format dxfId="328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4"/>
          </reference>
          <reference field="31" count="1" selected="0">
            <x v="0"/>
          </reference>
        </references>
      </pivotArea>
    </format>
    <format dxfId="327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1"/>
          </reference>
        </references>
      </pivotArea>
    </format>
    <format dxfId="326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325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324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4"/>
          </reference>
        </references>
      </pivotArea>
    </format>
    <format dxfId="323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31" count="1" selected="0">
            <x v="5"/>
          </reference>
        </references>
      </pivotArea>
    </format>
    <format dxfId="322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5"/>
          </reference>
        </references>
      </pivotArea>
    </format>
    <format dxfId="321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6"/>
          </reference>
        </references>
      </pivotArea>
    </format>
    <format dxfId="320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319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31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31" count="1" selected="0">
            <x v="2"/>
          </reference>
        </references>
      </pivotArea>
    </format>
    <format dxfId="317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3"/>
          </reference>
        </references>
      </pivotArea>
    </format>
    <format dxfId="316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4"/>
          </reference>
        </references>
      </pivotArea>
    </format>
    <format dxfId="31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31" count="1" selected="0">
            <x v="5"/>
          </reference>
        </references>
      </pivotArea>
    </format>
    <format dxfId="31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2">
            <x v="1"/>
            <x v="2"/>
          </reference>
          <reference field="31" count="1" selected="0">
            <x v="5"/>
          </reference>
        </references>
      </pivotArea>
    </format>
    <format dxfId="313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3"/>
          </reference>
          <reference field="31" count="1" selected="0">
            <x v="6"/>
          </reference>
        </references>
      </pivotArea>
    </format>
    <format dxfId="312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31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1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0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0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0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306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3"/>
          </reference>
        </references>
      </pivotArea>
    </format>
    <format dxfId="30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30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30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2">
            <x v="1"/>
            <x v="2"/>
          </reference>
          <reference field="31" count="1" selected="0">
            <x v="5"/>
          </reference>
        </references>
      </pivotArea>
    </format>
    <format dxfId="30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30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6"/>
          </reference>
        </references>
      </pivotArea>
    </format>
    <format dxfId="300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0"/>
          </reference>
        </references>
      </pivotArea>
    </format>
    <format dxfId="29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1"/>
          </reference>
        </references>
      </pivotArea>
    </format>
    <format dxfId="29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1"/>
          </reference>
        </references>
      </pivotArea>
    </format>
    <format dxfId="29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1"/>
          </reference>
        </references>
      </pivotArea>
    </format>
    <format dxfId="29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7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1"/>
          </reference>
        </references>
      </pivotArea>
    </format>
    <format dxfId="29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1"/>
          </reference>
          <reference field="31" count="1" selected="0">
            <x v="2"/>
          </reference>
        </references>
      </pivotArea>
    </format>
    <format dxfId="294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5">
            <x v="0"/>
            <x v="2"/>
            <x v="3"/>
            <x v="4"/>
            <x v="5"/>
          </reference>
          <reference field="31" count="1" selected="0">
            <x v="3"/>
          </reference>
        </references>
      </pivotArea>
    </format>
    <format dxfId="29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4"/>
          </reference>
        </references>
      </pivotArea>
    </format>
    <format dxfId="29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5"/>
          </reference>
        </references>
      </pivotArea>
    </format>
    <format dxfId="29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1"/>
          </reference>
          <reference field="31" count="1" selected="0">
            <x v="5"/>
          </reference>
        </references>
      </pivotArea>
    </format>
    <format dxfId="29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5"/>
          </reference>
        </references>
      </pivotArea>
    </format>
    <format dxfId="28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5"/>
          </reference>
        </references>
      </pivotArea>
    </format>
    <format dxfId="28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6"/>
          </reference>
        </references>
      </pivotArea>
    </format>
    <format dxfId="287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0"/>
          </reference>
        </references>
      </pivotArea>
    </format>
    <format dxfId="28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8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8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8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28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0"/>
          <reference field="31" count="1" selected="0">
            <x v="2"/>
          </reference>
        </references>
      </pivotArea>
    </format>
    <format dxfId="281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80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79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78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4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77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5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27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27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1"/>
          </reference>
          <reference field="7" count="0"/>
          <reference field="31" count="1" selected="0">
            <x v="5"/>
          </reference>
        </references>
      </pivotArea>
    </format>
    <format dxfId="27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27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27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27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6"/>
          </reference>
        </references>
      </pivotArea>
    </format>
    <format dxfId="27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6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6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6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6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6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6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5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4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5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5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5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5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0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5"/>
          </reference>
        </references>
      </pivotArea>
    </format>
    <format dxfId="2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5"/>
          </reference>
        </references>
      </pivotArea>
    </format>
    <format dxfId="25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2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5"/>
          </reference>
        </references>
      </pivotArea>
    </format>
    <format dxfId="25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25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25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25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1">
            <x v="0"/>
          </reference>
          <reference field="31" count="1" selected="0">
            <x v="6"/>
          </reference>
        </references>
      </pivotArea>
    </format>
    <format dxfId="24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48">
      <pivotArea type="all" dataOnly="0" outline="0" fieldPosition="0"/>
    </format>
    <format dxfId="247">
      <pivotArea outline="0" collapsedLevelsAreSubtotals="1" fieldPosition="0"/>
    </format>
    <format dxfId="246">
      <pivotArea field="31" type="button" dataOnly="0" labelOnly="1" outline="0" axis="axisRow" fieldPosition="0"/>
    </format>
    <format dxfId="245">
      <pivotArea dataOnly="0" labelOnly="1" fieldPosition="0">
        <references count="1">
          <reference field="31" count="0"/>
        </references>
      </pivotArea>
    </format>
    <format dxfId="244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43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42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41">
      <pivotArea dataOnly="0" labelOnly="1" fieldPosition="0">
        <references count="2">
          <reference field="1" count="1">
            <x v="0"/>
          </reference>
          <reference field="31" count="1" selected="0">
            <x v="3"/>
          </reference>
        </references>
      </pivotArea>
    </format>
    <format dxfId="240">
      <pivotArea dataOnly="0" labelOnly="1" fieldPosition="0">
        <references count="2">
          <reference field="1" count="1">
            <x v="2"/>
          </reference>
          <reference field="31" count="1" selected="0">
            <x v="4"/>
          </reference>
        </references>
      </pivotArea>
    </format>
    <format dxfId="239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5"/>
          </reference>
        </references>
      </pivotArea>
    </format>
    <format dxfId="238">
      <pivotArea dataOnly="0" labelOnly="1" fieldPosition="0">
        <references count="2">
          <reference field="1" count="1">
            <x v="1"/>
          </reference>
          <reference field="31" count="1" selected="0">
            <x v="6"/>
          </reference>
        </references>
      </pivotArea>
    </format>
    <format dxfId="237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36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35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234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33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3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5"/>
          </reference>
        </references>
      </pivotArea>
    </format>
    <format dxfId="231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5"/>
          </reference>
        </references>
      </pivotArea>
    </format>
    <format dxfId="230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6"/>
          </reference>
        </references>
      </pivotArea>
    </format>
    <format dxfId="229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4"/>
          </reference>
          <reference field="31" count="1" selected="0">
            <x v="0"/>
          </reference>
        </references>
      </pivotArea>
    </format>
    <format dxfId="228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1"/>
          </reference>
        </references>
      </pivotArea>
    </format>
    <format dxfId="227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26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25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4"/>
          </reference>
        </references>
      </pivotArea>
    </format>
    <format dxfId="224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31" count="1" selected="0">
            <x v="5"/>
          </reference>
        </references>
      </pivotArea>
    </format>
    <format dxfId="22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5"/>
          </reference>
        </references>
      </pivotArea>
    </format>
    <format dxfId="222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6"/>
          </reference>
        </references>
      </pivotArea>
    </format>
    <format dxfId="221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20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21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31" count="1" selected="0">
            <x v="2"/>
          </reference>
        </references>
      </pivotArea>
    </format>
    <format dxfId="218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3"/>
          </reference>
        </references>
      </pivotArea>
    </format>
    <format dxfId="217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4"/>
          </reference>
        </references>
      </pivotArea>
    </format>
    <format dxfId="21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31" count="1" selected="0">
            <x v="5"/>
          </reference>
        </references>
      </pivotArea>
    </format>
    <format dxfId="215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2">
            <x v="1"/>
            <x v="2"/>
          </reference>
          <reference field="31" count="1" selected="0">
            <x v="5"/>
          </reference>
        </references>
      </pivotArea>
    </format>
    <format dxfId="214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3"/>
          </reference>
          <reference field="31" count="1" selected="0">
            <x v="6"/>
          </reference>
        </references>
      </pivotArea>
    </format>
    <format dxfId="213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1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1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1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207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3"/>
          </reference>
        </references>
      </pivotArea>
    </format>
    <format dxfId="206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0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204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2">
            <x v="1"/>
            <x v="2"/>
          </reference>
          <reference field="31" count="1" selected="0">
            <x v="5"/>
          </reference>
        </references>
      </pivotArea>
    </format>
    <format dxfId="20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20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6"/>
          </reference>
        </references>
      </pivotArea>
    </format>
    <format dxfId="201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0"/>
          </reference>
        </references>
      </pivotArea>
    </format>
    <format dxfId="20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1"/>
          </reference>
        </references>
      </pivotArea>
    </format>
    <format dxfId="19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1"/>
          </reference>
        </references>
      </pivotArea>
    </format>
    <format dxfId="19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1"/>
          </reference>
        </references>
      </pivotArea>
    </format>
    <format dxfId="19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7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1"/>
          </reference>
        </references>
      </pivotArea>
    </format>
    <format dxfId="19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1"/>
          </reference>
          <reference field="31" count="1" selected="0">
            <x v="2"/>
          </reference>
        </references>
      </pivotArea>
    </format>
    <format dxfId="195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5">
            <x v="0"/>
            <x v="2"/>
            <x v="3"/>
            <x v="4"/>
            <x v="5"/>
          </reference>
          <reference field="31" count="1" selected="0">
            <x v="3"/>
          </reference>
        </references>
      </pivotArea>
    </format>
    <format dxfId="19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4"/>
          </reference>
        </references>
      </pivotArea>
    </format>
    <format dxfId="19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5"/>
          </reference>
        </references>
      </pivotArea>
    </format>
    <format dxfId="192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>
            <x v="1"/>
          </reference>
          <reference field="31" count="1" selected="0">
            <x v="5"/>
          </reference>
        </references>
      </pivotArea>
    </format>
    <format dxfId="19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>
            <x v="1"/>
          </reference>
          <reference field="31" count="1" selected="0">
            <x v="5"/>
          </reference>
        </references>
      </pivotArea>
    </format>
    <format dxfId="19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5"/>
          </reference>
        </references>
      </pivotArea>
    </format>
    <format dxfId="18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>
            <x v="1"/>
          </reference>
          <reference field="31" count="1" selected="0">
            <x v="6"/>
          </reference>
        </references>
      </pivotArea>
    </format>
    <format dxfId="188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0"/>
          </reference>
        </references>
      </pivotArea>
    </format>
    <format dxfId="18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8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8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8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1"/>
          </reference>
        </references>
      </pivotArea>
    </format>
    <format dxfId="18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0"/>
          <reference field="31" count="1" selected="0">
            <x v="2"/>
          </reference>
        </references>
      </pivotArea>
    </format>
    <format dxfId="182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0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81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2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80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3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79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4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78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5"/>
          </reference>
          <reference field="7" count="1">
            <x v="1"/>
          </reference>
          <reference field="31" count="1" selected="0">
            <x v="3"/>
          </reference>
        </references>
      </pivotArea>
    </format>
    <format dxfId="17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4"/>
          </reference>
        </references>
      </pivotArea>
    </format>
    <format dxfId="17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1"/>
          </reference>
          <reference field="7" count="0"/>
          <reference field="31" count="1" selected="0">
            <x v="5"/>
          </reference>
        </references>
      </pivotArea>
    </format>
    <format dxfId="175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17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17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5"/>
          </reference>
        </references>
      </pivotArea>
    </format>
    <format dxfId="17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>
            <x v="1"/>
          </reference>
          <reference field="31" count="1" selected="0">
            <x v="6"/>
          </reference>
        </references>
      </pivotArea>
    </format>
    <format dxfId="17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0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7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5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6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7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6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6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6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0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6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2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6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3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6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4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5"/>
          </reference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0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5"/>
          </reference>
        </references>
      </pivotArea>
    </format>
    <format dxfId="15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5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2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5"/>
          </reference>
        </references>
      </pivotArea>
    </format>
    <format dxfId="15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15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0"/>
          <reference field="31" count="1" selected="0">
            <x v="5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1" selected="0">
            <x v="1"/>
          </reference>
          <reference field="7" count="1" selected="0">
            <x v="1"/>
          </reference>
          <reference field="8" count="1">
            <x v="0"/>
          </reference>
          <reference field="31" count="1" selected="0">
            <x v="6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1DF1E35-3B53-4D51-89A4-4F57F928B205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B802CF5-6A13-446E-9DA6-E7745C5F0A3D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66D080B-F075-4652-9052-232FF8D43C51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EBCBBD-B03B-4946-8660-CF3EC5466B0C}" name="Efeito" displayName="Efeito" ref="A1:AG483" totalsRowShown="0" headerRowDxfId="674" dataDxfId="673">
  <autoFilter ref="A1:AG483" xr:uid="{26EBCBBD-B03B-4946-8660-CF3EC5466B0C}"/>
  <tableColumns count="33">
    <tableColumn id="1" xr3:uid="{3D049673-96E7-4C2C-928A-E2A9B656494B}" name="TipoMercado" dataDxfId="672"/>
    <tableColumn id="2" xr3:uid="{85B0FE15-7ECA-4605-AB4C-69DC06D89F25}" name="Subgrupo" dataDxfId="671"/>
    <tableColumn id="3" xr3:uid="{3E957BF7-A113-41C8-98C0-C93FEFDB84EB}" name="Modalidade" dataDxfId="670"/>
    <tableColumn id="4" xr3:uid="{5F5543AD-4E3B-4195-AC7B-7F501B99462A}" name="Classe" dataDxfId="669"/>
    <tableColumn id="5" xr3:uid="{8D705A82-A050-42DD-9016-99362D628DCA}" name="Subclasse" dataDxfId="668"/>
    <tableColumn id="6" xr3:uid="{3531E049-60EF-4870-B66F-5814EFD70986}" name="Detalhe" dataDxfId="667"/>
    <tableColumn id="7" xr3:uid="{CBBF8B53-B819-4DBD-8A7E-CEA779944C56}" name="Agente" dataDxfId="666"/>
    <tableColumn id="8" xr3:uid="{A6010312-FB44-4936-BB22-EE7037487BD1}" name="Posto" dataDxfId="665"/>
    <tableColumn id="9" xr3:uid="{32C30C53-F6A5-4C95-849E-95989853ECFD}" name="AnoMes" dataDxfId="664"/>
    <tableColumn id="10" xr3:uid="{250F8A92-CC87-42EB-8B45-8C799845F2F5}" name="D" dataDxfId="663"/>
    <tableColumn id="11" xr3:uid="{9A4C2EAC-39DF-4419-81C7-AEC99A825CF4}" name="Daj" dataDxfId="662"/>
    <tableColumn id="12" xr3:uid="{7D74C777-1B85-4755-8277-2C31C5E0A179}" name="TUSD_E" dataDxfId="661"/>
    <tableColumn id="13" xr3:uid="{32DB9133-4BA5-4ECD-8F16-3EA1FF8D521E}" name="TUSD_Eaj" dataDxfId="660"/>
    <tableColumn id="14" xr3:uid="{F1B6BE2B-F31D-47D4-A75D-BEA7F473C34D}" name="TE_E" dataDxfId="659"/>
    <tableColumn id="15" xr3:uid="{AF914EC8-B5F5-4744-94EC-D098B8E500DB}" name="TE_Eaj" dataDxfId="658"/>
    <tableColumn id="16" xr3:uid="{E99525BA-E299-4A8B-875F-634BE9C95803}" name="UC" dataDxfId="657"/>
    <tableColumn id="17" xr3:uid="{7BD1D286-2EFC-44E8-A4C3-B8950F0787F4}" name="OPÇÃO" dataDxfId="656"/>
    <tableColumn id="18" xr3:uid="{04AA6DA4-789D-4C0B-91AC-C4FF4AAA06A2}" name="CóD. AUX." dataDxfId="655"/>
    <tableColumn id="19" xr3:uid="{31C57B06-1730-41C0-82A5-2BABC02125F3}" name="CóD. AUX. TUSD R$/kW" dataDxfId="654"/>
    <tableColumn id="20" xr3:uid="{CE20659E-9C92-4E83-BE55-FAF097C6D78E}" name="CóD. AUX. TUSD R$/MWh" dataDxfId="653"/>
    <tableColumn id="21" xr3:uid="{F75AC993-E574-4D40-BCA1-750BF3F4AF0A}" name="CóD. AUX. TE R$/MWh" dataDxfId="652"/>
    <tableColumn id="22" xr3:uid="{1F28E0FA-8EDF-41EE-953A-30BD425F6F03}" name="TUSD (R$/kW)" dataDxfId="651"/>
    <tableColumn id="23" xr3:uid="{556A705E-5405-4276-BDA5-8C3E9DF9108A}" name="TUSD (R$/MWh)" dataDxfId="650"/>
    <tableColumn id="24" xr3:uid="{9E9D510F-1535-457E-99E5-92931CB74F40}" name="TE (R$/MWh)" dataDxfId="649"/>
    <tableColumn id="25" xr3:uid="{FE10F96E-4042-4266-8A77-3DDDBDC4DC98}" name="TUSD (R$/kW) NOVA" dataDxfId="648"/>
    <tableColumn id="26" xr3:uid="{930BCA05-BE78-4895-A0EF-247684E39D2C}" name="TUSD (R$/MWh) NOVA" dataDxfId="647">
      <calculatedColumnFormula>('TUSD BE'!$AM$51+'TUSD BF'!$AM$51+'TUSD CVA'!$AM$51)*1</calculatedColumnFormula>
    </tableColumn>
    <tableColumn id="27" xr3:uid="{0786B6A8-A1A3-40B2-A321-90CD2D5B9BE5}" name="TE (R$/MWh) NOVA" dataDxfId="646">
      <calculatedColumnFormula>('TE BE'!$AB$42+'TE BF'!$AB$42+'TE CVA'!$AB$42)*1</calculatedColumnFormula>
    </tableColumn>
    <tableColumn id="28" xr3:uid="{AD08606E-5A77-43DE-972B-633C0F815430}" name="RA0 ou RV - TUSD (kW)" dataDxfId="645"/>
    <tableColumn id="29" xr3:uid="{1DE4F7C1-9624-4726-BBA3-CE391D3FCB75}" name="RA0 ou RV - TUSD (MWh)" dataDxfId="644"/>
    <tableColumn id="30" xr3:uid="{0F45B38D-4DBD-4BAD-9334-24B3F4CF7A8D}" name="RA0 ou RV - TE (MWh)" dataDxfId="643"/>
    <tableColumn id="31" xr3:uid="{B2DA70D9-3CBF-4C04-875B-9F627F1B03EC}" name="RA1 ou RRD - TUSD (kW)" dataDxfId="642"/>
    <tableColumn id="32" xr3:uid="{6D9C6F13-1E1E-4C37-88DB-C68A5DF2212A}" name="RA1 ou RRD - TUSD (MWh)" dataDxfId="641"/>
    <tableColumn id="33" xr3:uid="{5422145E-D126-4A23-8D1B-60CF358BBE0C}" name="RA1 ou RRD - TE (MWh)" dataDxfId="6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FB64B8-981F-4DA2-B6C8-B57DB7107A33}" name="Subsidio" displayName="Subsidio" ref="A1:AF275" totalsRowShown="0" headerRowDxfId="639" dataDxfId="638">
  <autoFilter ref="A1:AF275" xr:uid="{32FB64B8-981F-4DA2-B6C8-B57DB7107A33}"/>
  <tableColumns count="32">
    <tableColumn id="1" xr3:uid="{8C52D151-7062-4246-BB9B-7B16864BD108}" name="TipoMercado" dataDxfId="637"/>
    <tableColumn id="2" xr3:uid="{24C1D9B7-C675-4472-97B5-6D032E014A85}" name="Subgrupo" dataDxfId="636"/>
    <tableColumn id="3" xr3:uid="{D507449F-280B-431D-809C-AB2FAD219EF6}" name="Modalidade" dataDxfId="635"/>
    <tableColumn id="4" xr3:uid="{DBA47C15-293C-4C3D-8E5C-6A99C45259BC}" name="Classe" dataDxfId="634"/>
    <tableColumn id="5" xr3:uid="{74E0EA34-9129-4AE3-BCC5-29B65AFCBF88}" name="Subclasse" dataDxfId="633"/>
    <tableColumn id="6" xr3:uid="{81A42160-09E8-4EF7-A1BF-97270D5B268C}" name="Detalhe" dataDxfId="632"/>
    <tableColumn id="7" xr3:uid="{E11AC528-7BB7-4B0D-ACA7-67619FB06B1A}" name="Agente" dataDxfId="631"/>
    <tableColumn id="8" xr3:uid="{31B6466F-C289-4DA7-B973-0D522C62BEF1}" name="Posto" dataDxfId="630"/>
    <tableColumn id="9" xr3:uid="{ABE994ED-79C3-4D4E-BB2E-AC2D5891CE99}" name="AnoMes" dataDxfId="629"/>
    <tableColumn id="10" xr3:uid="{653BB30E-31C2-4976-8778-F34260B0A940}" name="D" dataDxfId="628"/>
    <tableColumn id="11" xr3:uid="{0F8E258F-BC68-4E7B-B3C2-279329D6F5C0}" name="Daj" dataDxfId="627"/>
    <tableColumn id="12" xr3:uid="{FD90CC99-73F6-448F-9078-D16ACDD6356B}" name="TUSD_E" dataDxfId="626"/>
    <tableColumn id="13" xr3:uid="{501B711C-37FF-4575-9840-B583F132DE10}" name="TUSD_Eaj" dataDxfId="625"/>
    <tableColumn id="14" xr3:uid="{A5B42944-7629-46A1-B4CF-C110A5BEB1D0}" name="TE_E" dataDxfId="624"/>
    <tableColumn id="15" xr3:uid="{C6F2F662-B112-4504-98B0-B4A45D85E9A8}" name="TE_Eaj" dataDxfId="623"/>
    <tableColumn id="16" xr3:uid="{4D5ECA50-B5FD-4ABD-9049-B46BCD0DB71B}" name="UC" dataDxfId="622"/>
    <tableColumn id="17" xr3:uid="{8CFA78D2-B844-4854-AEDC-21733847DC0B}" name="OPÇÃO" dataDxfId="621"/>
    <tableColumn id="18" xr3:uid="{D3CE211C-DFA6-4F36-9817-0642A9223D6A}" name="CóD. AUX." dataDxfId="620"/>
    <tableColumn id="19" xr3:uid="{00C54300-23D9-497E-9AE8-F0529098BA8D}" name="CóD. AUX. TUSD R$/kW" dataDxfId="619"/>
    <tableColumn id="20" xr3:uid="{203E9C52-83F5-4675-85A4-9AC5E953EEF3}" name="CóD. AUX. TUSD R$/MWh" dataDxfId="618"/>
    <tableColumn id="21" xr3:uid="{36CB3268-3DAB-40A8-A931-3133264E6B90}" name="CóD. AUX. TE R$/MWh" dataDxfId="617"/>
    <tableColumn id="22" xr3:uid="{F303D8DB-FD02-43F7-AB28-0AB78783B7F4}" name="TUSD (R$/kW)" dataDxfId="616"/>
    <tableColumn id="23" xr3:uid="{466F408C-6C78-413D-A104-0DFD5348B047}" name="TUSD (R$/MWh)" dataDxfId="615"/>
    <tableColumn id="24" xr3:uid="{9C321E8D-15BD-4BDA-AD31-B4B7531FAAD8}" name="TE (R$/MWh)" dataDxfId="614"/>
    <tableColumn id="25" xr3:uid="{4BC678B4-A314-4D35-B7B2-AEF0271FAEE7}" name="TUSD (R$/kW) NOVA" dataDxfId="613"/>
    <tableColumn id="26" xr3:uid="{BDA006C4-94B5-445B-A3CE-7CD106AB005A}" name="TUSD (R$/MWh) NOVA" dataDxfId="612">
      <calculatedColumnFormula>('TUSD BE'!$AM$48+'TUSD BF'!$AM$48+'TUSD CVA'!$AM$48)*1</calculatedColumnFormula>
    </tableColumn>
    <tableColumn id="27" xr3:uid="{03DEE5F0-8E2A-4D37-A699-259FBE91EC4B}" name="TE (R$/MWh) NOVA" dataDxfId="611">
      <calculatedColumnFormula>('TE BE'!$AB$39+'TE BF'!$AB$39+'TE CVA'!$AB$39)*1</calculatedColumnFormula>
    </tableColumn>
    <tableColumn id="28" xr3:uid="{8BBF5933-8BF8-4178-AAF7-1E4BB0A6922E}" name="SUBSIDIO kW - TV" dataDxfId="610">
      <calculatedColumnFormula>(J2-K2)*V2</calculatedColumnFormula>
    </tableColumn>
    <tableColumn id="29" xr3:uid="{1613E185-AD6B-4060-A5DE-38052549935A}" name="SUBSIDIO MWh - TV" dataDxfId="609">
      <calculatedColumnFormula>(L2-M2)*W2+(N2-O2)*X2</calculatedColumnFormula>
    </tableColumn>
    <tableColumn id="30" xr3:uid="{A6367E2D-4791-4F7E-9D58-DCBFC8DA50D1}" name="SUBSIDIO kW - TN" dataDxfId="608">
      <calculatedColumnFormula>(J2-K2)*Y2</calculatedColumnFormula>
    </tableColumn>
    <tableColumn id="31" xr3:uid="{D05D0ABB-FA2C-4C3A-A295-02BC5357CAB8}" name="SUBSIDIO MWh - TN" dataDxfId="607">
      <calculatedColumnFormula>(L2-M2)*Z2+(N2-O2)*AA2</calculatedColumnFormula>
    </tableColumn>
    <tableColumn id="32" xr3:uid="{EE199F17-4F10-4F9E-923D-37D45C5DD493}" name="TIPO" dataDxfId="6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003FC-9566-49E0-9677-61C82AB9DFA5}" name="TabelaFin" displayName="TabelaFin" ref="B3:AT50" tableType="queryTable" totalsRowShown="0" headerRowDxfId="101" dataDxfId="100" headerRowBorderDxfId="148" tableBorderDxfId="149" totalsRowBorderDxfId="147">
  <autoFilter ref="B3:AT50" xr:uid="{33A003FC-9566-49E0-9677-61C82AB9DFA5}"/>
  <sortState xmlns:xlrd2="http://schemas.microsoft.com/office/spreadsheetml/2017/richdata2" ref="B4:AT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5">
    <tableColumn id="46" xr3:uid="{57C1771D-0406-4253-AD91-9CA90EB19BB3}" uniqueName="46" name="SUBGRUPO" queryTableFieldId="1" dataDxfId="146"/>
    <tableColumn id="47" xr3:uid="{F177D72C-45DE-4402-A119-3CB24B1BC1B0}" uniqueName="47" name="MODALIDADE" queryTableFieldId="2" dataDxfId="145"/>
    <tableColumn id="48" xr3:uid="{D0F5D6FD-3A25-4BE5-AFD9-B2036F3FA1A3}" uniqueName="48" name="CLASSE" queryTableFieldId="3" dataDxfId="144"/>
    <tableColumn id="49" xr3:uid="{232763A3-C338-4734-85AE-4E65BDF5A23B}" uniqueName="49" name="SUBCLASSE" queryTableFieldId="4" dataDxfId="143"/>
    <tableColumn id="50" xr3:uid="{DACC74E7-BD57-4123-AFD6-24DC6EB6BC5C}" uniqueName="50" name="DETALHE" queryTableFieldId="5" dataDxfId="142"/>
    <tableColumn id="51" xr3:uid="{05E52B6F-32EA-41BE-B3B7-2EB1ABB3B72A}" uniqueName="51" name="POSTO" queryTableFieldId="6" dataDxfId="141"/>
    <tableColumn id="52" xr3:uid="{41A06F68-19AF-4902-984C-B8EA1800C3CE}" uniqueName="52" name="UNIDADE" queryTableFieldId="7" dataDxfId="140"/>
    <tableColumn id="53" xr3:uid="{1D50D8A2-54D7-453E-9E74-0BA122066D89}" uniqueName="53" name="ACESSANTE" queryTableFieldId="8" dataDxfId="139"/>
    <tableColumn id="54" xr3:uid="{0962A780-862E-4594-9B93-7BC2FB44A4A9}" uniqueName="54" name="Total TUSD" queryTableFieldId="9" dataDxfId="138"/>
    <tableColumn id="55" xr3:uid="{164D73FA-4521-421B-A370-3B269E189B81}" uniqueName="55" name="Total TE" queryTableFieldId="10" dataDxfId="137"/>
    <tableColumn id="56" xr3:uid="{979B928E-52C5-4906-AB23-4D8D13A5E5A3}" uniqueName="56" name="TUSD_CDE_COVID" queryTableFieldId="11" dataDxfId="136"/>
    <tableColumn id="57" xr3:uid="{A06892A8-4F71-48F4-AAE8-9A907DD96F23}" uniqueName="57" name="TUSD_TFSEE" queryTableFieldId="12" dataDxfId="135"/>
    <tableColumn id="58" xr3:uid="{43CB27D3-1CBD-420D-A38C-5D79FFB3361F}" uniqueName="58" name="TUSD_PeD" queryTableFieldId="13" dataDxfId="134"/>
    <tableColumn id="59" xr3:uid="{97EF708C-DE8C-4E66-B9C6-8CA513961926}" uniqueName="59" name="TUSD_ONS" queryTableFieldId="14" dataDxfId="133"/>
    <tableColumn id="60" xr3:uid="{86BEE996-E5F7-4205-9DD2-6CE412EC98B3}" uniqueName="60" name="TUSD_CCC" queryTableFieldId="15" dataDxfId="132"/>
    <tableColumn id="61" xr3:uid="{BC13AFB7-78FE-4749-BB14-29D9F569029B}" uniqueName="61" name="TUSD_CDE" queryTableFieldId="16" dataDxfId="131"/>
    <tableColumn id="62" xr3:uid="{BA47A793-EFCB-42DE-8CCD-44BC367B2172}" uniqueName="62" name="TUSD_PROINFA" queryTableFieldId="17" dataDxfId="130"/>
    <tableColumn id="63" xr3:uid="{DFED98E5-74E0-4C66-90D1-E6EC0689EE41}" uniqueName="63" name="Liminar1" queryTableFieldId="18" dataDxfId="129"/>
    <tableColumn id="64" xr3:uid="{7A1EBF7F-967C-4196-B6F5-707052BC37E1}" uniqueName="64" name="TUSD_RB" queryTableFieldId="19" dataDxfId="128"/>
    <tableColumn id="65" xr3:uid="{B5190C97-025A-4146-8E71-B805A924FC30}" uniqueName="65" name="TUSD_FR" queryTableFieldId="20" dataDxfId="127"/>
    <tableColumn id="66" xr3:uid="{E83E412C-3179-4618-858D-128195007ADD}" uniqueName="66" name="TUSD_CCT" queryTableFieldId="21" dataDxfId="126"/>
    <tableColumn id="67" xr3:uid="{8F1587F5-A714-4585-9339-D1838C7EF782}" uniqueName="67" name="TUSD_CCD" queryTableFieldId="22" dataDxfId="125"/>
    <tableColumn id="68" xr3:uid="{5F5B2111-D25C-432B-9A7B-E7AC48795163}" uniqueName="68" name="TUSD_CUSD" queryTableFieldId="23" dataDxfId="124"/>
    <tableColumn id="69" xr3:uid="{84518C20-5F5B-41DA-BEDE-1AEC41DB6446}" uniqueName="69" name="TUSDG_T" queryTableFieldId="24" dataDxfId="123"/>
    <tableColumn id="70" xr3:uid="{27044606-EC37-47D4-A6F6-23EE8E90AB32}" uniqueName="70" name="TUSDG_ONS" queryTableFieldId="25" dataDxfId="122"/>
    <tableColumn id="71" xr3:uid="{5F06838F-BE48-4D26-865E-078F4B3B2704}" uniqueName="71" name="TUSD_FioB" queryTableFieldId="26" dataDxfId="121"/>
    <tableColumn id="72" xr3:uid="{562919A3-EFF0-43E8-9FE1-5A6BE79633E0}" uniqueName="72" name="TUSD Subsidio" queryTableFieldId="27" dataDxfId="120"/>
    <tableColumn id="73" xr3:uid="{E2181105-B323-4089-B025-FCEF570CD043}" uniqueName="73" name="TUSD BENEFICIO_L14299" queryTableFieldId="28" dataDxfId="119"/>
    <tableColumn id="74" xr3:uid="{CE3716A2-A168-4965-B62E-E747743C3AEA}" uniqueName="74" name="TUSD Outros" queryTableFieldId="29" dataDxfId="118"/>
    <tableColumn id="75" xr3:uid="{1E081603-B9E3-496C-8699-A567A6757A2B}" uniqueName="75" name="TUSD_PT" queryTableFieldId="30" dataDxfId="117"/>
    <tableColumn id="76" xr3:uid="{D6CE88C7-495B-42A0-8287-4338C8F68FB8}" uniqueName="76" name="TUSD_Per_RB_D" queryTableFieldId="31" dataDxfId="116"/>
    <tableColumn id="77" xr3:uid="{6AFE5E98-3C5C-4AAA-AB3C-9BFF87705A1B}" uniqueName="77" name="TUSD_PNT" queryTableFieldId="32" dataDxfId="115"/>
    <tableColumn id="78" xr3:uid="{488502D6-3BAC-4232-9FAD-1C4A143A3125}" uniqueName="78" name="TUSD_RI" queryTableFieldId="33" dataDxfId="114"/>
    <tableColumn id="79" xr3:uid="{8A892719-BE84-4CDD-A27F-2B7F5DCF1402}" uniqueName="79" name="TE_CDE_COVID" queryTableFieldId="34" dataDxfId="113"/>
    <tableColumn id="80" xr3:uid="{D1F701E2-35AA-42E6-B111-192B6D30A9F2}" uniqueName="80" name="TE_CDE_ELET" queryTableFieldId="35" dataDxfId="112"/>
    <tableColumn id="81" xr3:uid="{E8485E52-EBDD-4413-8FEC-7C88C8D55CEE}" uniqueName="81" name="TE_PeD" queryTableFieldId="36" dataDxfId="111"/>
    <tableColumn id="82" xr3:uid="{7D887045-B57B-456A-81C5-906F306F76EA}" uniqueName="82" name="TE_ESSERR" queryTableFieldId="37" dataDxfId="110"/>
    <tableColumn id="83" xr3:uid="{06B96208-833F-47F0-AA5F-3D0D3F58DE46}" uniqueName="83" name="TE_CFURH" queryTableFieldId="38" dataDxfId="109"/>
    <tableColumn id="84" xr3:uid="{64BC74CC-5DEC-432C-9259-011D66515FBE}" uniqueName="84" name="TE_ENERGIA" queryTableFieldId="39" dataDxfId="108"/>
    <tableColumn id="85" xr3:uid="{6033C19C-3055-4883-85BF-423135322818}" uniqueName="85" name="TE_TRANSPORTE_ITAIPU" queryTableFieldId="40" dataDxfId="107"/>
    <tableColumn id="86" xr3:uid="{780AE2BD-2BCC-4CE4-9D61-B89DA8DAF406}" uniqueName="86" name="TE_TUST_ITAIPU" queryTableFieldId="41" dataDxfId="106"/>
    <tableColumn id="87" xr3:uid="{79234665-9E67-4B04-AFC8-6931FFF6D222}" uniqueName="87" name="TE_TUST_CI" queryTableFieldId="42" dataDxfId="105"/>
    <tableColumn id="88" xr3:uid="{43B6F89D-31CC-46B3-9442-8E809F88B670}" uniqueName="88" name="TE Subsidio" queryTableFieldId="43" dataDxfId="104"/>
    <tableColumn id="89" xr3:uid="{5F9F47AD-3066-4645-B498-0CA2008E4811}" uniqueName="89" name="TE BENEFICIO_L14299" queryTableFieldId="44" dataDxfId="103"/>
    <tableColumn id="90" xr3:uid="{2655F1E0-9710-4A31-8ADF-6F57F1FB558F}" uniqueName="90" name="TE_Per_RB" queryTableFieldId="45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AB498E-8FF6-4D28-BBC8-7DEBDA892EDA}" name="TabelaEc" displayName="TabelaEc" ref="B3:AT50" tableType="queryTable" totalsRowShown="0" headerRowDxfId="51" dataDxfId="50" headerRowBorderDxfId="98" tableBorderDxfId="99" totalsRowBorderDxfId="97">
  <autoFilter ref="B3:AT50" xr:uid="{55AB498E-8FF6-4D28-BBC8-7DEBDA892EDA}"/>
  <sortState xmlns:xlrd2="http://schemas.microsoft.com/office/spreadsheetml/2017/richdata2" ref="B4:AT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5">
    <tableColumn id="46" xr3:uid="{C7627DF9-E0DC-487E-9E5C-389CC0AED546}" uniqueName="46" name="SUBGRUPO" queryTableFieldId="1" dataDxfId="96"/>
    <tableColumn id="47" xr3:uid="{0E448613-7D07-44C8-A18C-AF3ED1D9ED15}" uniqueName="47" name="MODALIDADE" queryTableFieldId="2" dataDxfId="95"/>
    <tableColumn id="48" xr3:uid="{AFC17F27-39A5-4E09-B11F-8A9E04FA9A77}" uniqueName="48" name="CLASSE" queryTableFieldId="3" dataDxfId="94"/>
    <tableColumn id="49" xr3:uid="{2298E2FD-8D20-4E34-B875-E595EA235617}" uniqueName="49" name="SUBCLASSE" queryTableFieldId="4" dataDxfId="93"/>
    <tableColumn id="50" xr3:uid="{3316E97C-63EE-4F65-B2F7-4006D8271A76}" uniqueName="50" name="DETALHE" queryTableFieldId="5" dataDxfId="92"/>
    <tableColumn id="51" xr3:uid="{32A25AE1-037D-49C0-87D7-D3383A674B82}" uniqueName="51" name="POSTO" queryTableFieldId="6" dataDxfId="91"/>
    <tableColumn id="52" xr3:uid="{8CD2C28C-77BA-4885-B585-62128D510FF3}" uniqueName="52" name="UNIDADE" queryTableFieldId="7" dataDxfId="90"/>
    <tableColumn id="53" xr3:uid="{B1C064C6-116B-4C50-B5AB-20D2242AD980}" uniqueName="53" name="ACESSANTE" queryTableFieldId="8" dataDxfId="89"/>
    <tableColumn id="54" xr3:uid="{B9AA2172-B3CD-432C-AC19-667ABE98A7FF}" uniqueName="54" name="Total TUSD" queryTableFieldId="9" dataDxfId="88"/>
    <tableColumn id="55" xr3:uid="{2161CF15-9AEE-46B5-9448-FB00047E3CE8}" uniqueName="55" name="Total TE" queryTableFieldId="10" dataDxfId="87"/>
    <tableColumn id="56" xr3:uid="{8337E12C-E4C9-4A37-8F51-E382DB47EF9D}" uniqueName="56" name="TUSD_CDE_COVID" queryTableFieldId="11" dataDxfId="86"/>
    <tableColumn id="57" xr3:uid="{AD8B8173-28FB-4D83-AB0F-5BB64F41B248}" uniqueName="57" name="TUSD_TFSEE" queryTableFieldId="12" dataDxfId="85"/>
    <tableColumn id="58" xr3:uid="{9CC2AD39-96E6-4394-8570-CB92890F17A9}" uniqueName="58" name="TUSD_PeD" queryTableFieldId="13" dataDxfId="84"/>
    <tableColumn id="59" xr3:uid="{82EE5A82-DFB7-4A96-8502-32C1FE365EE6}" uniqueName="59" name="TUSD_ONS" queryTableFieldId="14" dataDxfId="83"/>
    <tableColumn id="60" xr3:uid="{A7A2D434-9250-464E-BA0D-4C6910E054F6}" uniqueName="60" name="TUSD_CCC" queryTableFieldId="15" dataDxfId="82"/>
    <tableColumn id="61" xr3:uid="{C2A72478-2083-48C9-9122-8E40C1496A09}" uniqueName="61" name="TUSD_CDE" queryTableFieldId="16" dataDxfId="81"/>
    <tableColumn id="62" xr3:uid="{9CC318B1-3565-4380-A812-2BDF083E0709}" uniqueName="62" name="TUSD_PROINFA" queryTableFieldId="17" dataDxfId="80"/>
    <tableColumn id="63" xr3:uid="{2535DF59-1164-49B7-A90A-675B82A1F745}" uniqueName="63" name="Liminar1" queryTableFieldId="18" dataDxfId="79"/>
    <tableColumn id="64" xr3:uid="{5C1E713D-BC9B-49C4-9365-076F0BE38377}" uniqueName="64" name="TUSD_RB" queryTableFieldId="19" dataDxfId="78"/>
    <tableColumn id="65" xr3:uid="{1DDF3C61-8EDB-4D29-9818-BEDBC4220CEE}" uniqueName="65" name="TUSD_FR" queryTableFieldId="20" dataDxfId="77"/>
    <tableColumn id="66" xr3:uid="{7D20C563-3EBF-4485-9919-879E64FE10E1}" uniqueName="66" name="TUSD_CCT" queryTableFieldId="21" dataDxfId="76"/>
    <tableColumn id="67" xr3:uid="{727269BB-7129-4A6E-A652-7FDF3D808A8C}" uniqueName="67" name="TUSD_CCD" queryTableFieldId="22" dataDxfId="75"/>
    <tableColumn id="68" xr3:uid="{6852EBB3-218E-4162-BA0B-FAB1C8A2E496}" uniqueName="68" name="TUSD_CUSD" queryTableFieldId="23" dataDxfId="74"/>
    <tableColumn id="69" xr3:uid="{EFE86967-3598-430A-9764-8795E7134174}" uniqueName="69" name="TUSDG_T" queryTableFieldId="24" dataDxfId="73"/>
    <tableColumn id="70" xr3:uid="{395F1DCA-3759-4D2C-848B-020D6111A08C}" uniqueName="70" name="TUSDG_ONS" queryTableFieldId="25" dataDxfId="72"/>
    <tableColumn id="71" xr3:uid="{8603F68D-99C2-43A6-A854-0B43A845880A}" uniqueName="71" name="TUSD_FioB" queryTableFieldId="26" dataDxfId="71"/>
    <tableColumn id="72" xr3:uid="{649400D3-D37D-4483-B826-65150C58D9EE}" uniqueName="72" name="TUSD Subsidio" queryTableFieldId="27" dataDxfId="70"/>
    <tableColumn id="73" xr3:uid="{BC8FB97A-F08F-4F36-A424-3B6C2A0774F3}" uniqueName="73" name="TUSD BENEFICIO_L14299" queryTableFieldId="28" dataDxfId="69"/>
    <tableColumn id="74" xr3:uid="{E3BFC9C5-707D-4CB3-A15B-204366FD728B}" uniqueName="74" name="TUSD Outros" queryTableFieldId="29" dataDxfId="68"/>
    <tableColumn id="75" xr3:uid="{BCA38C0C-C835-4E31-AFB7-A8FFB1509DB1}" uniqueName="75" name="TUSD_PT" queryTableFieldId="30" dataDxfId="67"/>
    <tableColumn id="76" xr3:uid="{B3CE076C-73C9-45E9-AE74-B68CA9EC396B}" uniqueName="76" name="TUSD_Per_RB_D" queryTableFieldId="31" dataDxfId="66"/>
    <tableColumn id="77" xr3:uid="{3B47D23E-D6D3-4AF0-B62F-456E512D9D89}" uniqueName="77" name="TUSD_PNT" queryTableFieldId="32" dataDxfId="65"/>
    <tableColumn id="78" xr3:uid="{359206C7-0D81-4705-ABF8-D900CE850B1E}" uniqueName="78" name="TUSD_RI" queryTableFieldId="33" dataDxfId="64"/>
    <tableColumn id="79" xr3:uid="{13523D01-A446-4EF3-87B6-9FE6B4D86DCF}" uniqueName="79" name="TE_CDE_COVID" queryTableFieldId="34" dataDxfId="63"/>
    <tableColumn id="80" xr3:uid="{595EB239-9766-4C4A-967C-E422F27C6597}" uniqueName="80" name="TE_CDE_ELET" queryTableFieldId="35" dataDxfId="62"/>
    <tableColumn id="81" xr3:uid="{58A34DCF-3C93-4408-9144-07CC34423EBD}" uniqueName="81" name="TE_PeD" queryTableFieldId="36" dataDxfId="61"/>
    <tableColumn id="82" xr3:uid="{2C5D3406-5E65-4569-881C-2A4818C8BCC9}" uniqueName="82" name="TE_ESSERR" queryTableFieldId="37" dataDxfId="60"/>
    <tableColumn id="83" xr3:uid="{C557F9A5-0823-4BDF-B39D-3FE119DBD3B5}" uniqueName="83" name="TE_CFURH" queryTableFieldId="38" dataDxfId="59"/>
    <tableColumn id="84" xr3:uid="{CE17071D-AC27-48FB-8B0D-E4CC0EBEB57C}" uniqueName="84" name="TE_ENERGIA" queryTableFieldId="39" dataDxfId="58"/>
    <tableColumn id="85" xr3:uid="{D0B502FC-CBCA-4ACB-A63D-C1D686C660B3}" uniqueName="85" name="TE_TRANSPORTE_ITAIPU" queryTableFieldId="40" dataDxfId="57"/>
    <tableColumn id="86" xr3:uid="{10C74BBA-911B-47F3-88A8-27995DADB6B1}" uniqueName="86" name="TE_TUST_ITAIPU" queryTableFieldId="41" dataDxfId="56"/>
    <tableColumn id="87" xr3:uid="{606DD884-6ECF-4CCE-8E60-DF5867CBE14E}" uniqueName="87" name="TE_TUST_CI" queryTableFieldId="42" dataDxfId="55"/>
    <tableColumn id="88" xr3:uid="{56016F8A-7C79-4605-93D4-807B5E34CF99}" uniqueName="88" name="TE Subsidio" queryTableFieldId="43" dataDxfId="54"/>
    <tableColumn id="89" xr3:uid="{5F987AE2-BF1D-4988-A3F8-A77606865FB2}" uniqueName="89" name="TE BENEFICIO_L14299" queryTableFieldId="44" dataDxfId="53"/>
    <tableColumn id="90" xr3:uid="{8F69C2A4-9F34-40EA-B13E-659FADA63DCB}" uniqueName="90" name="TE_Per_RB" queryTableFieldId="45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565019-4486-4489-816B-CF1D4E6A1669}" name="TabelaCVA" displayName="TabelaCVA" ref="B3:AT50" tableType="queryTable" totalsRowShown="0" headerRowDxfId="1" dataDxfId="0" headerRowBorderDxfId="48" tableBorderDxfId="49" totalsRowBorderDxfId="47">
  <autoFilter ref="B3:AT50" xr:uid="{E8565019-4486-4489-816B-CF1D4E6A1669}"/>
  <sortState xmlns:xlrd2="http://schemas.microsoft.com/office/spreadsheetml/2017/richdata2" ref="B4:AT50">
    <sortCondition ref="B4:B50"/>
    <sortCondition ref="C4:C50"/>
    <sortCondition ref="D4:D50"/>
    <sortCondition ref="E4:E50"/>
    <sortCondition ref="F4:F50"/>
    <sortCondition descending="1" ref="G4:G50"/>
    <sortCondition descending="1" ref="H4:H50"/>
    <sortCondition ref="I4:I50"/>
  </sortState>
  <tableColumns count="45">
    <tableColumn id="46" xr3:uid="{ACE584B0-AA5F-4809-B125-0F0C669CA5A7}" uniqueName="46" name="SUBGRUPO" queryTableFieldId="1" dataDxfId="46"/>
    <tableColumn id="47" xr3:uid="{F509A641-67CD-45C8-B9F9-909909B600E5}" uniqueName="47" name="MODALIDADE" queryTableFieldId="2" dataDxfId="45"/>
    <tableColumn id="48" xr3:uid="{2047C2B5-8E82-4169-A7A9-5DAE38BE5C2D}" uniqueName="48" name="CLASSE" queryTableFieldId="3" dataDxfId="44"/>
    <tableColumn id="49" xr3:uid="{7A0F9929-7326-4E8C-89F3-812ED7004039}" uniqueName="49" name="SUBCLASSE" queryTableFieldId="4" dataDxfId="43"/>
    <tableColumn id="50" xr3:uid="{DCD36665-18B3-436B-9C59-94A1EA577BD5}" uniqueName="50" name="DETALHE" queryTableFieldId="5" dataDxfId="42"/>
    <tableColumn id="51" xr3:uid="{BABC538A-030F-4F68-AA5C-B79ED2FF92F2}" uniqueName="51" name="POSTO" queryTableFieldId="6" dataDxfId="41"/>
    <tableColumn id="52" xr3:uid="{4DC3A6A9-EC94-48A1-BD13-BBC3F3F389ED}" uniqueName="52" name="UNIDADE" queryTableFieldId="7" dataDxfId="40"/>
    <tableColumn id="53" xr3:uid="{CFDAA090-5535-4008-BD02-F624DA793C44}" uniqueName="53" name="ACESSANTE" queryTableFieldId="8" dataDxfId="39"/>
    <tableColumn id="54" xr3:uid="{3AE8F5ED-FFD0-454E-8E00-77AE57AEDDCC}" uniqueName="54" name="Total TUSD" queryTableFieldId="9" dataDxfId="38"/>
    <tableColumn id="55" xr3:uid="{84614E41-5566-4962-81BC-56F502FC9958}" uniqueName="55" name="Total TE" queryTableFieldId="10" dataDxfId="37"/>
    <tableColumn id="56" xr3:uid="{F45E2D79-D440-4457-A412-5C811254A779}" uniqueName="56" name="TUSD_CDE_COVID" queryTableFieldId="11" dataDxfId="36"/>
    <tableColumn id="57" xr3:uid="{A8CE6085-9CF8-45DA-9C4F-68C7184CABC5}" uniqueName="57" name="TUSD_TFSEE" queryTableFieldId="12" dataDxfId="35"/>
    <tableColumn id="58" xr3:uid="{FA881E4E-B1C8-4C78-B1C5-190BF7482FA8}" uniqueName="58" name="TUSD_PeD" queryTableFieldId="13" dataDxfId="34"/>
    <tableColumn id="59" xr3:uid="{B0D6DF1D-D21E-43A7-8566-61CC8D3F520D}" uniqueName="59" name="TUSD_ONS" queryTableFieldId="14" dataDxfId="33"/>
    <tableColumn id="60" xr3:uid="{5BA3E13C-5D3F-43E2-9B2D-AADC26C7CA4C}" uniqueName="60" name="TUSD_CCC" queryTableFieldId="15" dataDxfId="32"/>
    <tableColumn id="61" xr3:uid="{C52AD67D-5A61-49B2-8B9E-0B04E60A300C}" uniqueName="61" name="TUSD_CDE" queryTableFieldId="16" dataDxfId="31"/>
    <tableColumn id="62" xr3:uid="{30314940-C2D3-4211-80FA-CB225E192036}" uniqueName="62" name="TUSD_PROINFA" queryTableFieldId="17" dataDxfId="30"/>
    <tableColumn id="63" xr3:uid="{2EB91A54-5D17-49F1-AF38-A39FC84F693D}" uniqueName="63" name="Liminar1" queryTableFieldId="18" dataDxfId="29"/>
    <tableColumn id="64" xr3:uid="{97EEBF9A-EC2E-431D-A7DF-64E9F6096E64}" uniqueName="64" name="TUSD_RB" queryTableFieldId="19" dataDxfId="28"/>
    <tableColumn id="65" xr3:uid="{E0C15411-AFF5-4F53-B577-97453EE5143C}" uniqueName="65" name="TUSD_FR" queryTableFieldId="20" dataDxfId="27"/>
    <tableColumn id="66" xr3:uid="{32D8363A-2474-4120-A829-6DDF153B6E4A}" uniqueName="66" name="TUSD_CCT" queryTableFieldId="21" dataDxfId="26"/>
    <tableColumn id="67" xr3:uid="{C630B05B-429E-4FBF-9F9F-99306D63CB57}" uniqueName="67" name="TUSD_CCD" queryTableFieldId="22" dataDxfId="25"/>
    <tableColumn id="68" xr3:uid="{82B71E3A-C753-4713-9B83-717CA2C81A48}" uniqueName="68" name="TUSD_CUSD" queryTableFieldId="23" dataDxfId="24"/>
    <tableColumn id="69" xr3:uid="{A7682786-D5A3-43E8-A5D9-57D141D7F35C}" uniqueName="69" name="TUSDG_T" queryTableFieldId="24" dataDxfId="23"/>
    <tableColumn id="70" xr3:uid="{EDC38371-424E-4E5D-808F-CCD1C3A32C9A}" uniqueName="70" name="TUSDG_ONS" queryTableFieldId="25" dataDxfId="22"/>
    <tableColumn id="71" xr3:uid="{01614849-18AA-45AA-9708-4DAB836B66A3}" uniqueName="71" name="TUSD_FioB" queryTableFieldId="26" dataDxfId="21"/>
    <tableColumn id="72" xr3:uid="{811D5AFF-0334-4996-9F61-A327C805B20C}" uniqueName="72" name="TUSD Subsidio" queryTableFieldId="27" dataDxfId="20"/>
    <tableColumn id="73" xr3:uid="{DDACC96D-0B52-4794-AE33-A35B9D871C8E}" uniqueName="73" name="TUSD BENEFICIO_L14299" queryTableFieldId="28" dataDxfId="19"/>
    <tableColumn id="74" xr3:uid="{383A4795-AE23-4393-9F96-92FF7F09A91C}" uniqueName="74" name="TUSD Outros" queryTableFieldId="29" dataDxfId="18"/>
    <tableColumn id="75" xr3:uid="{97959432-7845-475F-AEE6-3D3224AE0ACD}" uniqueName="75" name="TUSD_PT" queryTableFieldId="30" dataDxfId="17"/>
    <tableColumn id="76" xr3:uid="{3488C4A3-3BE6-48AE-89DB-22F632292451}" uniqueName="76" name="TUSD_Per_RB_D" queryTableFieldId="31" dataDxfId="16"/>
    <tableColumn id="77" xr3:uid="{4664FAD1-4090-4A44-A072-62CFD43AA369}" uniqueName="77" name="TUSD_PNT" queryTableFieldId="32" dataDxfId="15"/>
    <tableColumn id="78" xr3:uid="{DF89C7B8-7A2F-4333-85CC-F1872F5F668D}" uniqueName="78" name="TUSD_RI" queryTableFieldId="33" dataDxfId="14"/>
    <tableColumn id="79" xr3:uid="{8FCF2CA1-E82A-4E1C-95D9-A5C1ED14315B}" uniqueName="79" name="TE_CDE_COVID" queryTableFieldId="34" dataDxfId="13"/>
    <tableColumn id="80" xr3:uid="{0B699138-16CD-4D9A-BAFA-1D5BAB6112C3}" uniqueName="80" name="TE_CDE_ELET" queryTableFieldId="35" dataDxfId="12"/>
    <tableColumn id="81" xr3:uid="{AA43B877-D139-4D28-B9C5-E299337E42A2}" uniqueName="81" name="TE_PeD" queryTableFieldId="36" dataDxfId="11"/>
    <tableColumn id="82" xr3:uid="{6BADEEF1-BC97-4900-A5D8-34BBB1DA6A0E}" uniqueName="82" name="TE_ESSERR" queryTableFieldId="37" dataDxfId="10"/>
    <tableColumn id="83" xr3:uid="{51BAEA34-CF0F-40A7-8256-EBF3324D0134}" uniqueName="83" name="TE_CFURH" queryTableFieldId="38" dataDxfId="9"/>
    <tableColumn id="84" xr3:uid="{515ACEB2-E53A-4722-80B5-2132EE90640D}" uniqueName="84" name="TE_ENERGIA" queryTableFieldId="39" dataDxfId="8"/>
    <tableColumn id="85" xr3:uid="{383219DC-8879-451A-9C48-FE52BA341D3E}" uniqueName="85" name="TE_TRANSPORTE_ITAIPU" queryTableFieldId="40" dataDxfId="7"/>
    <tableColumn id="86" xr3:uid="{55F96332-E8DA-459A-B2A0-6836F76B811C}" uniqueName="86" name="TE_TUST_ITAIPU" queryTableFieldId="41" dataDxfId="6"/>
    <tableColumn id="87" xr3:uid="{C78F5766-455D-4D11-857A-B7F3BC9FECCF}" uniqueName="87" name="TE_TUST_CI" queryTableFieldId="42" dataDxfId="5"/>
    <tableColumn id="88" xr3:uid="{ABF27B7C-86A1-465C-B439-59D99109C23F}" uniqueName="88" name="TE Subsidio" queryTableFieldId="43" dataDxfId="4"/>
    <tableColumn id="89" xr3:uid="{511F64F0-AF1E-4CCE-B818-4DF75215C60E}" uniqueName="89" name="TE BENEFICIO_L14299" queryTableFieldId="44" dataDxfId="3"/>
    <tableColumn id="90" xr3:uid="{BD266CF8-B5D2-4BA2-9A55-A20CFE19171F}" uniqueName="90" name="TE_Per_RB" queryTableFieldId="4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C219-815B-4C1E-94E1-E693D347FC44}">
  <dimension ref="A1:W483"/>
  <sheetViews>
    <sheetView showGridLines="0" topLeftCell="I451" workbookViewId="0">
      <selection activeCell="T484" sqref="T484"/>
    </sheetView>
  </sheetViews>
  <sheetFormatPr defaultRowHeight="11.25" customHeight="1" x14ac:dyDescent="0.3"/>
  <cols>
    <col min="1" max="1" width="18" style="3" bestFit="1" customWidth="1"/>
    <col min="2" max="2" width="7.6640625" style="3" bestFit="1" customWidth="1"/>
    <col min="3" max="3" width="9.21875" style="3" bestFit="1" customWidth="1"/>
    <col min="4" max="4" width="12.6640625" style="3" bestFit="1" customWidth="1"/>
    <col min="5" max="5" width="23.109375" style="3" bestFit="1" customWidth="1"/>
    <col min="6" max="6" width="12.88671875" style="3" bestFit="1" customWidth="1"/>
    <col min="7" max="7" width="15.6640625" style="3" bestFit="1" customWidth="1"/>
    <col min="8" max="8" width="9.5546875" style="3" bestFit="1" customWidth="1"/>
    <col min="9" max="9" width="7.88671875" style="6" bestFit="1" customWidth="1"/>
    <col min="10" max="12" width="6.33203125" style="4" bestFit="1" customWidth="1"/>
    <col min="13" max="13" width="7.6640625" style="4" bestFit="1" customWidth="1"/>
    <col min="14" max="16" width="6.33203125" style="4" bestFit="1" customWidth="1"/>
    <col min="17" max="18" width="8" style="3" bestFit="1" customWidth="1"/>
    <col min="19" max="19" width="72.33203125" style="3" bestFit="1" customWidth="1"/>
    <col min="20" max="20" width="77.5546875" style="3" bestFit="1" customWidth="1"/>
    <col min="21" max="21" width="17.44140625" style="3" bestFit="1" customWidth="1"/>
    <col min="22" max="22" width="18.77734375" style="3" bestFit="1" customWidth="1"/>
    <col min="23" max="23" width="16.5546875" style="3" bestFit="1" customWidth="1"/>
    <col min="24" max="16384" width="8.88671875" style="3"/>
  </cols>
  <sheetData>
    <row r="1" spans="1:23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98</v>
      </c>
      <c r="T1" s="1" t="s">
        <v>267</v>
      </c>
      <c r="U1" s="1" t="s">
        <v>18</v>
      </c>
      <c r="V1" s="1" t="s">
        <v>19</v>
      </c>
      <c r="W1" s="1" t="s">
        <v>20</v>
      </c>
    </row>
    <row r="2" spans="1:23" ht="11.25" customHeight="1" x14ac:dyDescent="0.3">
      <c r="A2" s="3" t="s">
        <v>21</v>
      </c>
      <c r="B2" s="3" t="s">
        <v>34</v>
      </c>
      <c r="C2" s="3" t="s">
        <v>35</v>
      </c>
      <c r="D2" s="3" t="s">
        <v>33</v>
      </c>
      <c r="E2" s="3" t="s">
        <v>25</v>
      </c>
      <c r="F2" s="3" t="s">
        <v>25</v>
      </c>
      <c r="G2" s="3" t="s">
        <v>25</v>
      </c>
      <c r="H2" s="3" t="s">
        <v>37</v>
      </c>
      <c r="I2" s="6">
        <v>44440</v>
      </c>
      <c r="J2" s="4">
        <v>38</v>
      </c>
      <c r="K2" s="4">
        <v>38</v>
      </c>
      <c r="L2" s="4">
        <v>12.73</v>
      </c>
      <c r="M2" s="4">
        <v>12.73</v>
      </c>
      <c r="N2" s="4">
        <v>12.73</v>
      </c>
      <c r="O2" s="4">
        <v>12.73</v>
      </c>
      <c r="P2" s="4">
        <v>0</v>
      </c>
      <c r="Q2" s="3" t="s">
        <v>26</v>
      </c>
      <c r="R2" s="3">
        <v>0</v>
      </c>
      <c r="S2" s="3" t="s">
        <v>99</v>
      </c>
      <c r="T2" s="3" t="s">
        <v>268</v>
      </c>
      <c r="U2" s="3">
        <v>9</v>
      </c>
      <c r="V2" s="3">
        <v>15</v>
      </c>
      <c r="W2" s="3">
        <v>62</v>
      </c>
    </row>
    <row r="3" spans="1:23" ht="11.25" customHeight="1" x14ac:dyDescent="0.3">
      <c r="A3" s="3" t="s">
        <v>21</v>
      </c>
      <c r="B3" s="3" t="s">
        <v>34</v>
      </c>
      <c r="C3" s="3" t="s">
        <v>35</v>
      </c>
      <c r="D3" s="3" t="s">
        <v>33</v>
      </c>
      <c r="E3" s="3" t="s">
        <v>25</v>
      </c>
      <c r="F3" s="3" t="s">
        <v>25</v>
      </c>
      <c r="G3" s="3" t="s">
        <v>25</v>
      </c>
      <c r="H3" s="3" t="s">
        <v>37</v>
      </c>
      <c r="I3" s="6">
        <v>44470</v>
      </c>
      <c r="J3" s="4">
        <v>38</v>
      </c>
      <c r="K3" s="4">
        <v>38</v>
      </c>
      <c r="L3" s="4">
        <v>12.662000000000001</v>
      </c>
      <c r="M3" s="4">
        <v>12.662000000000001</v>
      </c>
      <c r="N3" s="4">
        <v>12.662000000000001</v>
      </c>
      <c r="O3" s="4">
        <v>12.662000000000001</v>
      </c>
      <c r="P3" s="4">
        <v>0</v>
      </c>
      <c r="Q3" s="3" t="s">
        <v>26</v>
      </c>
      <c r="R3" s="3">
        <v>0</v>
      </c>
      <c r="S3" s="3" t="s">
        <v>100</v>
      </c>
      <c r="T3" s="3" t="s">
        <v>269</v>
      </c>
      <c r="U3" s="3">
        <v>9</v>
      </c>
      <c r="V3" s="3">
        <v>15</v>
      </c>
      <c r="W3" s="3">
        <v>62</v>
      </c>
    </row>
    <row r="4" spans="1:23" ht="11.25" customHeight="1" x14ac:dyDescent="0.3">
      <c r="A4" s="3" t="s">
        <v>21</v>
      </c>
      <c r="B4" s="3" t="s">
        <v>34</v>
      </c>
      <c r="C4" s="3" t="s">
        <v>35</v>
      </c>
      <c r="D4" s="3" t="s">
        <v>33</v>
      </c>
      <c r="E4" s="3" t="s">
        <v>25</v>
      </c>
      <c r="F4" s="3" t="s">
        <v>25</v>
      </c>
      <c r="G4" s="3" t="s">
        <v>25</v>
      </c>
      <c r="H4" s="3" t="s">
        <v>37</v>
      </c>
      <c r="I4" s="6">
        <v>44501</v>
      </c>
      <c r="J4" s="4">
        <v>38</v>
      </c>
      <c r="K4" s="4">
        <v>38</v>
      </c>
      <c r="L4" s="4">
        <v>12.772</v>
      </c>
      <c r="M4" s="4">
        <v>12.772</v>
      </c>
      <c r="N4" s="4">
        <v>12.772</v>
      </c>
      <c r="O4" s="4">
        <v>12.772</v>
      </c>
      <c r="P4" s="4">
        <v>0</v>
      </c>
      <c r="Q4" s="3" t="s">
        <v>26</v>
      </c>
      <c r="R4" s="3">
        <v>0</v>
      </c>
      <c r="S4" s="3" t="s">
        <v>101</v>
      </c>
      <c r="T4" s="3" t="s">
        <v>270</v>
      </c>
      <c r="U4" s="3">
        <v>9</v>
      </c>
      <c r="V4" s="3">
        <v>15</v>
      </c>
      <c r="W4" s="3">
        <v>62</v>
      </c>
    </row>
    <row r="5" spans="1:23" ht="11.25" customHeight="1" x14ac:dyDescent="0.3">
      <c r="A5" s="3" t="s">
        <v>21</v>
      </c>
      <c r="B5" s="3" t="s">
        <v>34</v>
      </c>
      <c r="C5" s="3" t="s">
        <v>35</v>
      </c>
      <c r="D5" s="3" t="s">
        <v>33</v>
      </c>
      <c r="E5" s="3" t="s">
        <v>25</v>
      </c>
      <c r="F5" s="3" t="s">
        <v>25</v>
      </c>
      <c r="G5" s="3" t="s">
        <v>25</v>
      </c>
      <c r="H5" s="3" t="s">
        <v>37</v>
      </c>
      <c r="I5" s="6">
        <v>44531</v>
      </c>
      <c r="J5" s="4">
        <v>38</v>
      </c>
      <c r="K5" s="4">
        <v>38</v>
      </c>
      <c r="L5" s="4">
        <v>14.241</v>
      </c>
      <c r="M5" s="4">
        <v>14.241</v>
      </c>
      <c r="N5" s="4">
        <v>14.241</v>
      </c>
      <c r="O5" s="4">
        <v>14.241</v>
      </c>
      <c r="P5" s="4">
        <v>0</v>
      </c>
      <c r="Q5" s="3" t="s">
        <v>26</v>
      </c>
      <c r="R5" s="3">
        <v>0</v>
      </c>
      <c r="S5" s="3" t="s">
        <v>102</v>
      </c>
      <c r="T5" s="3" t="s">
        <v>271</v>
      </c>
      <c r="U5" s="3">
        <v>9</v>
      </c>
      <c r="V5" s="3">
        <v>15</v>
      </c>
      <c r="W5" s="3">
        <v>62</v>
      </c>
    </row>
    <row r="6" spans="1:23" ht="11.25" customHeight="1" x14ac:dyDescent="0.3">
      <c r="A6" s="3" t="s">
        <v>21</v>
      </c>
      <c r="B6" s="3" t="s">
        <v>34</v>
      </c>
      <c r="C6" s="3" t="s">
        <v>35</v>
      </c>
      <c r="D6" s="3" t="s">
        <v>33</v>
      </c>
      <c r="E6" s="3" t="s">
        <v>25</v>
      </c>
      <c r="F6" s="3" t="s">
        <v>25</v>
      </c>
      <c r="G6" s="3" t="s">
        <v>25</v>
      </c>
      <c r="H6" s="3" t="s">
        <v>37</v>
      </c>
      <c r="I6" s="6">
        <v>44562</v>
      </c>
      <c r="J6" s="4">
        <v>39</v>
      </c>
      <c r="K6" s="4">
        <v>39</v>
      </c>
      <c r="L6" s="4">
        <v>14.169</v>
      </c>
      <c r="M6" s="4">
        <v>14.169</v>
      </c>
      <c r="N6" s="4">
        <v>14.169</v>
      </c>
      <c r="O6" s="4">
        <v>14.169</v>
      </c>
      <c r="P6" s="4">
        <v>0</v>
      </c>
      <c r="Q6" s="3" t="s">
        <v>26</v>
      </c>
      <c r="R6" s="3">
        <v>0</v>
      </c>
      <c r="S6" s="3" t="s">
        <v>103</v>
      </c>
      <c r="T6" s="3" t="s">
        <v>272</v>
      </c>
      <c r="U6" s="3">
        <v>9</v>
      </c>
      <c r="V6" s="3">
        <v>15</v>
      </c>
      <c r="W6" s="3">
        <v>62</v>
      </c>
    </row>
    <row r="7" spans="1:23" ht="11.25" customHeight="1" x14ac:dyDescent="0.3">
      <c r="A7" s="3" t="s">
        <v>21</v>
      </c>
      <c r="B7" s="3" t="s">
        <v>34</v>
      </c>
      <c r="C7" s="3" t="s">
        <v>35</v>
      </c>
      <c r="D7" s="3" t="s">
        <v>33</v>
      </c>
      <c r="E7" s="3" t="s">
        <v>25</v>
      </c>
      <c r="F7" s="3" t="s">
        <v>25</v>
      </c>
      <c r="G7" s="3" t="s">
        <v>25</v>
      </c>
      <c r="H7" s="3" t="s">
        <v>37</v>
      </c>
      <c r="I7" s="6">
        <v>44593</v>
      </c>
      <c r="J7" s="4">
        <v>38</v>
      </c>
      <c r="K7" s="4">
        <v>38</v>
      </c>
      <c r="L7" s="4">
        <v>13.044</v>
      </c>
      <c r="M7" s="4">
        <v>13.044</v>
      </c>
      <c r="N7" s="4">
        <v>13.044</v>
      </c>
      <c r="O7" s="4">
        <v>13.044</v>
      </c>
      <c r="P7" s="4">
        <v>0</v>
      </c>
      <c r="Q7" s="3" t="s">
        <v>26</v>
      </c>
      <c r="R7" s="3">
        <v>0</v>
      </c>
      <c r="S7" s="3" t="s">
        <v>104</v>
      </c>
      <c r="T7" s="3" t="s">
        <v>273</v>
      </c>
      <c r="U7" s="3">
        <v>9</v>
      </c>
      <c r="V7" s="3">
        <v>15</v>
      </c>
      <c r="W7" s="3">
        <v>62</v>
      </c>
    </row>
    <row r="8" spans="1:23" ht="11.25" customHeight="1" x14ac:dyDescent="0.3">
      <c r="A8" s="3" t="s">
        <v>21</v>
      </c>
      <c r="B8" s="3" t="s">
        <v>34</v>
      </c>
      <c r="C8" s="3" t="s">
        <v>35</v>
      </c>
      <c r="D8" s="3" t="s">
        <v>33</v>
      </c>
      <c r="E8" s="3" t="s">
        <v>25</v>
      </c>
      <c r="F8" s="3" t="s">
        <v>25</v>
      </c>
      <c r="G8" s="3" t="s">
        <v>25</v>
      </c>
      <c r="H8" s="3" t="s">
        <v>37</v>
      </c>
      <c r="I8" s="6">
        <v>44621</v>
      </c>
      <c r="J8" s="4">
        <v>38</v>
      </c>
      <c r="K8" s="4">
        <v>38</v>
      </c>
      <c r="L8" s="4">
        <v>13.077999999999999</v>
      </c>
      <c r="M8" s="4">
        <v>13.077999999999999</v>
      </c>
      <c r="N8" s="4">
        <v>13.077999999999999</v>
      </c>
      <c r="O8" s="4">
        <v>13.077999999999999</v>
      </c>
      <c r="P8" s="4">
        <v>0</v>
      </c>
      <c r="Q8" s="3" t="s">
        <v>26</v>
      </c>
      <c r="R8" s="3">
        <v>0</v>
      </c>
      <c r="S8" s="3" t="s">
        <v>105</v>
      </c>
      <c r="T8" s="3" t="s">
        <v>274</v>
      </c>
      <c r="U8" s="3">
        <v>9</v>
      </c>
      <c r="V8" s="3">
        <v>15</v>
      </c>
      <c r="W8" s="3">
        <v>62</v>
      </c>
    </row>
    <row r="9" spans="1:23" ht="11.25" customHeight="1" x14ac:dyDescent="0.3">
      <c r="A9" s="3" t="s">
        <v>21</v>
      </c>
      <c r="B9" s="3" t="s">
        <v>34</v>
      </c>
      <c r="C9" s="3" t="s">
        <v>35</v>
      </c>
      <c r="D9" s="3" t="s">
        <v>33</v>
      </c>
      <c r="E9" s="3" t="s">
        <v>25</v>
      </c>
      <c r="F9" s="3" t="s">
        <v>25</v>
      </c>
      <c r="G9" s="3" t="s">
        <v>25</v>
      </c>
      <c r="H9" s="3" t="s">
        <v>37</v>
      </c>
      <c r="I9" s="6">
        <v>44652</v>
      </c>
      <c r="J9" s="4">
        <v>38</v>
      </c>
      <c r="K9" s="4">
        <v>38</v>
      </c>
      <c r="L9" s="4">
        <v>12.239000000000001</v>
      </c>
      <c r="M9" s="4">
        <v>12.239000000000001</v>
      </c>
      <c r="N9" s="4">
        <v>12.239000000000001</v>
      </c>
      <c r="O9" s="4">
        <v>12.239000000000001</v>
      </c>
      <c r="P9" s="4">
        <v>0</v>
      </c>
      <c r="Q9" s="3" t="s">
        <v>26</v>
      </c>
      <c r="R9" s="3">
        <v>0</v>
      </c>
      <c r="S9" s="3" t="s">
        <v>106</v>
      </c>
      <c r="T9" s="3" t="s">
        <v>275</v>
      </c>
      <c r="U9" s="3">
        <v>9</v>
      </c>
      <c r="V9" s="3">
        <v>15</v>
      </c>
      <c r="W9" s="3">
        <v>62</v>
      </c>
    </row>
    <row r="10" spans="1:23" ht="11.25" customHeight="1" x14ac:dyDescent="0.3">
      <c r="A10" s="3" t="s">
        <v>21</v>
      </c>
      <c r="B10" s="3" t="s">
        <v>34</v>
      </c>
      <c r="C10" s="3" t="s">
        <v>35</v>
      </c>
      <c r="D10" s="3" t="s">
        <v>33</v>
      </c>
      <c r="E10" s="3" t="s">
        <v>25</v>
      </c>
      <c r="F10" s="3" t="s">
        <v>25</v>
      </c>
      <c r="G10" s="3" t="s">
        <v>25</v>
      </c>
      <c r="H10" s="3" t="s">
        <v>37</v>
      </c>
      <c r="I10" s="6">
        <v>44682</v>
      </c>
      <c r="J10" s="4">
        <v>38</v>
      </c>
      <c r="K10" s="4">
        <v>38</v>
      </c>
      <c r="L10" s="4">
        <v>12.154999999999999</v>
      </c>
      <c r="M10" s="4">
        <v>12.154999999999999</v>
      </c>
      <c r="N10" s="4">
        <v>12.154999999999999</v>
      </c>
      <c r="O10" s="4">
        <v>12.154999999999999</v>
      </c>
      <c r="P10" s="4">
        <v>0</v>
      </c>
      <c r="Q10" s="3" t="s">
        <v>26</v>
      </c>
      <c r="R10" s="3">
        <v>0</v>
      </c>
      <c r="S10" s="3" t="s">
        <v>107</v>
      </c>
      <c r="T10" s="3" t="s">
        <v>276</v>
      </c>
      <c r="U10" s="3">
        <v>9</v>
      </c>
      <c r="V10" s="3">
        <v>15</v>
      </c>
      <c r="W10" s="3">
        <v>62</v>
      </c>
    </row>
    <row r="11" spans="1:23" ht="11.25" customHeight="1" x14ac:dyDescent="0.3">
      <c r="A11" s="3" t="s">
        <v>21</v>
      </c>
      <c r="B11" s="3" t="s">
        <v>34</v>
      </c>
      <c r="C11" s="3" t="s">
        <v>35</v>
      </c>
      <c r="D11" s="3" t="s">
        <v>33</v>
      </c>
      <c r="E11" s="3" t="s">
        <v>25</v>
      </c>
      <c r="F11" s="3" t="s">
        <v>25</v>
      </c>
      <c r="G11" s="3" t="s">
        <v>25</v>
      </c>
      <c r="H11" s="3" t="s">
        <v>37</v>
      </c>
      <c r="I11" s="6">
        <v>44713</v>
      </c>
      <c r="J11" s="4">
        <v>38</v>
      </c>
      <c r="K11" s="4">
        <v>38</v>
      </c>
      <c r="L11" s="4">
        <v>11.324999999999999</v>
      </c>
      <c r="M11" s="4">
        <v>11.324999999999999</v>
      </c>
      <c r="N11" s="4">
        <v>11.324999999999999</v>
      </c>
      <c r="O11" s="4">
        <v>11.324999999999999</v>
      </c>
      <c r="P11" s="4">
        <v>0</v>
      </c>
      <c r="Q11" s="3" t="s">
        <v>26</v>
      </c>
      <c r="R11" s="3">
        <v>0</v>
      </c>
      <c r="S11" s="3" t="s">
        <v>108</v>
      </c>
      <c r="T11" s="3" t="s">
        <v>277</v>
      </c>
      <c r="U11" s="3">
        <v>9</v>
      </c>
      <c r="V11" s="3">
        <v>15</v>
      </c>
      <c r="W11" s="3">
        <v>62</v>
      </c>
    </row>
    <row r="12" spans="1:23" ht="11.25" customHeight="1" x14ac:dyDescent="0.3">
      <c r="A12" s="3" t="s">
        <v>21</v>
      </c>
      <c r="B12" s="3" t="s">
        <v>34</v>
      </c>
      <c r="C12" s="3" t="s">
        <v>35</v>
      </c>
      <c r="D12" s="3" t="s">
        <v>33</v>
      </c>
      <c r="E12" s="3" t="s">
        <v>25</v>
      </c>
      <c r="F12" s="3" t="s">
        <v>25</v>
      </c>
      <c r="G12" s="3" t="s">
        <v>25</v>
      </c>
      <c r="H12" s="3" t="s">
        <v>37</v>
      </c>
      <c r="I12" s="6">
        <v>44743</v>
      </c>
      <c r="J12" s="4">
        <v>38</v>
      </c>
      <c r="K12" s="4">
        <v>38</v>
      </c>
      <c r="L12" s="4">
        <v>12.382</v>
      </c>
      <c r="M12" s="4">
        <v>12.382</v>
      </c>
      <c r="N12" s="4">
        <v>12.382</v>
      </c>
      <c r="O12" s="4">
        <v>12.382</v>
      </c>
      <c r="P12" s="4">
        <v>0</v>
      </c>
      <c r="Q12" s="3" t="s">
        <v>26</v>
      </c>
      <c r="R12" s="3">
        <v>0</v>
      </c>
      <c r="S12" s="3" t="s">
        <v>109</v>
      </c>
      <c r="T12" s="3" t="s">
        <v>278</v>
      </c>
      <c r="U12" s="3">
        <v>9</v>
      </c>
      <c r="V12" s="3">
        <v>15</v>
      </c>
      <c r="W12" s="3">
        <v>62</v>
      </c>
    </row>
    <row r="13" spans="1:23" ht="11.25" customHeight="1" x14ac:dyDescent="0.3">
      <c r="A13" s="3" t="s">
        <v>53</v>
      </c>
      <c r="B13" s="3" t="s">
        <v>34</v>
      </c>
      <c r="C13" s="3" t="s">
        <v>35</v>
      </c>
      <c r="D13" s="3" t="s">
        <v>33</v>
      </c>
      <c r="E13" s="3" t="s">
        <v>25</v>
      </c>
      <c r="F13" s="3" t="s">
        <v>25</v>
      </c>
      <c r="G13" s="3" t="s">
        <v>25</v>
      </c>
      <c r="H13" s="3" t="s">
        <v>37</v>
      </c>
      <c r="I13" s="6">
        <v>44774</v>
      </c>
      <c r="J13" s="4">
        <v>38</v>
      </c>
      <c r="K13" s="4">
        <v>38</v>
      </c>
      <c r="L13" s="4">
        <v>12.382</v>
      </c>
      <c r="M13" s="4">
        <v>12.382</v>
      </c>
      <c r="N13" s="4">
        <v>12.382</v>
      </c>
      <c r="O13" s="4">
        <v>12.382</v>
      </c>
      <c r="P13" s="4">
        <v>0</v>
      </c>
      <c r="Q13" s="3" t="s">
        <v>26</v>
      </c>
      <c r="R13" s="3">
        <v>0</v>
      </c>
      <c r="S13" s="3" t="s">
        <v>110</v>
      </c>
      <c r="T13" s="3" t="s">
        <v>279</v>
      </c>
      <c r="U13" s="3">
        <v>9</v>
      </c>
      <c r="V13" s="3">
        <v>15</v>
      </c>
      <c r="W13" s="3">
        <v>62</v>
      </c>
    </row>
    <row r="14" spans="1:23" ht="11.25" customHeight="1" x14ac:dyDescent="0.3">
      <c r="A14" s="3" t="s">
        <v>21</v>
      </c>
      <c r="B14" s="3" t="s">
        <v>34</v>
      </c>
      <c r="C14" s="3" t="s">
        <v>35</v>
      </c>
      <c r="D14" s="3" t="s">
        <v>33</v>
      </c>
      <c r="E14" s="3" t="s">
        <v>25</v>
      </c>
      <c r="F14" s="3" t="s">
        <v>25</v>
      </c>
      <c r="G14" s="3" t="s">
        <v>25</v>
      </c>
      <c r="H14" s="3" t="s">
        <v>36</v>
      </c>
      <c r="I14" s="6">
        <v>44440</v>
      </c>
      <c r="J14" s="4">
        <v>31</v>
      </c>
      <c r="K14" s="4">
        <v>31</v>
      </c>
      <c r="L14" s="4">
        <v>1.0820000000000001</v>
      </c>
      <c r="M14" s="4">
        <v>1.0820000000000001</v>
      </c>
      <c r="N14" s="4">
        <v>1.0820000000000001</v>
      </c>
      <c r="O14" s="4">
        <v>1.0820000000000001</v>
      </c>
      <c r="P14" s="4">
        <v>0</v>
      </c>
      <c r="Q14" s="3" t="s">
        <v>26</v>
      </c>
      <c r="R14" s="3">
        <v>0</v>
      </c>
      <c r="S14" s="3" t="s">
        <v>111</v>
      </c>
      <c r="T14" s="3" t="s">
        <v>280</v>
      </c>
      <c r="U14" s="3">
        <v>7</v>
      </c>
      <c r="V14" s="3">
        <v>15</v>
      </c>
      <c r="W14" s="3">
        <v>22</v>
      </c>
    </row>
    <row r="15" spans="1:23" ht="11.25" customHeight="1" x14ac:dyDescent="0.3">
      <c r="A15" s="3" t="s">
        <v>21</v>
      </c>
      <c r="B15" s="3" t="s">
        <v>34</v>
      </c>
      <c r="C15" s="3" t="s">
        <v>35</v>
      </c>
      <c r="D15" s="3" t="s">
        <v>33</v>
      </c>
      <c r="E15" s="3" t="s">
        <v>25</v>
      </c>
      <c r="F15" s="3" t="s">
        <v>25</v>
      </c>
      <c r="G15" s="3" t="s">
        <v>25</v>
      </c>
      <c r="H15" s="3" t="s">
        <v>36</v>
      </c>
      <c r="I15" s="6">
        <v>44470</v>
      </c>
      <c r="J15" s="4">
        <v>31</v>
      </c>
      <c r="K15" s="4">
        <v>31</v>
      </c>
      <c r="L15" s="4">
        <v>1.091</v>
      </c>
      <c r="M15" s="4">
        <v>1.091</v>
      </c>
      <c r="N15" s="4">
        <v>1.091</v>
      </c>
      <c r="O15" s="4">
        <v>1.091</v>
      </c>
      <c r="P15" s="4">
        <v>0</v>
      </c>
      <c r="Q15" s="3" t="s">
        <v>26</v>
      </c>
      <c r="R15" s="3">
        <v>0</v>
      </c>
      <c r="S15" s="3" t="s">
        <v>112</v>
      </c>
      <c r="T15" s="3" t="s">
        <v>281</v>
      </c>
      <c r="U15" s="3">
        <v>7</v>
      </c>
      <c r="V15" s="3">
        <v>15</v>
      </c>
      <c r="W15" s="3">
        <v>22</v>
      </c>
    </row>
    <row r="16" spans="1:23" ht="11.25" customHeight="1" x14ac:dyDescent="0.3">
      <c r="A16" s="3" t="s">
        <v>21</v>
      </c>
      <c r="B16" s="3" t="s">
        <v>34</v>
      </c>
      <c r="C16" s="3" t="s">
        <v>35</v>
      </c>
      <c r="D16" s="3" t="s">
        <v>33</v>
      </c>
      <c r="E16" s="3" t="s">
        <v>25</v>
      </c>
      <c r="F16" s="3" t="s">
        <v>25</v>
      </c>
      <c r="G16" s="3" t="s">
        <v>25</v>
      </c>
      <c r="H16" s="3" t="s">
        <v>36</v>
      </c>
      <c r="I16" s="6">
        <v>44501</v>
      </c>
      <c r="J16" s="4">
        <v>31</v>
      </c>
      <c r="K16" s="4">
        <v>31</v>
      </c>
      <c r="L16" s="4">
        <v>1.0009999999999999</v>
      </c>
      <c r="M16" s="4">
        <v>1.0009999999999999</v>
      </c>
      <c r="N16" s="4">
        <v>1.0009999999999999</v>
      </c>
      <c r="O16" s="4">
        <v>1.0009999999999999</v>
      </c>
      <c r="P16" s="4">
        <v>0</v>
      </c>
      <c r="Q16" s="3" t="s">
        <v>26</v>
      </c>
      <c r="R16" s="3">
        <v>0</v>
      </c>
      <c r="S16" s="3" t="s">
        <v>113</v>
      </c>
      <c r="T16" s="3" t="s">
        <v>282</v>
      </c>
      <c r="U16" s="3">
        <v>7</v>
      </c>
      <c r="V16" s="3">
        <v>15</v>
      </c>
      <c r="W16" s="3">
        <v>22</v>
      </c>
    </row>
    <row r="17" spans="1:23" ht="11.25" customHeight="1" x14ac:dyDescent="0.3">
      <c r="A17" s="3" t="s">
        <v>21</v>
      </c>
      <c r="B17" s="3" t="s">
        <v>34</v>
      </c>
      <c r="C17" s="3" t="s">
        <v>35</v>
      </c>
      <c r="D17" s="3" t="s">
        <v>33</v>
      </c>
      <c r="E17" s="3" t="s">
        <v>25</v>
      </c>
      <c r="F17" s="3" t="s">
        <v>25</v>
      </c>
      <c r="G17" s="3" t="s">
        <v>25</v>
      </c>
      <c r="H17" s="3" t="s">
        <v>36</v>
      </c>
      <c r="I17" s="6">
        <v>44531</v>
      </c>
      <c r="J17" s="4">
        <v>31</v>
      </c>
      <c r="K17" s="4">
        <v>31</v>
      </c>
      <c r="L17" s="4">
        <v>1.1359999999999999</v>
      </c>
      <c r="M17" s="4">
        <v>1.1359999999999999</v>
      </c>
      <c r="N17" s="4">
        <v>1.1359999999999999</v>
      </c>
      <c r="O17" s="4">
        <v>1.1359999999999999</v>
      </c>
      <c r="P17" s="4">
        <v>0</v>
      </c>
      <c r="Q17" s="3" t="s">
        <v>26</v>
      </c>
      <c r="R17" s="3">
        <v>0</v>
      </c>
      <c r="S17" s="3" t="s">
        <v>114</v>
      </c>
      <c r="T17" s="3" t="s">
        <v>283</v>
      </c>
      <c r="U17" s="3">
        <v>7</v>
      </c>
      <c r="V17" s="3">
        <v>15</v>
      </c>
      <c r="W17" s="3">
        <v>22</v>
      </c>
    </row>
    <row r="18" spans="1:23" ht="11.25" customHeight="1" x14ac:dyDescent="0.3">
      <c r="A18" s="3" t="s">
        <v>21</v>
      </c>
      <c r="B18" s="3" t="s">
        <v>34</v>
      </c>
      <c r="C18" s="3" t="s">
        <v>35</v>
      </c>
      <c r="D18" s="3" t="s">
        <v>33</v>
      </c>
      <c r="E18" s="3" t="s">
        <v>25</v>
      </c>
      <c r="F18" s="3" t="s">
        <v>25</v>
      </c>
      <c r="G18" s="3" t="s">
        <v>25</v>
      </c>
      <c r="H18" s="3" t="s">
        <v>36</v>
      </c>
      <c r="I18" s="6">
        <v>44562</v>
      </c>
      <c r="J18" s="4">
        <v>31</v>
      </c>
      <c r="K18" s="4">
        <v>31</v>
      </c>
      <c r="L18" s="4">
        <v>1.167</v>
      </c>
      <c r="M18" s="4">
        <v>1.167</v>
      </c>
      <c r="N18" s="4">
        <v>1.167</v>
      </c>
      <c r="O18" s="4">
        <v>1.167</v>
      </c>
      <c r="P18" s="4">
        <v>0</v>
      </c>
      <c r="Q18" s="3" t="s">
        <v>26</v>
      </c>
      <c r="R18" s="3">
        <v>0</v>
      </c>
      <c r="S18" s="3" t="s">
        <v>115</v>
      </c>
      <c r="T18" s="3" t="s">
        <v>284</v>
      </c>
      <c r="U18" s="3">
        <v>7</v>
      </c>
      <c r="V18" s="3">
        <v>15</v>
      </c>
      <c r="W18" s="3">
        <v>22</v>
      </c>
    </row>
    <row r="19" spans="1:23" ht="11.25" customHeight="1" x14ac:dyDescent="0.3">
      <c r="A19" s="3" t="s">
        <v>21</v>
      </c>
      <c r="B19" s="3" t="s">
        <v>34</v>
      </c>
      <c r="C19" s="3" t="s">
        <v>35</v>
      </c>
      <c r="D19" s="3" t="s">
        <v>33</v>
      </c>
      <c r="E19" s="3" t="s">
        <v>25</v>
      </c>
      <c r="F19" s="3" t="s">
        <v>25</v>
      </c>
      <c r="G19" s="3" t="s">
        <v>25</v>
      </c>
      <c r="H19" s="3" t="s">
        <v>36</v>
      </c>
      <c r="I19" s="6">
        <v>44593</v>
      </c>
      <c r="J19" s="4">
        <v>31</v>
      </c>
      <c r="K19" s="4">
        <v>31</v>
      </c>
      <c r="L19" s="4">
        <v>1.0009999999999999</v>
      </c>
      <c r="M19" s="4">
        <v>1.0009999999999999</v>
      </c>
      <c r="N19" s="4">
        <v>1.0009999999999999</v>
      </c>
      <c r="O19" s="4">
        <v>1.0009999999999999</v>
      </c>
      <c r="P19" s="4">
        <v>0</v>
      </c>
      <c r="Q19" s="3" t="s">
        <v>26</v>
      </c>
      <c r="R19" s="3">
        <v>0</v>
      </c>
      <c r="S19" s="3" t="s">
        <v>116</v>
      </c>
      <c r="T19" s="3" t="s">
        <v>285</v>
      </c>
      <c r="U19" s="3">
        <v>7</v>
      </c>
      <c r="V19" s="3">
        <v>15</v>
      </c>
      <c r="W19" s="3">
        <v>22</v>
      </c>
    </row>
    <row r="20" spans="1:23" ht="11.25" customHeight="1" x14ac:dyDescent="0.3">
      <c r="A20" s="3" t="s">
        <v>21</v>
      </c>
      <c r="B20" s="3" t="s">
        <v>34</v>
      </c>
      <c r="C20" s="3" t="s">
        <v>35</v>
      </c>
      <c r="D20" s="3" t="s">
        <v>33</v>
      </c>
      <c r="E20" s="3" t="s">
        <v>25</v>
      </c>
      <c r="F20" s="3" t="s">
        <v>25</v>
      </c>
      <c r="G20" s="3" t="s">
        <v>25</v>
      </c>
      <c r="H20" s="3" t="s">
        <v>36</v>
      </c>
      <c r="I20" s="6">
        <v>44621</v>
      </c>
      <c r="J20" s="4">
        <v>31</v>
      </c>
      <c r="K20" s="4">
        <v>31</v>
      </c>
      <c r="L20" s="4">
        <v>1.157</v>
      </c>
      <c r="M20" s="4">
        <v>1.157</v>
      </c>
      <c r="N20" s="4">
        <v>1.157</v>
      </c>
      <c r="O20" s="4">
        <v>1.157</v>
      </c>
      <c r="P20" s="4">
        <v>0</v>
      </c>
      <c r="Q20" s="3" t="s">
        <v>26</v>
      </c>
      <c r="R20" s="3">
        <v>0</v>
      </c>
      <c r="S20" s="3" t="s">
        <v>117</v>
      </c>
      <c r="T20" s="3" t="s">
        <v>286</v>
      </c>
      <c r="U20" s="3">
        <v>7</v>
      </c>
      <c r="V20" s="3">
        <v>15</v>
      </c>
      <c r="W20" s="3">
        <v>22</v>
      </c>
    </row>
    <row r="21" spans="1:23" ht="11.25" customHeight="1" x14ac:dyDescent="0.3">
      <c r="A21" s="3" t="s">
        <v>21</v>
      </c>
      <c r="B21" s="3" t="s">
        <v>34</v>
      </c>
      <c r="C21" s="3" t="s">
        <v>35</v>
      </c>
      <c r="D21" s="3" t="s">
        <v>33</v>
      </c>
      <c r="E21" s="3" t="s">
        <v>25</v>
      </c>
      <c r="F21" s="3" t="s">
        <v>25</v>
      </c>
      <c r="G21" s="3" t="s">
        <v>25</v>
      </c>
      <c r="H21" s="3" t="s">
        <v>36</v>
      </c>
      <c r="I21" s="6">
        <v>44652</v>
      </c>
      <c r="J21" s="4">
        <v>31</v>
      </c>
      <c r="K21" s="4">
        <v>31</v>
      </c>
      <c r="L21" s="4">
        <v>1.1040000000000001</v>
      </c>
      <c r="M21" s="4">
        <v>1.1040000000000001</v>
      </c>
      <c r="N21" s="4">
        <v>1.1040000000000001</v>
      </c>
      <c r="O21" s="4">
        <v>1.1040000000000001</v>
      </c>
      <c r="P21" s="4">
        <v>0</v>
      </c>
      <c r="Q21" s="3" t="s">
        <v>26</v>
      </c>
      <c r="R21" s="3">
        <v>0</v>
      </c>
      <c r="S21" s="3" t="s">
        <v>118</v>
      </c>
      <c r="T21" s="3" t="s">
        <v>287</v>
      </c>
      <c r="U21" s="3">
        <v>7</v>
      </c>
      <c r="V21" s="3">
        <v>15</v>
      </c>
      <c r="W21" s="3">
        <v>22</v>
      </c>
    </row>
    <row r="22" spans="1:23" ht="11.25" customHeight="1" x14ac:dyDescent="0.3">
      <c r="A22" s="3" t="s">
        <v>21</v>
      </c>
      <c r="B22" s="3" t="s">
        <v>34</v>
      </c>
      <c r="C22" s="3" t="s">
        <v>35</v>
      </c>
      <c r="D22" s="3" t="s">
        <v>33</v>
      </c>
      <c r="E22" s="3" t="s">
        <v>25</v>
      </c>
      <c r="F22" s="3" t="s">
        <v>25</v>
      </c>
      <c r="G22" s="3" t="s">
        <v>25</v>
      </c>
      <c r="H22" s="3" t="s">
        <v>36</v>
      </c>
      <c r="I22" s="6">
        <v>44682</v>
      </c>
      <c r="J22" s="4">
        <v>31</v>
      </c>
      <c r="K22" s="4">
        <v>31</v>
      </c>
      <c r="L22" s="4">
        <v>1.1659999999999999</v>
      </c>
      <c r="M22" s="4">
        <v>1.1659999999999999</v>
      </c>
      <c r="N22" s="4">
        <v>1.1659999999999999</v>
      </c>
      <c r="O22" s="4">
        <v>1.1659999999999999</v>
      </c>
      <c r="P22" s="4">
        <v>0</v>
      </c>
      <c r="Q22" s="3" t="s">
        <v>26</v>
      </c>
      <c r="R22" s="3">
        <v>0</v>
      </c>
      <c r="S22" s="3" t="s">
        <v>119</v>
      </c>
      <c r="T22" s="3" t="s">
        <v>288</v>
      </c>
      <c r="U22" s="3">
        <v>7</v>
      </c>
      <c r="V22" s="3">
        <v>15</v>
      </c>
      <c r="W22" s="3">
        <v>22</v>
      </c>
    </row>
    <row r="23" spans="1:23" ht="11.25" customHeight="1" x14ac:dyDescent="0.3">
      <c r="A23" s="3" t="s">
        <v>21</v>
      </c>
      <c r="B23" s="3" t="s">
        <v>34</v>
      </c>
      <c r="C23" s="3" t="s">
        <v>35</v>
      </c>
      <c r="D23" s="3" t="s">
        <v>33</v>
      </c>
      <c r="E23" s="3" t="s">
        <v>25</v>
      </c>
      <c r="F23" s="3" t="s">
        <v>25</v>
      </c>
      <c r="G23" s="3" t="s">
        <v>25</v>
      </c>
      <c r="H23" s="3" t="s">
        <v>36</v>
      </c>
      <c r="I23" s="6">
        <v>44713</v>
      </c>
      <c r="J23" s="4">
        <v>31</v>
      </c>
      <c r="K23" s="4">
        <v>31</v>
      </c>
      <c r="L23" s="4">
        <v>1.1919999999999999</v>
      </c>
      <c r="M23" s="4">
        <v>1.1919999999999999</v>
      </c>
      <c r="N23" s="4">
        <v>1.1919999999999999</v>
      </c>
      <c r="O23" s="4">
        <v>1.1919999999999999</v>
      </c>
      <c r="P23" s="4">
        <v>0</v>
      </c>
      <c r="Q23" s="3" t="s">
        <v>26</v>
      </c>
      <c r="R23" s="3">
        <v>0</v>
      </c>
      <c r="S23" s="3" t="s">
        <v>120</v>
      </c>
      <c r="T23" s="3" t="s">
        <v>289</v>
      </c>
      <c r="U23" s="3">
        <v>7</v>
      </c>
      <c r="V23" s="3">
        <v>15</v>
      </c>
      <c r="W23" s="3">
        <v>22</v>
      </c>
    </row>
    <row r="24" spans="1:23" ht="11.25" customHeight="1" x14ac:dyDescent="0.3">
      <c r="A24" s="3" t="s">
        <v>21</v>
      </c>
      <c r="B24" s="3" t="s">
        <v>34</v>
      </c>
      <c r="C24" s="3" t="s">
        <v>35</v>
      </c>
      <c r="D24" s="3" t="s">
        <v>33</v>
      </c>
      <c r="E24" s="3" t="s">
        <v>25</v>
      </c>
      <c r="F24" s="3" t="s">
        <v>25</v>
      </c>
      <c r="G24" s="3" t="s">
        <v>25</v>
      </c>
      <c r="H24" s="3" t="s">
        <v>36</v>
      </c>
      <c r="I24" s="6">
        <v>44743</v>
      </c>
      <c r="J24" s="4">
        <v>31</v>
      </c>
      <c r="K24" s="4">
        <v>31</v>
      </c>
      <c r="L24" s="4">
        <v>1.278</v>
      </c>
      <c r="M24" s="4">
        <v>1.278</v>
      </c>
      <c r="N24" s="4">
        <v>1.278</v>
      </c>
      <c r="O24" s="4">
        <v>1.278</v>
      </c>
      <c r="P24" s="4">
        <v>0</v>
      </c>
      <c r="Q24" s="3" t="s">
        <v>26</v>
      </c>
      <c r="R24" s="3">
        <v>0</v>
      </c>
      <c r="S24" s="3" t="s">
        <v>121</v>
      </c>
      <c r="T24" s="3" t="s">
        <v>290</v>
      </c>
      <c r="U24" s="3">
        <v>7</v>
      </c>
      <c r="V24" s="3">
        <v>15</v>
      </c>
      <c r="W24" s="3">
        <v>22</v>
      </c>
    </row>
    <row r="25" spans="1:23" ht="11.25" customHeight="1" x14ac:dyDescent="0.3">
      <c r="A25" s="3" t="s">
        <v>53</v>
      </c>
      <c r="B25" s="3" t="s">
        <v>34</v>
      </c>
      <c r="C25" s="3" t="s">
        <v>35</v>
      </c>
      <c r="D25" s="3" t="s">
        <v>33</v>
      </c>
      <c r="E25" s="3" t="s">
        <v>25</v>
      </c>
      <c r="F25" s="3" t="s">
        <v>25</v>
      </c>
      <c r="G25" s="3" t="s">
        <v>25</v>
      </c>
      <c r="H25" s="3" t="s">
        <v>36</v>
      </c>
      <c r="I25" s="6">
        <v>44774</v>
      </c>
      <c r="J25" s="4">
        <v>31</v>
      </c>
      <c r="K25" s="4">
        <v>31</v>
      </c>
      <c r="L25" s="4">
        <v>1.278</v>
      </c>
      <c r="M25" s="4">
        <v>1.278</v>
      </c>
      <c r="N25" s="4">
        <v>1.278</v>
      </c>
      <c r="O25" s="4">
        <v>1.278</v>
      </c>
      <c r="P25" s="4">
        <v>0</v>
      </c>
      <c r="Q25" s="3" t="s">
        <v>26</v>
      </c>
      <c r="R25" s="3">
        <v>0</v>
      </c>
      <c r="S25" s="3" t="s">
        <v>122</v>
      </c>
      <c r="T25" s="3" t="s">
        <v>291</v>
      </c>
      <c r="U25" s="3">
        <v>7</v>
      </c>
      <c r="V25" s="3">
        <v>15</v>
      </c>
      <c r="W25" s="3">
        <v>22</v>
      </c>
    </row>
    <row r="26" spans="1:23" ht="11.25" customHeight="1" x14ac:dyDescent="0.3">
      <c r="A26" s="3" t="s">
        <v>21</v>
      </c>
      <c r="B26" s="3" t="s">
        <v>34</v>
      </c>
      <c r="C26" s="3" t="s">
        <v>56</v>
      </c>
      <c r="D26" s="3" t="s">
        <v>25</v>
      </c>
      <c r="E26" s="3" t="s">
        <v>25</v>
      </c>
      <c r="F26" s="3" t="s">
        <v>25</v>
      </c>
      <c r="G26" s="3" t="s">
        <v>57</v>
      </c>
      <c r="H26" s="3" t="s">
        <v>25</v>
      </c>
      <c r="I26" s="6">
        <v>44440</v>
      </c>
      <c r="J26" s="4">
        <v>6000</v>
      </c>
      <c r="K26" s="4">
        <v>3000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 t="s">
        <v>58</v>
      </c>
      <c r="R26" s="3">
        <v>659</v>
      </c>
      <c r="S26" s="3" t="s">
        <v>123</v>
      </c>
      <c r="U26" s="3">
        <v>1</v>
      </c>
      <c r="V26" s="3">
        <v>0</v>
      </c>
      <c r="W26" s="3">
        <v>0</v>
      </c>
    </row>
    <row r="27" spans="1:23" ht="11.25" customHeight="1" x14ac:dyDescent="0.3">
      <c r="A27" s="3" t="s">
        <v>21</v>
      </c>
      <c r="B27" s="3" t="s">
        <v>34</v>
      </c>
      <c r="C27" s="3" t="s">
        <v>56</v>
      </c>
      <c r="D27" s="3" t="s">
        <v>25</v>
      </c>
      <c r="E27" s="3" t="s">
        <v>25</v>
      </c>
      <c r="F27" s="3" t="s">
        <v>25</v>
      </c>
      <c r="G27" s="3" t="s">
        <v>59</v>
      </c>
      <c r="H27" s="3" t="s">
        <v>25</v>
      </c>
      <c r="I27" s="6">
        <v>44440</v>
      </c>
      <c r="J27" s="4">
        <v>833</v>
      </c>
      <c r="K27" s="4">
        <v>416.5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3" t="s">
        <v>58</v>
      </c>
      <c r="R27" s="3">
        <v>29592</v>
      </c>
      <c r="S27" s="3" t="s">
        <v>123</v>
      </c>
      <c r="U27" s="3">
        <v>1</v>
      </c>
      <c r="V27" s="3">
        <v>0</v>
      </c>
      <c r="W27" s="3">
        <v>0</v>
      </c>
    </row>
    <row r="28" spans="1:23" ht="11.25" customHeight="1" x14ac:dyDescent="0.3">
      <c r="A28" s="3" t="s">
        <v>21</v>
      </c>
      <c r="B28" s="3" t="s">
        <v>34</v>
      </c>
      <c r="C28" s="3" t="s">
        <v>56</v>
      </c>
      <c r="D28" s="3" t="s">
        <v>25</v>
      </c>
      <c r="E28" s="3" t="s">
        <v>25</v>
      </c>
      <c r="F28" s="3" t="s">
        <v>25</v>
      </c>
      <c r="G28" s="3" t="s">
        <v>60</v>
      </c>
      <c r="H28" s="3" t="s">
        <v>25</v>
      </c>
      <c r="I28" s="6">
        <v>44440</v>
      </c>
      <c r="J28" s="4">
        <v>1000</v>
      </c>
      <c r="K28" s="4">
        <v>500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3" t="s">
        <v>58</v>
      </c>
      <c r="R28" s="3">
        <v>30368</v>
      </c>
      <c r="S28" s="3" t="s">
        <v>123</v>
      </c>
      <c r="U28" s="3">
        <v>1</v>
      </c>
      <c r="V28" s="3">
        <v>0</v>
      </c>
      <c r="W28" s="3">
        <v>0</v>
      </c>
    </row>
    <row r="29" spans="1:23" ht="11.25" customHeight="1" x14ac:dyDescent="0.3">
      <c r="A29" s="3" t="s">
        <v>21</v>
      </c>
      <c r="B29" s="3" t="s">
        <v>34</v>
      </c>
      <c r="C29" s="3" t="s">
        <v>56</v>
      </c>
      <c r="D29" s="3" t="s">
        <v>25</v>
      </c>
      <c r="E29" s="3" t="s">
        <v>25</v>
      </c>
      <c r="F29" s="3" t="s">
        <v>25</v>
      </c>
      <c r="G29" s="3" t="s">
        <v>61</v>
      </c>
      <c r="H29" s="3" t="s">
        <v>25</v>
      </c>
      <c r="I29" s="6">
        <v>44440</v>
      </c>
      <c r="J29" s="4">
        <v>3130</v>
      </c>
      <c r="K29" s="4">
        <v>1565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3" t="s">
        <v>58</v>
      </c>
      <c r="R29" s="3">
        <v>30494</v>
      </c>
      <c r="S29" s="3" t="s">
        <v>123</v>
      </c>
      <c r="U29" s="3">
        <v>1</v>
      </c>
      <c r="V29" s="3">
        <v>0</v>
      </c>
      <c r="W29" s="3">
        <v>0</v>
      </c>
    </row>
    <row r="30" spans="1:23" ht="11.25" customHeight="1" x14ac:dyDescent="0.3">
      <c r="A30" s="3" t="s">
        <v>21</v>
      </c>
      <c r="B30" s="3" t="s">
        <v>34</v>
      </c>
      <c r="C30" s="3" t="s">
        <v>56</v>
      </c>
      <c r="D30" s="3" t="s">
        <v>25</v>
      </c>
      <c r="E30" s="3" t="s">
        <v>25</v>
      </c>
      <c r="F30" s="3" t="s">
        <v>25</v>
      </c>
      <c r="G30" s="3" t="s">
        <v>62</v>
      </c>
      <c r="H30" s="3" t="s">
        <v>25</v>
      </c>
      <c r="I30" s="6">
        <v>44440</v>
      </c>
      <c r="J30" s="4">
        <v>500</v>
      </c>
      <c r="K30" s="4">
        <v>250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3" t="s">
        <v>58</v>
      </c>
      <c r="R30" s="3">
        <v>27182</v>
      </c>
      <c r="S30" s="3" t="s">
        <v>123</v>
      </c>
      <c r="U30" s="3">
        <v>1</v>
      </c>
      <c r="V30" s="3">
        <v>0</v>
      </c>
      <c r="W30" s="3">
        <v>0</v>
      </c>
    </row>
    <row r="31" spans="1:23" ht="11.25" customHeight="1" x14ac:dyDescent="0.3">
      <c r="A31" s="3" t="s">
        <v>21</v>
      </c>
      <c r="B31" s="3" t="s">
        <v>34</v>
      </c>
      <c r="C31" s="3" t="s">
        <v>56</v>
      </c>
      <c r="D31" s="3" t="s">
        <v>25</v>
      </c>
      <c r="E31" s="3" t="s">
        <v>25</v>
      </c>
      <c r="F31" s="3" t="s">
        <v>25</v>
      </c>
      <c r="G31" s="3" t="s">
        <v>57</v>
      </c>
      <c r="H31" s="3" t="s">
        <v>25</v>
      </c>
      <c r="I31" s="6">
        <v>44470</v>
      </c>
      <c r="J31" s="4">
        <v>6000</v>
      </c>
      <c r="K31" s="4">
        <v>3000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3" t="s">
        <v>58</v>
      </c>
      <c r="R31" s="3">
        <v>659</v>
      </c>
      <c r="S31" s="3" t="s">
        <v>124</v>
      </c>
      <c r="U31" s="3">
        <v>1</v>
      </c>
      <c r="V31" s="3">
        <v>0</v>
      </c>
      <c r="W31" s="3">
        <v>0</v>
      </c>
    </row>
    <row r="32" spans="1:23" ht="11.25" customHeight="1" x14ac:dyDescent="0.3">
      <c r="A32" s="3" t="s">
        <v>21</v>
      </c>
      <c r="B32" s="3" t="s">
        <v>34</v>
      </c>
      <c r="C32" s="3" t="s">
        <v>56</v>
      </c>
      <c r="D32" s="3" t="s">
        <v>25</v>
      </c>
      <c r="E32" s="3" t="s">
        <v>25</v>
      </c>
      <c r="F32" s="3" t="s">
        <v>25</v>
      </c>
      <c r="G32" s="3" t="s">
        <v>59</v>
      </c>
      <c r="H32" s="3" t="s">
        <v>25</v>
      </c>
      <c r="I32" s="6">
        <v>44470</v>
      </c>
      <c r="J32" s="4">
        <v>833</v>
      </c>
      <c r="K32" s="4">
        <v>416.5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3" t="s">
        <v>58</v>
      </c>
      <c r="R32" s="3">
        <v>29592</v>
      </c>
      <c r="S32" s="3" t="s">
        <v>124</v>
      </c>
      <c r="U32" s="3">
        <v>1</v>
      </c>
      <c r="V32" s="3">
        <v>0</v>
      </c>
      <c r="W32" s="3">
        <v>0</v>
      </c>
    </row>
    <row r="33" spans="1:23" ht="11.25" customHeight="1" x14ac:dyDescent="0.3">
      <c r="A33" s="3" t="s">
        <v>21</v>
      </c>
      <c r="B33" s="3" t="s">
        <v>34</v>
      </c>
      <c r="C33" s="3" t="s">
        <v>56</v>
      </c>
      <c r="D33" s="3" t="s">
        <v>25</v>
      </c>
      <c r="E33" s="3" t="s">
        <v>25</v>
      </c>
      <c r="F33" s="3" t="s">
        <v>25</v>
      </c>
      <c r="G33" s="3" t="s">
        <v>60</v>
      </c>
      <c r="H33" s="3" t="s">
        <v>25</v>
      </c>
      <c r="I33" s="6">
        <v>44470</v>
      </c>
      <c r="J33" s="4">
        <v>1000</v>
      </c>
      <c r="K33" s="4">
        <v>500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 t="s">
        <v>58</v>
      </c>
      <c r="R33" s="3">
        <v>30368</v>
      </c>
      <c r="S33" s="3" t="s">
        <v>124</v>
      </c>
      <c r="U33" s="3">
        <v>1</v>
      </c>
      <c r="V33" s="3">
        <v>0</v>
      </c>
      <c r="W33" s="3">
        <v>0</v>
      </c>
    </row>
    <row r="34" spans="1:23" ht="11.25" customHeight="1" x14ac:dyDescent="0.3">
      <c r="A34" s="3" t="s">
        <v>21</v>
      </c>
      <c r="B34" s="3" t="s">
        <v>34</v>
      </c>
      <c r="C34" s="3" t="s">
        <v>56</v>
      </c>
      <c r="D34" s="3" t="s">
        <v>25</v>
      </c>
      <c r="E34" s="3" t="s">
        <v>25</v>
      </c>
      <c r="F34" s="3" t="s">
        <v>25</v>
      </c>
      <c r="G34" s="3" t="s">
        <v>61</v>
      </c>
      <c r="H34" s="3" t="s">
        <v>25</v>
      </c>
      <c r="I34" s="6">
        <v>44470</v>
      </c>
      <c r="J34" s="4">
        <v>3130</v>
      </c>
      <c r="K34" s="4">
        <v>1565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3" t="s">
        <v>58</v>
      </c>
      <c r="R34" s="3">
        <v>30494</v>
      </c>
      <c r="S34" s="3" t="s">
        <v>124</v>
      </c>
      <c r="U34" s="3">
        <v>1</v>
      </c>
      <c r="V34" s="3">
        <v>0</v>
      </c>
      <c r="W34" s="3">
        <v>0</v>
      </c>
    </row>
    <row r="35" spans="1:23" ht="11.25" customHeight="1" x14ac:dyDescent="0.3">
      <c r="A35" s="3" t="s">
        <v>21</v>
      </c>
      <c r="B35" s="3" t="s">
        <v>34</v>
      </c>
      <c r="C35" s="3" t="s">
        <v>56</v>
      </c>
      <c r="D35" s="3" t="s">
        <v>25</v>
      </c>
      <c r="E35" s="3" t="s">
        <v>25</v>
      </c>
      <c r="F35" s="3" t="s">
        <v>25</v>
      </c>
      <c r="G35" s="3" t="s">
        <v>62</v>
      </c>
      <c r="H35" s="3" t="s">
        <v>25</v>
      </c>
      <c r="I35" s="6">
        <v>44470</v>
      </c>
      <c r="J35" s="4">
        <v>500</v>
      </c>
      <c r="K35" s="4">
        <v>250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3" t="s">
        <v>58</v>
      </c>
      <c r="R35" s="3">
        <v>27182</v>
      </c>
      <c r="S35" s="3" t="s">
        <v>124</v>
      </c>
      <c r="U35" s="3">
        <v>1</v>
      </c>
      <c r="V35" s="3">
        <v>0</v>
      </c>
      <c r="W35" s="3">
        <v>0</v>
      </c>
    </row>
    <row r="36" spans="1:23" ht="11.25" customHeight="1" x14ac:dyDescent="0.3">
      <c r="A36" s="3" t="s">
        <v>21</v>
      </c>
      <c r="B36" s="3" t="s">
        <v>34</v>
      </c>
      <c r="C36" s="3" t="s">
        <v>56</v>
      </c>
      <c r="D36" s="3" t="s">
        <v>25</v>
      </c>
      <c r="E36" s="3" t="s">
        <v>25</v>
      </c>
      <c r="F36" s="3" t="s">
        <v>25</v>
      </c>
      <c r="G36" s="3" t="s">
        <v>57</v>
      </c>
      <c r="H36" s="3" t="s">
        <v>25</v>
      </c>
      <c r="I36" s="6">
        <v>44501</v>
      </c>
      <c r="J36" s="4">
        <v>6000</v>
      </c>
      <c r="K36" s="4">
        <v>3000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3" t="s">
        <v>58</v>
      </c>
      <c r="R36" s="3">
        <v>659</v>
      </c>
      <c r="S36" s="3" t="s">
        <v>125</v>
      </c>
      <c r="U36" s="3">
        <v>1</v>
      </c>
      <c r="V36" s="3">
        <v>0</v>
      </c>
      <c r="W36" s="3">
        <v>0</v>
      </c>
    </row>
    <row r="37" spans="1:23" ht="11.25" customHeight="1" x14ac:dyDescent="0.3">
      <c r="A37" s="3" t="s">
        <v>21</v>
      </c>
      <c r="B37" s="3" t="s">
        <v>34</v>
      </c>
      <c r="C37" s="3" t="s">
        <v>56</v>
      </c>
      <c r="D37" s="3" t="s">
        <v>25</v>
      </c>
      <c r="E37" s="3" t="s">
        <v>25</v>
      </c>
      <c r="F37" s="3" t="s">
        <v>25</v>
      </c>
      <c r="G37" s="3" t="s">
        <v>59</v>
      </c>
      <c r="H37" s="3" t="s">
        <v>25</v>
      </c>
      <c r="I37" s="6">
        <v>44501</v>
      </c>
      <c r="J37" s="4">
        <v>833</v>
      </c>
      <c r="K37" s="4">
        <v>416.5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3" t="s">
        <v>58</v>
      </c>
      <c r="R37" s="3">
        <v>29592</v>
      </c>
      <c r="S37" s="3" t="s">
        <v>125</v>
      </c>
      <c r="U37" s="3">
        <v>1</v>
      </c>
      <c r="V37" s="3">
        <v>0</v>
      </c>
      <c r="W37" s="3">
        <v>0</v>
      </c>
    </row>
    <row r="38" spans="1:23" ht="11.25" customHeight="1" x14ac:dyDescent="0.3">
      <c r="A38" s="3" t="s">
        <v>21</v>
      </c>
      <c r="B38" s="3" t="s">
        <v>34</v>
      </c>
      <c r="C38" s="3" t="s">
        <v>56</v>
      </c>
      <c r="D38" s="3" t="s">
        <v>25</v>
      </c>
      <c r="E38" s="3" t="s">
        <v>25</v>
      </c>
      <c r="F38" s="3" t="s">
        <v>25</v>
      </c>
      <c r="G38" s="3" t="s">
        <v>60</v>
      </c>
      <c r="H38" s="3" t="s">
        <v>25</v>
      </c>
      <c r="I38" s="6">
        <v>44501</v>
      </c>
      <c r="J38" s="4">
        <v>1000</v>
      </c>
      <c r="K38" s="4">
        <v>500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3" t="s">
        <v>58</v>
      </c>
      <c r="R38" s="3">
        <v>30368</v>
      </c>
      <c r="S38" s="3" t="s">
        <v>125</v>
      </c>
      <c r="U38" s="3">
        <v>1</v>
      </c>
      <c r="V38" s="3">
        <v>0</v>
      </c>
      <c r="W38" s="3">
        <v>0</v>
      </c>
    </row>
    <row r="39" spans="1:23" ht="11.25" customHeight="1" x14ac:dyDescent="0.3">
      <c r="A39" s="3" t="s">
        <v>21</v>
      </c>
      <c r="B39" s="3" t="s">
        <v>34</v>
      </c>
      <c r="C39" s="3" t="s">
        <v>56</v>
      </c>
      <c r="D39" s="3" t="s">
        <v>25</v>
      </c>
      <c r="E39" s="3" t="s">
        <v>25</v>
      </c>
      <c r="F39" s="3" t="s">
        <v>25</v>
      </c>
      <c r="G39" s="3" t="s">
        <v>61</v>
      </c>
      <c r="H39" s="3" t="s">
        <v>25</v>
      </c>
      <c r="I39" s="6">
        <v>44501</v>
      </c>
      <c r="J39" s="4">
        <v>3130</v>
      </c>
      <c r="K39" s="4">
        <v>1565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3" t="s">
        <v>58</v>
      </c>
      <c r="R39" s="3">
        <v>30494</v>
      </c>
      <c r="S39" s="3" t="s">
        <v>125</v>
      </c>
      <c r="U39" s="3">
        <v>1</v>
      </c>
      <c r="V39" s="3">
        <v>0</v>
      </c>
      <c r="W39" s="3">
        <v>0</v>
      </c>
    </row>
    <row r="40" spans="1:23" ht="11.25" customHeight="1" x14ac:dyDescent="0.3">
      <c r="A40" s="3" t="s">
        <v>21</v>
      </c>
      <c r="B40" s="3" t="s">
        <v>34</v>
      </c>
      <c r="C40" s="3" t="s">
        <v>56</v>
      </c>
      <c r="D40" s="3" t="s">
        <v>25</v>
      </c>
      <c r="E40" s="3" t="s">
        <v>25</v>
      </c>
      <c r="F40" s="3" t="s">
        <v>25</v>
      </c>
      <c r="G40" s="3" t="s">
        <v>62</v>
      </c>
      <c r="H40" s="3" t="s">
        <v>25</v>
      </c>
      <c r="I40" s="6">
        <v>44501</v>
      </c>
      <c r="J40" s="4">
        <v>500</v>
      </c>
      <c r="K40" s="4">
        <v>250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3" t="s">
        <v>58</v>
      </c>
      <c r="R40" s="3">
        <v>27182</v>
      </c>
      <c r="S40" s="3" t="s">
        <v>125</v>
      </c>
      <c r="U40" s="3">
        <v>1</v>
      </c>
      <c r="V40" s="3">
        <v>0</v>
      </c>
      <c r="W40" s="3">
        <v>0</v>
      </c>
    </row>
    <row r="41" spans="1:23" ht="11.25" customHeight="1" x14ac:dyDescent="0.3">
      <c r="A41" s="3" t="s">
        <v>21</v>
      </c>
      <c r="B41" s="3" t="s">
        <v>34</v>
      </c>
      <c r="C41" s="3" t="s">
        <v>56</v>
      </c>
      <c r="D41" s="3" t="s">
        <v>25</v>
      </c>
      <c r="E41" s="3" t="s">
        <v>25</v>
      </c>
      <c r="F41" s="3" t="s">
        <v>25</v>
      </c>
      <c r="G41" s="3" t="s">
        <v>57</v>
      </c>
      <c r="H41" s="3" t="s">
        <v>25</v>
      </c>
      <c r="I41" s="6">
        <v>44531</v>
      </c>
      <c r="J41" s="4">
        <v>6000</v>
      </c>
      <c r="K41" s="4">
        <v>3000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3" t="s">
        <v>58</v>
      </c>
      <c r="R41" s="3">
        <v>659</v>
      </c>
      <c r="S41" s="3" t="s">
        <v>126</v>
      </c>
      <c r="U41" s="3">
        <v>1</v>
      </c>
      <c r="V41" s="3">
        <v>0</v>
      </c>
      <c r="W41" s="3">
        <v>0</v>
      </c>
    </row>
    <row r="42" spans="1:23" ht="11.25" customHeight="1" x14ac:dyDescent="0.3">
      <c r="A42" s="3" t="s">
        <v>21</v>
      </c>
      <c r="B42" s="3" t="s">
        <v>34</v>
      </c>
      <c r="C42" s="3" t="s">
        <v>56</v>
      </c>
      <c r="D42" s="3" t="s">
        <v>25</v>
      </c>
      <c r="E42" s="3" t="s">
        <v>25</v>
      </c>
      <c r="F42" s="3" t="s">
        <v>25</v>
      </c>
      <c r="G42" s="3" t="s">
        <v>59</v>
      </c>
      <c r="H42" s="3" t="s">
        <v>25</v>
      </c>
      <c r="I42" s="6">
        <v>44531</v>
      </c>
      <c r="J42" s="4">
        <v>833</v>
      </c>
      <c r="K42" s="4">
        <v>416.5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3" t="s">
        <v>58</v>
      </c>
      <c r="R42" s="3">
        <v>29592</v>
      </c>
      <c r="S42" s="3" t="s">
        <v>126</v>
      </c>
      <c r="U42" s="3">
        <v>1</v>
      </c>
      <c r="V42" s="3">
        <v>0</v>
      </c>
      <c r="W42" s="3">
        <v>0</v>
      </c>
    </row>
    <row r="43" spans="1:23" ht="11.25" customHeight="1" x14ac:dyDescent="0.3">
      <c r="A43" s="3" t="s">
        <v>21</v>
      </c>
      <c r="B43" s="3" t="s">
        <v>34</v>
      </c>
      <c r="C43" s="3" t="s">
        <v>56</v>
      </c>
      <c r="D43" s="3" t="s">
        <v>25</v>
      </c>
      <c r="E43" s="3" t="s">
        <v>25</v>
      </c>
      <c r="F43" s="3" t="s">
        <v>25</v>
      </c>
      <c r="G43" s="3" t="s">
        <v>60</v>
      </c>
      <c r="H43" s="3" t="s">
        <v>25</v>
      </c>
      <c r="I43" s="6">
        <v>44531</v>
      </c>
      <c r="J43" s="4">
        <v>1000</v>
      </c>
      <c r="K43" s="4">
        <v>500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3" t="s">
        <v>58</v>
      </c>
      <c r="R43" s="3">
        <v>30368</v>
      </c>
      <c r="S43" s="3" t="s">
        <v>126</v>
      </c>
      <c r="U43" s="3">
        <v>1</v>
      </c>
      <c r="V43" s="3">
        <v>0</v>
      </c>
      <c r="W43" s="3">
        <v>0</v>
      </c>
    </row>
    <row r="44" spans="1:23" ht="11.25" customHeight="1" x14ac:dyDescent="0.3">
      <c r="A44" s="3" t="s">
        <v>21</v>
      </c>
      <c r="B44" s="3" t="s">
        <v>34</v>
      </c>
      <c r="C44" s="3" t="s">
        <v>56</v>
      </c>
      <c r="D44" s="3" t="s">
        <v>25</v>
      </c>
      <c r="E44" s="3" t="s">
        <v>25</v>
      </c>
      <c r="F44" s="3" t="s">
        <v>25</v>
      </c>
      <c r="G44" s="3" t="s">
        <v>61</v>
      </c>
      <c r="H44" s="3" t="s">
        <v>25</v>
      </c>
      <c r="I44" s="6">
        <v>44531</v>
      </c>
      <c r="J44" s="4">
        <v>3130</v>
      </c>
      <c r="K44" s="4">
        <v>1565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3" t="s">
        <v>58</v>
      </c>
      <c r="R44" s="3">
        <v>30494</v>
      </c>
      <c r="S44" s="3" t="s">
        <v>126</v>
      </c>
      <c r="U44" s="3">
        <v>1</v>
      </c>
      <c r="V44" s="3">
        <v>0</v>
      </c>
      <c r="W44" s="3">
        <v>0</v>
      </c>
    </row>
    <row r="45" spans="1:23" ht="11.25" customHeight="1" x14ac:dyDescent="0.3">
      <c r="A45" s="3" t="s">
        <v>21</v>
      </c>
      <c r="B45" s="3" t="s">
        <v>34</v>
      </c>
      <c r="C45" s="3" t="s">
        <v>56</v>
      </c>
      <c r="D45" s="3" t="s">
        <v>25</v>
      </c>
      <c r="E45" s="3" t="s">
        <v>25</v>
      </c>
      <c r="F45" s="3" t="s">
        <v>25</v>
      </c>
      <c r="G45" s="3" t="s">
        <v>62</v>
      </c>
      <c r="H45" s="3" t="s">
        <v>25</v>
      </c>
      <c r="I45" s="6">
        <v>44531</v>
      </c>
      <c r="J45" s="4">
        <v>500</v>
      </c>
      <c r="K45" s="4">
        <v>250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3" t="s">
        <v>58</v>
      </c>
      <c r="R45" s="3">
        <v>27182</v>
      </c>
      <c r="S45" s="3" t="s">
        <v>126</v>
      </c>
      <c r="U45" s="3">
        <v>1</v>
      </c>
      <c r="V45" s="3">
        <v>0</v>
      </c>
      <c r="W45" s="3">
        <v>0</v>
      </c>
    </row>
    <row r="46" spans="1:23" ht="11.25" customHeight="1" x14ac:dyDescent="0.3">
      <c r="A46" s="3" t="s">
        <v>21</v>
      </c>
      <c r="B46" s="3" t="s">
        <v>34</v>
      </c>
      <c r="C46" s="3" t="s">
        <v>56</v>
      </c>
      <c r="D46" s="3" t="s">
        <v>25</v>
      </c>
      <c r="E46" s="3" t="s">
        <v>25</v>
      </c>
      <c r="F46" s="3" t="s">
        <v>25</v>
      </c>
      <c r="G46" s="3" t="s">
        <v>57</v>
      </c>
      <c r="H46" s="3" t="s">
        <v>25</v>
      </c>
      <c r="I46" s="6">
        <v>44562</v>
      </c>
      <c r="J46" s="4">
        <v>6000</v>
      </c>
      <c r="K46" s="4">
        <v>3000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3" t="s">
        <v>58</v>
      </c>
      <c r="R46" s="3">
        <v>659</v>
      </c>
      <c r="S46" s="3" t="s">
        <v>127</v>
      </c>
      <c r="U46" s="3">
        <v>1</v>
      </c>
      <c r="V46" s="3">
        <v>0</v>
      </c>
      <c r="W46" s="3">
        <v>0</v>
      </c>
    </row>
    <row r="47" spans="1:23" ht="11.25" customHeight="1" x14ac:dyDescent="0.3">
      <c r="A47" s="3" t="s">
        <v>21</v>
      </c>
      <c r="B47" s="3" t="s">
        <v>34</v>
      </c>
      <c r="C47" s="3" t="s">
        <v>56</v>
      </c>
      <c r="D47" s="3" t="s">
        <v>25</v>
      </c>
      <c r="E47" s="3" t="s">
        <v>25</v>
      </c>
      <c r="F47" s="3" t="s">
        <v>25</v>
      </c>
      <c r="G47" s="3" t="s">
        <v>59</v>
      </c>
      <c r="H47" s="3" t="s">
        <v>25</v>
      </c>
      <c r="I47" s="6">
        <v>44562</v>
      </c>
      <c r="J47" s="4">
        <v>833</v>
      </c>
      <c r="K47" s="4">
        <v>416.5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3" t="s">
        <v>58</v>
      </c>
      <c r="R47" s="3">
        <v>29592</v>
      </c>
      <c r="S47" s="3" t="s">
        <v>127</v>
      </c>
      <c r="U47" s="3">
        <v>1</v>
      </c>
      <c r="V47" s="3">
        <v>0</v>
      </c>
      <c r="W47" s="3">
        <v>0</v>
      </c>
    </row>
    <row r="48" spans="1:23" ht="11.25" customHeight="1" x14ac:dyDescent="0.3">
      <c r="A48" s="3" t="s">
        <v>21</v>
      </c>
      <c r="B48" s="3" t="s">
        <v>34</v>
      </c>
      <c r="C48" s="3" t="s">
        <v>56</v>
      </c>
      <c r="D48" s="3" t="s">
        <v>25</v>
      </c>
      <c r="E48" s="3" t="s">
        <v>25</v>
      </c>
      <c r="F48" s="3" t="s">
        <v>25</v>
      </c>
      <c r="G48" s="3" t="s">
        <v>60</v>
      </c>
      <c r="H48" s="3" t="s">
        <v>25</v>
      </c>
      <c r="I48" s="6">
        <v>44562</v>
      </c>
      <c r="J48" s="4">
        <v>1000</v>
      </c>
      <c r="K48" s="4">
        <v>500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3" t="s">
        <v>58</v>
      </c>
      <c r="R48" s="3">
        <v>30368</v>
      </c>
      <c r="S48" s="3" t="s">
        <v>127</v>
      </c>
      <c r="U48" s="3">
        <v>1</v>
      </c>
      <c r="V48" s="3">
        <v>0</v>
      </c>
      <c r="W48" s="3">
        <v>0</v>
      </c>
    </row>
    <row r="49" spans="1:23" ht="11.25" customHeight="1" x14ac:dyDescent="0.3">
      <c r="A49" s="3" t="s">
        <v>21</v>
      </c>
      <c r="B49" s="3" t="s">
        <v>34</v>
      </c>
      <c r="C49" s="3" t="s">
        <v>56</v>
      </c>
      <c r="D49" s="3" t="s">
        <v>25</v>
      </c>
      <c r="E49" s="3" t="s">
        <v>25</v>
      </c>
      <c r="F49" s="3" t="s">
        <v>25</v>
      </c>
      <c r="G49" s="3" t="s">
        <v>61</v>
      </c>
      <c r="H49" s="3" t="s">
        <v>25</v>
      </c>
      <c r="I49" s="6">
        <v>44562</v>
      </c>
      <c r="J49" s="4">
        <v>3130</v>
      </c>
      <c r="K49" s="4">
        <v>1565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3" t="s">
        <v>58</v>
      </c>
      <c r="R49" s="3">
        <v>30494</v>
      </c>
      <c r="S49" s="3" t="s">
        <v>127</v>
      </c>
      <c r="U49" s="3">
        <v>1</v>
      </c>
      <c r="V49" s="3">
        <v>0</v>
      </c>
      <c r="W49" s="3">
        <v>0</v>
      </c>
    </row>
    <row r="50" spans="1:23" ht="11.25" customHeight="1" x14ac:dyDescent="0.3">
      <c r="A50" s="3" t="s">
        <v>21</v>
      </c>
      <c r="B50" s="3" t="s">
        <v>34</v>
      </c>
      <c r="C50" s="3" t="s">
        <v>56</v>
      </c>
      <c r="D50" s="3" t="s">
        <v>25</v>
      </c>
      <c r="E50" s="3" t="s">
        <v>25</v>
      </c>
      <c r="F50" s="3" t="s">
        <v>25</v>
      </c>
      <c r="G50" s="3" t="s">
        <v>62</v>
      </c>
      <c r="H50" s="3" t="s">
        <v>25</v>
      </c>
      <c r="I50" s="6">
        <v>44562</v>
      </c>
      <c r="J50" s="4">
        <v>500</v>
      </c>
      <c r="K50" s="4">
        <v>250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3" t="s">
        <v>58</v>
      </c>
      <c r="R50" s="3">
        <v>27182</v>
      </c>
      <c r="S50" s="3" t="s">
        <v>127</v>
      </c>
      <c r="U50" s="3">
        <v>1</v>
      </c>
      <c r="V50" s="3">
        <v>0</v>
      </c>
      <c r="W50" s="3">
        <v>0</v>
      </c>
    </row>
    <row r="51" spans="1:23" ht="11.25" customHeight="1" x14ac:dyDescent="0.3">
      <c r="A51" s="3" t="s">
        <v>21</v>
      </c>
      <c r="B51" s="3" t="s">
        <v>34</v>
      </c>
      <c r="C51" s="3" t="s">
        <v>56</v>
      </c>
      <c r="D51" s="3" t="s">
        <v>25</v>
      </c>
      <c r="E51" s="3" t="s">
        <v>25</v>
      </c>
      <c r="F51" s="3" t="s">
        <v>25</v>
      </c>
      <c r="G51" s="3" t="s">
        <v>57</v>
      </c>
      <c r="H51" s="3" t="s">
        <v>25</v>
      </c>
      <c r="I51" s="6">
        <v>44593</v>
      </c>
      <c r="J51" s="4">
        <v>6000</v>
      </c>
      <c r="K51" s="4">
        <v>3000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3" t="s">
        <v>58</v>
      </c>
      <c r="R51" s="3">
        <v>659</v>
      </c>
      <c r="S51" s="3" t="s">
        <v>128</v>
      </c>
      <c r="U51" s="3">
        <v>1</v>
      </c>
      <c r="V51" s="3">
        <v>0</v>
      </c>
      <c r="W51" s="3">
        <v>0</v>
      </c>
    </row>
    <row r="52" spans="1:23" ht="11.25" customHeight="1" x14ac:dyDescent="0.3">
      <c r="A52" s="3" t="s">
        <v>21</v>
      </c>
      <c r="B52" s="3" t="s">
        <v>34</v>
      </c>
      <c r="C52" s="3" t="s">
        <v>56</v>
      </c>
      <c r="D52" s="3" t="s">
        <v>25</v>
      </c>
      <c r="E52" s="3" t="s">
        <v>25</v>
      </c>
      <c r="F52" s="3" t="s">
        <v>25</v>
      </c>
      <c r="G52" s="3" t="s">
        <v>59</v>
      </c>
      <c r="H52" s="3" t="s">
        <v>25</v>
      </c>
      <c r="I52" s="6">
        <v>44593</v>
      </c>
      <c r="J52" s="4">
        <v>833</v>
      </c>
      <c r="K52" s="4">
        <v>416.5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3" t="s">
        <v>58</v>
      </c>
      <c r="R52" s="3">
        <v>29592</v>
      </c>
      <c r="S52" s="3" t="s">
        <v>128</v>
      </c>
      <c r="U52" s="3">
        <v>1</v>
      </c>
      <c r="V52" s="3">
        <v>0</v>
      </c>
      <c r="W52" s="3">
        <v>0</v>
      </c>
    </row>
    <row r="53" spans="1:23" ht="11.25" customHeight="1" x14ac:dyDescent="0.3">
      <c r="A53" s="3" t="s">
        <v>21</v>
      </c>
      <c r="B53" s="3" t="s">
        <v>34</v>
      </c>
      <c r="C53" s="3" t="s">
        <v>56</v>
      </c>
      <c r="D53" s="3" t="s">
        <v>25</v>
      </c>
      <c r="E53" s="3" t="s">
        <v>25</v>
      </c>
      <c r="F53" s="3" t="s">
        <v>25</v>
      </c>
      <c r="G53" s="3" t="s">
        <v>60</v>
      </c>
      <c r="H53" s="3" t="s">
        <v>25</v>
      </c>
      <c r="I53" s="6">
        <v>44593</v>
      </c>
      <c r="J53" s="4">
        <v>1000</v>
      </c>
      <c r="K53" s="4">
        <v>500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3" t="s">
        <v>58</v>
      </c>
      <c r="R53" s="3">
        <v>30368</v>
      </c>
      <c r="S53" s="3" t="s">
        <v>128</v>
      </c>
      <c r="U53" s="3">
        <v>1</v>
      </c>
      <c r="V53" s="3">
        <v>0</v>
      </c>
      <c r="W53" s="3">
        <v>0</v>
      </c>
    </row>
    <row r="54" spans="1:23" ht="11.25" customHeight="1" x14ac:dyDescent="0.3">
      <c r="A54" s="3" t="s">
        <v>21</v>
      </c>
      <c r="B54" s="3" t="s">
        <v>34</v>
      </c>
      <c r="C54" s="3" t="s">
        <v>56</v>
      </c>
      <c r="D54" s="3" t="s">
        <v>25</v>
      </c>
      <c r="E54" s="3" t="s">
        <v>25</v>
      </c>
      <c r="F54" s="3" t="s">
        <v>25</v>
      </c>
      <c r="G54" s="3" t="s">
        <v>61</v>
      </c>
      <c r="H54" s="3" t="s">
        <v>25</v>
      </c>
      <c r="I54" s="6">
        <v>44593</v>
      </c>
      <c r="J54" s="4">
        <v>3130</v>
      </c>
      <c r="K54" s="4">
        <v>1565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3" t="s">
        <v>58</v>
      </c>
      <c r="R54" s="3">
        <v>30494</v>
      </c>
      <c r="S54" s="3" t="s">
        <v>128</v>
      </c>
      <c r="U54" s="3">
        <v>1</v>
      </c>
      <c r="V54" s="3">
        <v>0</v>
      </c>
      <c r="W54" s="3">
        <v>0</v>
      </c>
    </row>
    <row r="55" spans="1:23" ht="11.25" customHeight="1" x14ac:dyDescent="0.3">
      <c r="A55" s="3" t="s">
        <v>21</v>
      </c>
      <c r="B55" s="3" t="s">
        <v>34</v>
      </c>
      <c r="C55" s="3" t="s">
        <v>56</v>
      </c>
      <c r="D55" s="3" t="s">
        <v>25</v>
      </c>
      <c r="E55" s="3" t="s">
        <v>25</v>
      </c>
      <c r="F55" s="3" t="s">
        <v>25</v>
      </c>
      <c r="G55" s="3" t="s">
        <v>62</v>
      </c>
      <c r="H55" s="3" t="s">
        <v>25</v>
      </c>
      <c r="I55" s="6">
        <v>44593</v>
      </c>
      <c r="J55" s="4">
        <v>500</v>
      </c>
      <c r="K55" s="4">
        <v>250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3" t="s">
        <v>58</v>
      </c>
      <c r="R55" s="3">
        <v>27182</v>
      </c>
      <c r="S55" s="3" t="s">
        <v>128</v>
      </c>
      <c r="U55" s="3">
        <v>1</v>
      </c>
      <c r="V55" s="3">
        <v>0</v>
      </c>
      <c r="W55" s="3">
        <v>0</v>
      </c>
    </row>
    <row r="56" spans="1:23" ht="11.25" customHeight="1" x14ac:dyDescent="0.3">
      <c r="A56" s="3" t="s">
        <v>21</v>
      </c>
      <c r="B56" s="3" t="s">
        <v>34</v>
      </c>
      <c r="C56" s="3" t="s">
        <v>56</v>
      </c>
      <c r="D56" s="3" t="s">
        <v>25</v>
      </c>
      <c r="E56" s="3" t="s">
        <v>25</v>
      </c>
      <c r="F56" s="3" t="s">
        <v>25</v>
      </c>
      <c r="G56" s="3" t="s">
        <v>57</v>
      </c>
      <c r="H56" s="3" t="s">
        <v>25</v>
      </c>
      <c r="I56" s="6">
        <v>44621</v>
      </c>
      <c r="J56" s="4">
        <v>6000</v>
      </c>
      <c r="K56" s="4">
        <v>3000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3" t="s">
        <v>58</v>
      </c>
      <c r="R56" s="3">
        <v>659</v>
      </c>
      <c r="S56" s="3" t="s">
        <v>129</v>
      </c>
      <c r="U56" s="3">
        <v>1</v>
      </c>
      <c r="V56" s="3">
        <v>0</v>
      </c>
      <c r="W56" s="3">
        <v>0</v>
      </c>
    </row>
    <row r="57" spans="1:23" ht="11.25" customHeight="1" x14ac:dyDescent="0.3">
      <c r="A57" s="3" t="s">
        <v>21</v>
      </c>
      <c r="B57" s="3" t="s">
        <v>34</v>
      </c>
      <c r="C57" s="3" t="s">
        <v>56</v>
      </c>
      <c r="D57" s="3" t="s">
        <v>25</v>
      </c>
      <c r="E57" s="3" t="s">
        <v>25</v>
      </c>
      <c r="F57" s="3" t="s">
        <v>25</v>
      </c>
      <c r="G57" s="3" t="s">
        <v>59</v>
      </c>
      <c r="H57" s="3" t="s">
        <v>25</v>
      </c>
      <c r="I57" s="6">
        <v>44621</v>
      </c>
      <c r="J57" s="4">
        <v>833</v>
      </c>
      <c r="K57" s="4">
        <v>416.5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3" t="s">
        <v>58</v>
      </c>
      <c r="R57" s="3">
        <v>29592</v>
      </c>
      <c r="S57" s="3" t="s">
        <v>129</v>
      </c>
      <c r="U57" s="3">
        <v>1</v>
      </c>
      <c r="V57" s="3">
        <v>0</v>
      </c>
      <c r="W57" s="3">
        <v>0</v>
      </c>
    </row>
    <row r="58" spans="1:23" ht="11.25" customHeight="1" x14ac:dyDescent="0.3">
      <c r="A58" s="3" t="s">
        <v>21</v>
      </c>
      <c r="B58" s="3" t="s">
        <v>34</v>
      </c>
      <c r="C58" s="3" t="s">
        <v>56</v>
      </c>
      <c r="D58" s="3" t="s">
        <v>25</v>
      </c>
      <c r="E58" s="3" t="s">
        <v>25</v>
      </c>
      <c r="F58" s="3" t="s">
        <v>25</v>
      </c>
      <c r="G58" s="3" t="s">
        <v>60</v>
      </c>
      <c r="H58" s="3" t="s">
        <v>25</v>
      </c>
      <c r="I58" s="6">
        <v>44621</v>
      </c>
      <c r="J58" s="4">
        <v>1000</v>
      </c>
      <c r="K58" s="4">
        <v>500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3" t="s">
        <v>58</v>
      </c>
      <c r="R58" s="3">
        <v>30368</v>
      </c>
      <c r="S58" s="3" t="s">
        <v>129</v>
      </c>
      <c r="U58" s="3">
        <v>1</v>
      </c>
      <c r="V58" s="3">
        <v>0</v>
      </c>
      <c r="W58" s="3">
        <v>0</v>
      </c>
    </row>
    <row r="59" spans="1:23" ht="11.25" customHeight="1" x14ac:dyDescent="0.3">
      <c r="A59" s="3" t="s">
        <v>21</v>
      </c>
      <c r="B59" s="3" t="s">
        <v>34</v>
      </c>
      <c r="C59" s="3" t="s">
        <v>56</v>
      </c>
      <c r="D59" s="3" t="s">
        <v>25</v>
      </c>
      <c r="E59" s="3" t="s">
        <v>25</v>
      </c>
      <c r="F59" s="3" t="s">
        <v>25</v>
      </c>
      <c r="G59" s="3" t="s">
        <v>61</v>
      </c>
      <c r="H59" s="3" t="s">
        <v>25</v>
      </c>
      <c r="I59" s="6">
        <v>44621</v>
      </c>
      <c r="J59" s="4">
        <v>3130</v>
      </c>
      <c r="K59" s="4">
        <v>1565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3" t="s">
        <v>58</v>
      </c>
      <c r="R59" s="3">
        <v>30494</v>
      </c>
      <c r="S59" s="3" t="s">
        <v>129</v>
      </c>
      <c r="U59" s="3">
        <v>1</v>
      </c>
      <c r="V59" s="3">
        <v>0</v>
      </c>
      <c r="W59" s="3">
        <v>0</v>
      </c>
    </row>
    <row r="60" spans="1:23" ht="11.25" customHeight="1" x14ac:dyDescent="0.3">
      <c r="A60" s="3" t="s">
        <v>21</v>
      </c>
      <c r="B60" s="3" t="s">
        <v>34</v>
      </c>
      <c r="C60" s="3" t="s">
        <v>56</v>
      </c>
      <c r="D60" s="3" t="s">
        <v>25</v>
      </c>
      <c r="E60" s="3" t="s">
        <v>25</v>
      </c>
      <c r="F60" s="3" t="s">
        <v>25</v>
      </c>
      <c r="G60" s="3" t="s">
        <v>62</v>
      </c>
      <c r="H60" s="3" t="s">
        <v>25</v>
      </c>
      <c r="I60" s="6">
        <v>44621</v>
      </c>
      <c r="J60" s="4">
        <v>500</v>
      </c>
      <c r="K60" s="4">
        <v>250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3" t="s">
        <v>58</v>
      </c>
      <c r="R60" s="3">
        <v>27182</v>
      </c>
      <c r="S60" s="3" t="s">
        <v>129</v>
      </c>
      <c r="U60" s="3">
        <v>1</v>
      </c>
      <c r="V60" s="3">
        <v>0</v>
      </c>
      <c r="W60" s="3">
        <v>0</v>
      </c>
    </row>
    <row r="61" spans="1:23" ht="11.25" customHeight="1" x14ac:dyDescent="0.3">
      <c r="A61" s="3" t="s">
        <v>21</v>
      </c>
      <c r="B61" s="3" t="s">
        <v>34</v>
      </c>
      <c r="C61" s="3" t="s">
        <v>56</v>
      </c>
      <c r="D61" s="3" t="s">
        <v>25</v>
      </c>
      <c r="E61" s="3" t="s">
        <v>25</v>
      </c>
      <c r="F61" s="3" t="s">
        <v>25</v>
      </c>
      <c r="G61" s="3" t="s">
        <v>57</v>
      </c>
      <c r="H61" s="3" t="s">
        <v>25</v>
      </c>
      <c r="I61" s="6">
        <v>44652</v>
      </c>
      <c r="J61" s="4">
        <v>6000</v>
      </c>
      <c r="K61" s="4">
        <v>3000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3" t="s">
        <v>58</v>
      </c>
      <c r="R61" s="3">
        <v>659</v>
      </c>
      <c r="S61" s="3" t="s">
        <v>130</v>
      </c>
      <c r="U61" s="3">
        <v>1</v>
      </c>
      <c r="V61" s="3">
        <v>0</v>
      </c>
      <c r="W61" s="3">
        <v>0</v>
      </c>
    </row>
    <row r="62" spans="1:23" ht="11.25" customHeight="1" x14ac:dyDescent="0.3">
      <c r="A62" s="3" t="s">
        <v>21</v>
      </c>
      <c r="B62" s="3" t="s">
        <v>34</v>
      </c>
      <c r="C62" s="3" t="s">
        <v>56</v>
      </c>
      <c r="D62" s="3" t="s">
        <v>25</v>
      </c>
      <c r="E62" s="3" t="s">
        <v>25</v>
      </c>
      <c r="F62" s="3" t="s">
        <v>25</v>
      </c>
      <c r="G62" s="3" t="s">
        <v>59</v>
      </c>
      <c r="H62" s="3" t="s">
        <v>25</v>
      </c>
      <c r="I62" s="6">
        <v>44652</v>
      </c>
      <c r="J62" s="4">
        <v>833</v>
      </c>
      <c r="K62" s="4">
        <v>416.5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3" t="s">
        <v>58</v>
      </c>
      <c r="R62" s="3">
        <v>29592</v>
      </c>
      <c r="S62" s="3" t="s">
        <v>130</v>
      </c>
      <c r="U62" s="3">
        <v>1</v>
      </c>
      <c r="V62" s="3">
        <v>0</v>
      </c>
      <c r="W62" s="3">
        <v>0</v>
      </c>
    </row>
    <row r="63" spans="1:23" ht="11.25" customHeight="1" x14ac:dyDescent="0.3">
      <c r="A63" s="3" t="s">
        <v>21</v>
      </c>
      <c r="B63" s="3" t="s">
        <v>34</v>
      </c>
      <c r="C63" s="3" t="s">
        <v>56</v>
      </c>
      <c r="D63" s="3" t="s">
        <v>25</v>
      </c>
      <c r="E63" s="3" t="s">
        <v>25</v>
      </c>
      <c r="F63" s="3" t="s">
        <v>25</v>
      </c>
      <c r="G63" s="3" t="s">
        <v>60</v>
      </c>
      <c r="H63" s="3" t="s">
        <v>25</v>
      </c>
      <c r="I63" s="6">
        <v>44652</v>
      </c>
      <c r="J63" s="4">
        <v>1000</v>
      </c>
      <c r="K63" s="4">
        <v>500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3" t="s">
        <v>58</v>
      </c>
      <c r="R63" s="3">
        <v>30368</v>
      </c>
      <c r="S63" s="3" t="s">
        <v>130</v>
      </c>
      <c r="U63" s="3">
        <v>1</v>
      </c>
      <c r="V63" s="3">
        <v>0</v>
      </c>
      <c r="W63" s="3">
        <v>0</v>
      </c>
    </row>
    <row r="64" spans="1:23" ht="11.25" customHeight="1" x14ac:dyDescent="0.3">
      <c r="A64" s="3" t="s">
        <v>21</v>
      </c>
      <c r="B64" s="3" t="s">
        <v>34</v>
      </c>
      <c r="C64" s="3" t="s">
        <v>56</v>
      </c>
      <c r="D64" s="3" t="s">
        <v>25</v>
      </c>
      <c r="E64" s="3" t="s">
        <v>25</v>
      </c>
      <c r="F64" s="3" t="s">
        <v>25</v>
      </c>
      <c r="G64" s="3" t="s">
        <v>61</v>
      </c>
      <c r="H64" s="3" t="s">
        <v>25</v>
      </c>
      <c r="I64" s="6">
        <v>44652</v>
      </c>
      <c r="J64" s="4">
        <v>3130</v>
      </c>
      <c r="K64" s="4">
        <v>1565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3" t="s">
        <v>58</v>
      </c>
      <c r="R64" s="3">
        <v>30494</v>
      </c>
      <c r="S64" s="3" t="s">
        <v>130</v>
      </c>
      <c r="U64" s="3">
        <v>1</v>
      </c>
      <c r="V64" s="3">
        <v>0</v>
      </c>
      <c r="W64" s="3">
        <v>0</v>
      </c>
    </row>
    <row r="65" spans="1:23" ht="11.25" customHeight="1" x14ac:dyDescent="0.3">
      <c r="A65" s="3" t="s">
        <v>21</v>
      </c>
      <c r="B65" s="3" t="s">
        <v>34</v>
      </c>
      <c r="C65" s="3" t="s">
        <v>56</v>
      </c>
      <c r="D65" s="3" t="s">
        <v>25</v>
      </c>
      <c r="E65" s="3" t="s">
        <v>25</v>
      </c>
      <c r="F65" s="3" t="s">
        <v>25</v>
      </c>
      <c r="G65" s="3" t="s">
        <v>62</v>
      </c>
      <c r="H65" s="3" t="s">
        <v>25</v>
      </c>
      <c r="I65" s="6">
        <v>44652</v>
      </c>
      <c r="J65" s="4">
        <v>500</v>
      </c>
      <c r="K65" s="4">
        <v>250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3" t="s">
        <v>58</v>
      </c>
      <c r="R65" s="3">
        <v>27182</v>
      </c>
      <c r="S65" s="3" t="s">
        <v>130</v>
      </c>
      <c r="U65" s="3">
        <v>1</v>
      </c>
      <c r="V65" s="3">
        <v>0</v>
      </c>
      <c r="W65" s="3">
        <v>0</v>
      </c>
    </row>
    <row r="66" spans="1:23" ht="11.25" customHeight="1" x14ac:dyDescent="0.3">
      <c r="A66" s="3" t="s">
        <v>21</v>
      </c>
      <c r="B66" s="3" t="s">
        <v>34</v>
      </c>
      <c r="C66" s="3" t="s">
        <v>56</v>
      </c>
      <c r="D66" s="3" t="s">
        <v>25</v>
      </c>
      <c r="E66" s="3" t="s">
        <v>25</v>
      </c>
      <c r="F66" s="3" t="s">
        <v>25</v>
      </c>
      <c r="G66" s="3" t="s">
        <v>57</v>
      </c>
      <c r="H66" s="3" t="s">
        <v>25</v>
      </c>
      <c r="I66" s="6">
        <v>44682</v>
      </c>
      <c r="J66" s="4">
        <v>6000</v>
      </c>
      <c r="K66" s="4">
        <v>3000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3" t="s">
        <v>58</v>
      </c>
      <c r="R66" s="3">
        <v>659</v>
      </c>
      <c r="S66" s="3" t="s">
        <v>131</v>
      </c>
      <c r="U66" s="3">
        <v>1</v>
      </c>
      <c r="V66" s="3">
        <v>0</v>
      </c>
      <c r="W66" s="3">
        <v>0</v>
      </c>
    </row>
    <row r="67" spans="1:23" ht="11.25" customHeight="1" x14ac:dyDescent="0.3">
      <c r="A67" s="3" t="s">
        <v>21</v>
      </c>
      <c r="B67" s="3" t="s">
        <v>34</v>
      </c>
      <c r="C67" s="3" t="s">
        <v>56</v>
      </c>
      <c r="D67" s="3" t="s">
        <v>25</v>
      </c>
      <c r="E67" s="3" t="s">
        <v>25</v>
      </c>
      <c r="F67" s="3" t="s">
        <v>25</v>
      </c>
      <c r="G67" s="3" t="s">
        <v>59</v>
      </c>
      <c r="H67" s="3" t="s">
        <v>25</v>
      </c>
      <c r="I67" s="6">
        <v>44682</v>
      </c>
      <c r="J67" s="4">
        <v>833</v>
      </c>
      <c r="K67" s="4">
        <v>416.5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3" t="s">
        <v>58</v>
      </c>
      <c r="R67" s="3">
        <v>29592</v>
      </c>
      <c r="S67" s="3" t="s">
        <v>131</v>
      </c>
      <c r="U67" s="3">
        <v>1</v>
      </c>
      <c r="V67" s="3">
        <v>0</v>
      </c>
      <c r="W67" s="3">
        <v>0</v>
      </c>
    </row>
    <row r="68" spans="1:23" ht="11.25" customHeight="1" x14ac:dyDescent="0.3">
      <c r="A68" s="3" t="s">
        <v>21</v>
      </c>
      <c r="B68" s="3" t="s">
        <v>34</v>
      </c>
      <c r="C68" s="3" t="s">
        <v>56</v>
      </c>
      <c r="D68" s="3" t="s">
        <v>25</v>
      </c>
      <c r="E68" s="3" t="s">
        <v>25</v>
      </c>
      <c r="F68" s="3" t="s">
        <v>25</v>
      </c>
      <c r="G68" s="3" t="s">
        <v>60</v>
      </c>
      <c r="H68" s="3" t="s">
        <v>25</v>
      </c>
      <c r="I68" s="6">
        <v>44682</v>
      </c>
      <c r="J68" s="4">
        <v>1000</v>
      </c>
      <c r="K68" s="4">
        <v>500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3" t="s">
        <v>58</v>
      </c>
      <c r="R68" s="3">
        <v>30368</v>
      </c>
      <c r="S68" s="3" t="s">
        <v>131</v>
      </c>
      <c r="U68" s="3">
        <v>1</v>
      </c>
      <c r="V68" s="3">
        <v>0</v>
      </c>
      <c r="W68" s="3">
        <v>0</v>
      </c>
    </row>
    <row r="69" spans="1:23" ht="11.25" customHeight="1" x14ac:dyDescent="0.3">
      <c r="A69" s="3" t="s">
        <v>21</v>
      </c>
      <c r="B69" s="3" t="s">
        <v>34</v>
      </c>
      <c r="C69" s="3" t="s">
        <v>56</v>
      </c>
      <c r="D69" s="3" t="s">
        <v>25</v>
      </c>
      <c r="E69" s="3" t="s">
        <v>25</v>
      </c>
      <c r="F69" s="3" t="s">
        <v>25</v>
      </c>
      <c r="G69" s="3" t="s">
        <v>61</v>
      </c>
      <c r="H69" s="3" t="s">
        <v>25</v>
      </c>
      <c r="I69" s="6">
        <v>44682</v>
      </c>
      <c r="J69" s="4">
        <v>3130</v>
      </c>
      <c r="K69" s="4">
        <v>1565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3" t="s">
        <v>58</v>
      </c>
      <c r="R69" s="3">
        <v>30494</v>
      </c>
      <c r="S69" s="3" t="s">
        <v>131</v>
      </c>
      <c r="U69" s="3">
        <v>1</v>
      </c>
      <c r="V69" s="3">
        <v>0</v>
      </c>
      <c r="W69" s="3">
        <v>0</v>
      </c>
    </row>
    <row r="70" spans="1:23" ht="11.25" customHeight="1" x14ac:dyDescent="0.3">
      <c r="A70" s="3" t="s">
        <v>21</v>
      </c>
      <c r="B70" s="3" t="s">
        <v>34</v>
      </c>
      <c r="C70" s="3" t="s">
        <v>56</v>
      </c>
      <c r="D70" s="3" t="s">
        <v>25</v>
      </c>
      <c r="E70" s="3" t="s">
        <v>25</v>
      </c>
      <c r="F70" s="3" t="s">
        <v>25</v>
      </c>
      <c r="G70" s="3" t="s">
        <v>62</v>
      </c>
      <c r="H70" s="3" t="s">
        <v>25</v>
      </c>
      <c r="I70" s="6">
        <v>44682</v>
      </c>
      <c r="J70" s="4">
        <v>500</v>
      </c>
      <c r="K70" s="4">
        <v>250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3" t="s">
        <v>58</v>
      </c>
      <c r="R70" s="3">
        <v>27182</v>
      </c>
      <c r="S70" s="3" t="s">
        <v>131</v>
      </c>
      <c r="U70" s="3">
        <v>1</v>
      </c>
      <c r="V70" s="3">
        <v>0</v>
      </c>
      <c r="W70" s="3">
        <v>0</v>
      </c>
    </row>
    <row r="71" spans="1:23" ht="11.25" customHeight="1" x14ac:dyDescent="0.3">
      <c r="A71" s="3" t="s">
        <v>21</v>
      </c>
      <c r="B71" s="3" t="s">
        <v>34</v>
      </c>
      <c r="C71" s="3" t="s">
        <v>56</v>
      </c>
      <c r="D71" s="3" t="s">
        <v>25</v>
      </c>
      <c r="E71" s="3" t="s">
        <v>25</v>
      </c>
      <c r="F71" s="3" t="s">
        <v>25</v>
      </c>
      <c r="G71" s="3" t="s">
        <v>57</v>
      </c>
      <c r="H71" s="3" t="s">
        <v>25</v>
      </c>
      <c r="I71" s="6">
        <v>44713</v>
      </c>
      <c r="J71" s="4">
        <v>6000</v>
      </c>
      <c r="K71" s="4">
        <v>3000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3" t="s">
        <v>58</v>
      </c>
      <c r="R71" s="3">
        <v>659</v>
      </c>
      <c r="S71" s="3" t="s">
        <v>132</v>
      </c>
      <c r="U71" s="3">
        <v>1</v>
      </c>
      <c r="V71" s="3">
        <v>0</v>
      </c>
      <c r="W71" s="3">
        <v>0</v>
      </c>
    </row>
    <row r="72" spans="1:23" ht="11.25" customHeight="1" x14ac:dyDescent="0.3">
      <c r="A72" s="3" t="s">
        <v>21</v>
      </c>
      <c r="B72" s="3" t="s">
        <v>34</v>
      </c>
      <c r="C72" s="3" t="s">
        <v>56</v>
      </c>
      <c r="D72" s="3" t="s">
        <v>25</v>
      </c>
      <c r="E72" s="3" t="s">
        <v>25</v>
      </c>
      <c r="F72" s="3" t="s">
        <v>25</v>
      </c>
      <c r="G72" s="3" t="s">
        <v>59</v>
      </c>
      <c r="H72" s="3" t="s">
        <v>25</v>
      </c>
      <c r="I72" s="6">
        <v>44713</v>
      </c>
      <c r="J72" s="4">
        <v>833</v>
      </c>
      <c r="K72" s="4">
        <v>416.5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3" t="s">
        <v>58</v>
      </c>
      <c r="R72" s="3">
        <v>29592</v>
      </c>
      <c r="S72" s="3" t="s">
        <v>132</v>
      </c>
      <c r="U72" s="3">
        <v>1</v>
      </c>
      <c r="V72" s="3">
        <v>0</v>
      </c>
      <c r="W72" s="3">
        <v>0</v>
      </c>
    </row>
    <row r="73" spans="1:23" ht="11.25" customHeight="1" x14ac:dyDescent="0.3">
      <c r="A73" s="3" t="s">
        <v>21</v>
      </c>
      <c r="B73" s="3" t="s">
        <v>34</v>
      </c>
      <c r="C73" s="3" t="s">
        <v>56</v>
      </c>
      <c r="D73" s="3" t="s">
        <v>25</v>
      </c>
      <c r="E73" s="3" t="s">
        <v>25</v>
      </c>
      <c r="F73" s="3" t="s">
        <v>25</v>
      </c>
      <c r="G73" s="3" t="s">
        <v>60</v>
      </c>
      <c r="H73" s="3" t="s">
        <v>25</v>
      </c>
      <c r="I73" s="6">
        <v>44713</v>
      </c>
      <c r="J73" s="4">
        <v>1000</v>
      </c>
      <c r="K73" s="4">
        <v>500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3" t="s">
        <v>58</v>
      </c>
      <c r="R73" s="3">
        <v>30368</v>
      </c>
      <c r="S73" s="3" t="s">
        <v>132</v>
      </c>
      <c r="U73" s="3">
        <v>1</v>
      </c>
      <c r="V73" s="3">
        <v>0</v>
      </c>
      <c r="W73" s="3">
        <v>0</v>
      </c>
    </row>
    <row r="74" spans="1:23" ht="11.25" customHeight="1" x14ac:dyDescent="0.3">
      <c r="A74" s="3" t="s">
        <v>21</v>
      </c>
      <c r="B74" s="3" t="s">
        <v>34</v>
      </c>
      <c r="C74" s="3" t="s">
        <v>56</v>
      </c>
      <c r="D74" s="3" t="s">
        <v>25</v>
      </c>
      <c r="E74" s="3" t="s">
        <v>25</v>
      </c>
      <c r="F74" s="3" t="s">
        <v>25</v>
      </c>
      <c r="G74" s="3" t="s">
        <v>61</v>
      </c>
      <c r="H74" s="3" t="s">
        <v>25</v>
      </c>
      <c r="I74" s="6">
        <v>44713</v>
      </c>
      <c r="J74" s="4">
        <v>3130</v>
      </c>
      <c r="K74" s="4">
        <v>1565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3" t="s">
        <v>58</v>
      </c>
      <c r="R74" s="3">
        <v>30494</v>
      </c>
      <c r="S74" s="3" t="s">
        <v>132</v>
      </c>
      <c r="U74" s="3">
        <v>1</v>
      </c>
      <c r="V74" s="3">
        <v>0</v>
      </c>
      <c r="W74" s="3">
        <v>0</v>
      </c>
    </row>
    <row r="75" spans="1:23" ht="11.25" customHeight="1" x14ac:dyDescent="0.3">
      <c r="A75" s="3" t="s">
        <v>21</v>
      </c>
      <c r="B75" s="3" t="s">
        <v>34</v>
      </c>
      <c r="C75" s="3" t="s">
        <v>56</v>
      </c>
      <c r="D75" s="3" t="s">
        <v>25</v>
      </c>
      <c r="E75" s="3" t="s">
        <v>25</v>
      </c>
      <c r="F75" s="3" t="s">
        <v>25</v>
      </c>
      <c r="G75" s="3" t="s">
        <v>62</v>
      </c>
      <c r="H75" s="3" t="s">
        <v>25</v>
      </c>
      <c r="I75" s="6">
        <v>44713</v>
      </c>
      <c r="J75" s="4">
        <v>500</v>
      </c>
      <c r="K75" s="4">
        <v>250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3" t="s">
        <v>58</v>
      </c>
      <c r="R75" s="3">
        <v>27182</v>
      </c>
      <c r="S75" s="3" t="s">
        <v>132</v>
      </c>
      <c r="U75" s="3">
        <v>1</v>
      </c>
      <c r="V75" s="3">
        <v>0</v>
      </c>
      <c r="W75" s="3">
        <v>0</v>
      </c>
    </row>
    <row r="76" spans="1:23" ht="11.25" customHeight="1" x14ac:dyDescent="0.3">
      <c r="A76" s="3" t="s">
        <v>21</v>
      </c>
      <c r="B76" s="3" t="s">
        <v>34</v>
      </c>
      <c r="C76" s="3" t="s">
        <v>56</v>
      </c>
      <c r="D76" s="3" t="s">
        <v>25</v>
      </c>
      <c r="E76" s="3" t="s">
        <v>25</v>
      </c>
      <c r="F76" s="3" t="s">
        <v>25</v>
      </c>
      <c r="G76" s="3" t="s">
        <v>57</v>
      </c>
      <c r="H76" s="3" t="s">
        <v>25</v>
      </c>
      <c r="I76" s="6">
        <v>44743</v>
      </c>
      <c r="J76" s="4">
        <v>6000</v>
      </c>
      <c r="K76" s="4">
        <v>3000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3" t="s">
        <v>58</v>
      </c>
      <c r="R76" s="3">
        <v>659</v>
      </c>
      <c r="S76" s="3" t="s">
        <v>133</v>
      </c>
      <c r="U76" s="3">
        <v>1</v>
      </c>
      <c r="V76" s="3">
        <v>0</v>
      </c>
      <c r="W76" s="3">
        <v>0</v>
      </c>
    </row>
    <row r="77" spans="1:23" ht="11.25" customHeight="1" x14ac:dyDescent="0.3">
      <c r="A77" s="3" t="s">
        <v>21</v>
      </c>
      <c r="B77" s="3" t="s">
        <v>34</v>
      </c>
      <c r="C77" s="3" t="s">
        <v>56</v>
      </c>
      <c r="D77" s="3" t="s">
        <v>25</v>
      </c>
      <c r="E77" s="3" t="s">
        <v>25</v>
      </c>
      <c r="F77" s="3" t="s">
        <v>25</v>
      </c>
      <c r="G77" s="3" t="s">
        <v>59</v>
      </c>
      <c r="H77" s="3" t="s">
        <v>25</v>
      </c>
      <c r="I77" s="6">
        <v>44743</v>
      </c>
      <c r="J77" s="4">
        <v>833</v>
      </c>
      <c r="K77" s="4">
        <v>416.5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3" t="s">
        <v>58</v>
      </c>
      <c r="R77" s="3">
        <v>29592</v>
      </c>
      <c r="S77" s="3" t="s">
        <v>133</v>
      </c>
      <c r="U77" s="3">
        <v>1</v>
      </c>
      <c r="V77" s="3">
        <v>0</v>
      </c>
      <c r="W77" s="3">
        <v>0</v>
      </c>
    </row>
    <row r="78" spans="1:23" ht="11.25" customHeight="1" x14ac:dyDescent="0.3">
      <c r="A78" s="3" t="s">
        <v>21</v>
      </c>
      <c r="B78" s="3" t="s">
        <v>34</v>
      </c>
      <c r="C78" s="3" t="s">
        <v>56</v>
      </c>
      <c r="D78" s="3" t="s">
        <v>25</v>
      </c>
      <c r="E78" s="3" t="s">
        <v>25</v>
      </c>
      <c r="F78" s="3" t="s">
        <v>25</v>
      </c>
      <c r="G78" s="3" t="s">
        <v>60</v>
      </c>
      <c r="H78" s="3" t="s">
        <v>25</v>
      </c>
      <c r="I78" s="6">
        <v>44743</v>
      </c>
      <c r="J78" s="4">
        <v>1000</v>
      </c>
      <c r="K78" s="4">
        <v>500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3" t="s">
        <v>58</v>
      </c>
      <c r="R78" s="3">
        <v>30368</v>
      </c>
      <c r="S78" s="3" t="s">
        <v>133</v>
      </c>
      <c r="U78" s="3">
        <v>1</v>
      </c>
      <c r="V78" s="3">
        <v>0</v>
      </c>
      <c r="W78" s="3">
        <v>0</v>
      </c>
    </row>
    <row r="79" spans="1:23" ht="11.25" customHeight="1" x14ac:dyDescent="0.3">
      <c r="A79" s="3" t="s">
        <v>21</v>
      </c>
      <c r="B79" s="3" t="s">
        <v>34</v>
      </c>
      <c r="C79" s="3" t="s">
        <v>56</v>
      </c>
      <c r="D79" s="3" t="s">
        <v>25</v>
      </c>
      <c r="E79" s="3" t="s">
        <v>25</v>
      </c>
      <c r="F79" s="3" t="s">
        <v>25</v>
      </c>
      <c r="G79" s="3" t="s">
        <v>61</v>
      </c>
      <c r="H79" s="3" t="s">
        <v>25</v>
      </c>
      <c r="I79" s="6">
        <v>44743</v>
      </c>
      <c r="J79" s="4">
        <v>3130</v>
      </c>
      <c r="K79" s="4">
        <v>1565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3" t="s">
        <v>58</v>
      </c>
      <c r="R79" s="3">
        <v>30494</v>
      </c>
      <c r="S79" s="3" t="s">
        <v>133</v>
      </c>
      <c r="U79" s="3">
        <v>1</v>
      </c>
      <c r="V79" s="3">
        <v>0</v>
      </c>
      <c r="W79" s="3">
        <v>0</v>
      </c>
    </row>
    <row r="80" spans="1:23" ht="11.25" customHeight="1" x14ac:dyDescent="0.3">
      <c r="A80" s="3" t="s">
        <v>21</v>
      </c>
      <c r="B80" s="3" t="s">
        <v>34</v>
      </c>
      <c r="C80" s="3" t="s">
        <v>56</v>
      </c>
      <c r="D80" s="3" t="s">
        <v>25</v>
      </c>
      <c r="E80" s="3" t="s">
        <v>25</v>
      </c>
      <c r="F80" s="3" t="s">
        <v>25</v>
      </c>
      <c r="G80" s="3" t="s">
        <v>62</v>
      </c>
      <c r="H80" s="3" t="s">
        <v>25</v>
      </c>
      <c r="I80" s="6">
        <v>44743</v>
      </c>
      <c r="J80" s="4">
        <v>500</v>
      </c>
      <c r="K80" s="4">
        <v>250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3" t="s">
        <v>58</v>
      </c>
      <c r="R80" s="3">
        <v>27182</v>
      </c>
      <c r="S80" s="3" t="s">
        <v>133</v>
      </c>
      <c r="U80" s="3">
        <v>1</v>
      </c>
      <c r="V80" s="3">
        <v>0</v>
      </c>
      <c r="W80" s="3">
        <v>0</v>
      </c>
    </row>
    <row r="81" spans="1:23" ht="11.25" customHeight="1" x14ac:dyDescent="0.3">
      <c r="A81" s="3" t="s">
        <v>53</v>
      </c>
      <c r="B81" s="3" t="s">
        <v>34</v>
      </c>
      <c r="C81" s="3" t="s">
        <v>56</v>
      </c>
      <c r="D81" s="3" t="s">
        <v>25</v>
      </c>
      <c r="E81" s="3" t="s">
        <v>25</v>
      </c>
      <c r="F81" s="3" t="s">
        <v>25</v>
      </c>
      <c r="G81" s="3" t="s">
        <v>57</v>
      </c>
      <c r="H81" s="3" t="s">
        <v>25</v>
      </c>
      <c r="I81" s="6">
        <v>44774</v>
      </c>
      <c r="J81" s="4">
        <v>6000</v>
      </c>
      <c r="K81" s="4">
        <v>3000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3" t="s">
        <v>58</v>
      </c>
      <c r="R81" s="3">
        <v>659</v>
      </c>
      <c r="S81" s="3" t="s">
        <v>134</v>
      </c>
      <c r="U81" s="3">
        <v>1</v>
      </c>
      <c r="V81" s="3">
        <v>0</v>
      </c>
      <c r="W81" s="3">
        <v>0</v>
      </c>
    </row>
    <row r="82" spans="1:23" ht="11.25" customHeight="1" x14ac:dyDescent="0.3">
      <c r="A82" s="3" t="s">
        <v>53</v>
      </c>
      <c r="B82" s="3" t="s">
        <v>34</v>
      </c>
      <c r="C82" s="3" t="s">
        <v>56</v>
      </c>
      <c r="D82" s="3" t="s">
        <v>25</v>
      </c>
      <c r="E82" s="3" t="s">
        <v>25</v>
      </c>
      <c r="F82" s="3" t="s">
        <v>25</v>
      </c>
      <c r="G82" s="3" t="s">
        <v>59</v>
      </c>
      <c r="H82" s="3" t="s">
        <v>25</v>
      </c>
      <c r="I82" s="6">
        <v>44774</v>
      </c>
      <c r="J82" s="4">
        <v>833</v>
      </c>
      <c r="K82" s="4">
        <v>416.5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3" t="s">
        <v>58</v>
      </c>
      <c r="R82" s="3">
        <v>29592</v>
      </c>
      <c r="S82" s="3" t="s">
        <v>134</v>
      </c>
      <c r="U82" s="3">
        <v>1</v>
      </c>
      <c r="V82" s="3">
        <v>0</v>
      </c>
      <c r="W82" s="3">
        <v>0</v>
      </c>
    </row>
    <row r="83" spans="1:23" ht="11.25" customHeight="1" x14ac:dyDescent="0.3">
      <c r="A83" s="3" t="s">
        <v>53</v>
      </c>
      <c r="B83" s="3" t="s">
        <v>34</v>
      </c>
      <c r="C83" s="3" t="s">
        <v>56</v>
      </c>
      <c r="D83" s="3" t="s">
        <v>25</v>
      </c>
      <c r="E83" s="3" t="s">
        <v>25</v>
      </c>
      <c r="F83" s="3" t="s">
        <v>25</v>
      </c>
      <c r="G83" s="3" t="s">
        <v>60</v>
      </c>
      <c r="H83" s="3" t="s">
        <v>25</v>
      </c>
      <c r="I83" s="6">
        <v>44774</v>
      </c>
      <c r="J83" s="4">
        <v>1000</v>
      </c>
      <c r="K83" s="4">
        <v>500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3" t="s">
        <v>58</v>
      </c>
      <c r="R83" s="3">
        <v>30368</v>
      </c>
      <c r="S83" s="3" t="s">
        <v>134</v>
      </c>
      <c r="U83" s="3">
        <v>1</v>
      </c>
      <c r="V83" s="3">
        <v>0</v>
      </c>
      <c r="W83" s="3">
        <v>0</v>
      </c>
    </row>
    <row r="84" spans="1:23" ht="11.25" customHeight="1" x14ac:dyDescent="0.3">
      <c r="A84" s="3" t="s">
        <v>53</v>
      </c>
      <c r="B84" s="3" t="s">
        <v>34</v>
      </c>
      <c r="C84" s="3" t="s">
        <v>56</v>
      </c>
      <c r="D84" s="3" t="s">
        <v>25</v>
      </c>
      <c r="E84" s="3" t="s">
        <v>25</v>
      </c>
      <c r="F84" s="3" t="s">
        <v>25</v>
      </c>
      <c r="G84" s="3" t="s">
        <v>61</v>
      </c>
      <c r="H84" s="3" t="s">
        <v>25</v>
      </c>
      <c r="I84" s="6">
        <v>44774</v>
      </c>
      <c r="J84" s="4">
        <v>3130</v>
      </c>
      <c r="K84" s="4">
        <v>1565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3" t="s">
        <v>58</v>
      </c>
      <c r="R84" s="3">
        <v>30494</v>
      </c>
      <c r="S84" s="3" t="s">
        <v>134</v>
      </c>
      <c r="U84" s="3">
        <v>1</v>
      </c>
      <c r="V84" s="3">
        <v>0</v>
      </c>
      <c r="W84" s="3">
        <v>0</v>
      </c>
    </row>
    <row r="85" spans="1:23" ht="11.25" customHeight="1" x14ac:dyDescent="0.3">
      <c r="A85" s="3" t="s">
        <v>53</v>
      </c>
      <c r="B85" s="3" t="s">
        <v>34</v>
      </c>
      <c r="C85" s="3" t="s">
        <v>56</v>
      </c>
      <c r="D85" s="3" t="s">
        <v>25</v>
      </c>
      <c r="E85" s="3" t="s">
        <v>25</v>
      </c>
      <c r="F85" s="3" t="s">
        <v>25</v>
      </c>
      <c r="G85" s="3" t="s">
        <v>62</v>
      </c>
      <c r="H85" s="3" t="s">
        <v>25</v>
      </c>
      <c r="I85" s="6">
        <v>44774</v>
      </c>
      <c r="J85" s="4">
        <v>500</v>
      </c>
      <c r="K85" s="4">
        <v>250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3" t="s">
        <v>58</v>
      </c>
      <c r="R85" s="3">
        <v>27182</v>
      </c>
      <c r="S85" s="3" t="s">
        <v>134</v>
      </c>
      <c r="U85" s="3">
        <v>1</v>
      </c>
      <c r="V85" s="3">
        <v>0</v>
      </c>
      <c r="W85" s="3">
        <v>0</v>
      </c>
    </row>
    <row r="86" spans="1:23" ht="11.25" customHeight="1" x14ac:dyDescent="0.3">
      <c r="A86" s="3" t="s">
        <v>21</v>
      </c>
      <c r="B86" s="3" t="s">
        <v>34</v>
      </c>
      <c r="C86" s="3" t="s">
        <v>38</v>
      </c>
      <c r="D86" s="3" t="s">
        <v>33</v>
      </c>
      <c r="E86" s="3" t="s">
        <v>25</v>
      </c>
      <c r="F86" s="3" t="s">
        <v>54</v>
      </c>
      <c r="G86" s="3" t="s">
        <v>25</v>
      </c>
      <c r="H86" s="3" t="s">
        <v>37</v>
      </c>
      <c r="I86" s="6">
        <v>44440</v>
      </c>
      <c r="J86" s="4">
        <v>0</v>
      </c>
      <c r="K86" s="4">
        <v>0</v>
      </c>
      <c r="L86" s="4">
        <v>443.71600000000001</v>
      </c>
      <c r="M86" s="4">
        <v>0</v>
      </c>
      <c r="N86" s="4">
        <v>0</v>
      </c>
      <c r="O86" s="4">
        <v>0</v>
      </c>
      <c r="P86" s="4">
        <v>0</v>
      </c>
      <c r="Q86" s="3" t="s">
        <v>55</v>
      </c>
      <c r="R86" s="3">
        <v>0</v>
      </c>
      <c r="S86" s="3" t="s">
        <v>135</v>
      </c>
      <c r="U86" s="3">
        <v>0</v>
      </c>
      <c r="V86" s="3">
        <v>3</v>
      </c>
      <c r="W86" s="3">
        <v>0</v>
      </c>
    </row>
    <row r="87" spans="1:23" ht="11.25" customHeight="1" x14ac:dyDescent="0.3">
      <c r="A87" s="3" t="s">
        <v>21</v>
      </c>
      <c r="B87" s="3" t="s">
        <v>34</v>
      </c>
      <c r="C87" s="3" t="s">
        <v>38</v>
      </c>
      <c r="D87" s="3" t="s">
        <v>33</v>
      </c>
      <c r="E87" s="3" t="s">
        <v>25</v>
      </c>
      <c r="F87" s="3" t="s">
        <v>54</v>
      </c>
      <c r="G87" s="3" t="s">
        <v>25</v>
      </c>
      <c r="H87" s="3" t="s">
        <v>37</v>
      </c>
      <c r="I87" s="6">
        <v>44470</v>
      </c>
      <c r="J87" s="4">
        <v>0</v>
      </c>
      <c r="K87" s="4">
        <v>0</v>
      </c>
      <c r="L87" s="4">
        <v>417.69299999999998</v>
      </c>
      <c r="M87" s="4">
        <v>0</v>
      </c>
      <c r="N87" s="4">
        <v>0</v>
      </c>
      <c r="O87" s="4">
        <v>0</v>
      </c>
      <c r="P87" s="4">
        <v>0</v>
      </c>
      <c r="Q87" s="3" t="s">
        <v>55</v>
      </c>
      <c r="R87" s="3">
        <v>0</v>
      </c>
      <c r="S87" s="3" t="s">
        <v>136</v>
      </c>
      <c r="U87" s="3">
        <v>0</v>
      </c>
      <c r="V87" s="3">
        <v>3</v>
      </c>
      <c r="W87" s="3">
        <v>0</v>
      </c>
    </row>
    <row r="88" spans="1:23" ht="11.25" customHeight="1" x14ac:dyDescent="0.3">
      <c r="A88" s="3" t="s">
        <v>21</v>
      </c>
      <c r="B88" s="3" t="s">
        <v>34</v>
      </c>
      <c r="C88" s="3" t="s">
        <v>38</v>
      </c>
      <c r="D88" s="3" t="s">
        <v>33</v>
      </c>
      <c r="E88" s="3" t="s">
        <v>25</v>
      </c>
      <c r="F88" s="3" t="s">
        <v>54</v>
      </c>
      <c r="G88" s="3" t="s">
        <v>25</v>
      </c>
      <c r="H88" s="3" t="s">
        <v>37</v>
      </c>
      <c r="I88" s="6">
        <v>44501</v>
      </c>
      <c r="J88" s="4">
        <v>0</v>
      </c>
      <c r="K88" s="4">
        <v>0</v>
      </c>
      <c r="L88" s="4">
        <v>468.78100000000001</v>
      </c>
      <c r="M88" s="4">
        <v>0</v>
      </c>
      <c r="N88" s="4">
        <v>0</v>
      </c>
      <c r="O88" s="4">
        <v>0</v>
      </c>
      <c r="P88" s="4">
        <v>0</v>
      </c>
      <c r="Q88" s="3" t="s">
        <v>55</v>
      </c>
      <c r="R88" s="3">
        <v>0</v>
      </c>
      <c r="S88" s="3" t="s">
        <v>137</v>
      </c>
      <c r="U88" s="3">
        <v>0</v>
      </c>
      <c r="V88" s="3">
        <v>3</v>
      </c>
      <c r="W88" s="3">
        <v>0</v>
      </c>
    </row>
    <row r="89" spans="1:23" ht="11.25" customHeight="1" x14ac:dyDescent="0.3">
      <c r="A89" s="3" t="s">
        <v>21</v>
      </c>
      <c r="B89" s="3" t="s">
        <v>34</v>
      </c>
      <c r="C89" s="3" t="s">
        <v>38</v>
      </c>
      <c r="D89" s="3" t="s">
        <v>33</v>
      </c>
      <c r="E89" s="3" t="s">
        <v>25</v>
      </c>
      <c r="F89" s="3" t="s">
        <v>54</v>
      </c>
      <c r="G89" s="3" t="s">
        <v>25</v>
      </c>
      <c r="H89" s="3" t="s">
        <v>37</v>
      </c>
      <c r="I89" s="6">
        <v>44531</v>
      </c>
      <c r="J89" s="4">
        <v>0</v>
      </c>
      <c r="K89" s="4">
        <v>0</v>
      </c>
      <c r="L89" s="4">
        <v>527.327</v>
      </c>
      <c r="M89" s="4">
        <v>0</v>
      </c>
      <c r="N89" s="4">
        <v>0</v>
      </c>
      <c r="O89" s="4">
        <v>0</v>
      </c>
      <c r="P89" s="4">
        <v>0</v>
      </c>
      <c r="Q89" s="3" t="s">
        <v>55</v>
      </c>
      <c r="R89" s="3">
        <v>0</v>
      </c>
      <c r="S89" s="3" t="s">
        <v>138</v>
      </c>
      <c r="U89" s="3">
        <v>0</v>
      </c>
      <c r="V89" s="3">
        <v>3</v>
      </c>
      <c r="W89" s="3">
        <v>0</v>
      </c>
    </row>
    <row r="90" spans="1:23" ht="11.25" customHeight="1" x14ac:dyDescent="0.3">
      <c r="A90" s="3" t="s">
        <v>21</v>
      </c>
      <c r="B90" s="3" t="s">
        <v>34</v>
      </c>
      <c r="C90" s="3" t="s">
        <v>38</v>
      </c>
      <c r="D90" s="3" t="s">
        <v>33</v>
      </c>
      <c r="E90" s="3" t="s">
        <v>25</v>
      </c>
      <c r="F90" s="3" t="s">
        <v>54</v>
      </c>
      <c r="G90" s="3" t="s">
        <v>25</v>
      </c>
      <c r="H90" s="3" t="s">
        <v>37</v>
      </c>
      <c r="I90" s="6">
        <v>44562</v>
      </c>
      <c r="J90" s="4">
        <v>0</v>
      </c>
      <c r="K90" s="4">
        <v>0</v>
      </c>
      <c r="L90" s="4">
        <v>499.678</v>
      </c>
      <c r="M90" s="4">
        <v>0</v>
      </c>
      <c r="N90" s="4">
        <v>0</v>
      </c>
      <c r="O90" s="4">
        <v>0</v>
      </c>
      <c r="P90" s="4">
        <v>0</v>
      </c>
      <c r="Q90" s="3" t="s">
        <v>55</v>
      </c>
      <c r="R90" s="3">
        <v>0</v>
      </c>
      <c r="S90" s="3" t="s">
        <v>139</v>
      </c>
      <c r="U90" s="3">
        <v>0</v>
      </c>
      <c r="V90" s="3">
        <v>3</v>
      </c>
      <c r="W90" s="3">
        <v>0</v>
      </c>
    </row>
    <row r="91" spans="1:23" ht="11.25" customHeight="1" x14ac:dyDescent="0.3">
      <c r="A91" s="3" t="s">
        <v>21</v>
      </c>
      <c r="B91" s="3" t="s">
        <v>34</v>
      </c>
      <c r="C91" s="3" t="s">
        <v>38</v>
      </c>
      <c r="D91" s="3" t="s">
        <v>33</v>
      </c>
      <c r="E91" s="3" t="s">
        <v>25</v>
      </c>
      <c r="F91" s="3" t="s">
        <v>54</v>
      </c>
      <c r="G91" s="3" t="s">
        <v>25</v>
      </c>
      <c r="H91" s="3" t="s">
        <v>37</v>
      </c>
      <c r="I91" s="6">
        <v>44593</v>
      </c>
      <c r="J91" s="4">
        <v>0</v>
      </c>
      <c r="K91" s="4">
        <v>0</v>
      </c>
      <c r="L91" s="4">
        <v>418.81700000000001</v>
      </c>
      <c r="M91" s="4">
        <v>0</v>
      </c>
      <c r="N91" s="4">
        <v>0</v>
      </c>
      <c r="O91" s="4">
        <v>0</v>
      </c>
      <c r="P91" s="4">
        <v>0</v>
      </c>
      <c r="Q91" s="3" t="s">
        <v>55</v>
      </c>
      <c r="R91" s="3">
        <v>0</v>
      </c>
      <c r="S91" s="3" t="s">
        <v>140</v>
      </c>
      <c r="U91" s="3">
        <v>0</v>
      </c>
      <c r="V91" s="3">
        <v>3</v>
      </c>
      <c r="W91" s="3">
        <v>0</v>
      </c>
    </row>
    <row r="92" spans="1:23" ht="11.25" customHeight="1" x14ac:dyDescent="0.3">
      <c r="A92" s="3" t="s">
        <v>21</v>
      </c>
      <c r="B92" s="3" t="s">
        <v>34</v>
      </c>
      <c r="C92" s="3" t="s">
        <v>38</v>
      </c>
      <c r="D92" s="3" t="s">
        <v>33</v>
      </c>
      <c r="E92" s="3" t="s">
        <v>25</v>
      </c>
      <c r="F92" s="3" t="s">
        <v>54</v>
      </c>
      <c r="G92" s="3" t="s">
        <v>25</v>
      </c>
      <c r="H92" s="3" t="s">
        <v>37</v>
      </c>
      <c r="I92" s="6">
        <v>44621</v>
      </c>
      <c r="J92" s="4">
        <v>0</v>
      </c>
      <c r="K92" s="4">
        <v>0</v>
      </c>
      <c r="L92" s="4">
        <v>501.51100000000002</v>
      </c>
      <c r="M92" s="4">
        <v>0</v>
      </c>
      <c r="N92" s="4">
        <v>0</v>
      </c>
      <c r="O92" s="4">
        <v>0</v>
      </c>
      <c r="P92" s="4">
        <v>0</v>
      </c>
      <c r="Q92" s="3" t="s">
        <v>55</v>
      </c>
      <c r="R92" s="3">
        <v>0</v>
      </c>
      <c r="S92" s="3" t="s">
        <v>141</v>
      </c>
      <c r="U92" s="3">
        <v>0</v>
      </c>
      <c r="V92" s="3">
        <v>3</v>
      </c>
      <c r="W92" s="3">
        <v>0</v>
      </c>
    </row>
    <row r="93" spans="1:23" ht="11.25" customHeight="1" x14ac:dyDescent="0.3">
      <c r="A93" s="3" t="s">
        <v>21</v>
      </c>
      <c r="B93" s="3" t="s">
        <v>34</v>
      </c>
      <c r="C93" s="3" t="s">
        <v>38</v>
      </c>
      <c r="D93" s="3" t="s">
        <v>33</v>
      </c>
      <c r="E93" s="3" t="s">
        <v>25</v>
      </c>
      <c r="F93" s="3" t="s">
        <v>54</v>
      </c>
      <c r="G93" s="3" t="s">
        <v>25</v>
      </c>
      <c r="H93" s="3" t="s">
        <v>37</v>
      </c>
      <c r="I93" s="6">
        <v>44652</v>
      </c>
      <c r="J93" s="4">
        <v>0</v>
      </c>
      <c r="K93" s="4">
        <v>0</v>
      </c>
      <c r="L93" s="4">
        <v>396.36</v>
      </c>
      <c r="M93" s="4">
        <v>0</v>
      </c>
      <c r="N93" s="4">
        <v>0</v>
      </c>
      <c r="O93" s="4">
        <v>0</v>
      </c>
      <c r="P93" s="4">
        <v>0</v>
      </c>
      <c r="Q93" s="3" t="s">
        <v>55</v>
      </c>
      <c r="R93" s="3">
        <v>0</v>
      </c>
      <c r="S93" s="3" t="s">
        <v>142</v>
      </c>
      <c r="U93" s="3">
        <v>0</v>
      </c>
      <c r="V93" s="3">
        <v>3</v>
      </c>
      <c r="W93" s="3">
        <v>0</v>
      </c>
    </row>
    <row r="94" spans="1:23" ht="11.25" customHeight="1" x14ac:dyDescent="0.3">
      <c r="A94" s="3" t="s">
        <v>21</v>
      </c>
      <c r="B94" s="3" t="s">
        <v>34</v>
      </c>
      <c r="C94" s="3" t="s">
        <v>38</v>
      </c>
      <c r="D94" s="3" t="s">
        <v>33</v>
      </c>
      <c r="E94" s="3" t="s">
        <v>25</v>
      </c>
      <c r="F94" s="3" t="s">
        <v>54</v>
      </c>
      <c r="G94" s="3" t="s">
        <v>25</v>
      </c>
      <c r="H94" s="3" t="s">
        <v>37</v>
      </c>
      <c r="I94" s="6">
        <v>44682</v>
      </c>
      <c r="J94" s="4">
        <v>0</v>
      </c>
      <c r="K94" s="4">
        <v>0</v>
      </c>
      <c r="L94" s="4">
        <v>381.33199999999999</v>
      </c>
      <c r="M94" s="4">
        <v>0</v>
      </c>
      <c r="N94" s="4">
        <v>0</v>
      </c>
      <c r="O94" s="4">
        <v>0</v>
      </c>
      <c r="P94" s="4">
        <v>0</v>
      </c>
      <c r="Q94" s="3" t="s">
        <v>55</v>
      </c>
      <c r="R94" s="3">
        <v>0</v>
      </c>
      <c r="S94" s="3" t="s">
        <v>143</v>
      </c>
      <c r="U94" s="3">
        <v>0</v>
      </c>
      <c r="V94" s="3">
        <v>3</v>
      </c>
      <c r="W94" s="3">
        <v>0</v>
      </c>
    </row>
    <row r="95" spans="1:23" ht="11.25" customHeight="1" x14ac:dyDescent="0.3">
      <c r="A95" s="3" t="s">
        <v>21</v>
      </c>
      <c r="B95" s="3" t="s">
        <v>34</v>
      </c>
      <c r="C95" s="3" t="s">
        <v>38</v>
      </c>
      <c r="D95" s="3" t="s">
        <v>33</v>
      </c>
      <c r="E95" s="3" t="s">
        <v>25</v>
      </c>
      <c r="F95" s="3" t="s">
        <v>54</v>
      </c>
      <c r="G95" s="3" t="s">
        <v>25</v>
      </c>
      <c r="H95" s="3" t="s">
        <v>37</v>
      </c>
      <c r="I95" s="6">
        <v>44713</v>
      </c>
      <c r="J95" s="4">
        <v>0</v>
      </c>
      <c r="K95" s="4">
        <v>0</v>
      </c>
      <c r="L95" s="4">
        <v>352.99900000000002</v>
      </c>
      <c r="M95" s="4">
        <v>0</v>
      </c>
      <c r="N95" s="4">
        <v>0</v>
      </c>
      <c r="O95" s="4">
        <v>0</v>
      </c>
      <c r="P95" s="4">
        <v>0</v>
      </c>
      <c r="Q95" s="3" t="s">
        <v>55</v>
      </c>
      <c r="R95" s="3">
        <v>0</v>
      </c>
      <c r="S95" s="3" t="s">
        <v>144</v>
      </c>
      <c r="U95" s="3">
        <v>0</v>
      </c>
      <c r="V95" s="3">
        <v>3</v>
      </c>
      <c r="W95" s="3">
        <v>0</v>
      </c>
    </row>
    <row r="96" spans="1:23" ht="11.25" customHeight="1" x14ac:dyDescent="0.3">
      <c r="A96" s="3" t="s">
        <v>21</v>
      </c>
      <c r="B96" s="3" t="s">
        <v>34</v>
      </c>
      <c r="C96" s="3" t="s">
        <v>38</v>
      </c>
      <c r="D96" s="3" t="s">
        <v>33</v>
      </c>
      <c r="E96" s="3" t="s">
        <v>25</v>
      </c>
      <c r="F96" s="3" t="s">
        <v>54</v>
      </c>
      <c r="G96" s="3" t="s">
        <v>25</v>
      </c>
      <c r="H96" s="3" t="s">
        <v>37</v>
      </c>
      <c r="I96" s="6">
        <v>44743</v>
      </c>
      <c r="J96" s="4">
        <v>0</v>
      </c>
      <c r="K96" s="4">
        <v>0</v>
      </c>
      <c r="L96" s="4">
        <v>494.959</v>
      </c>
      <c r="M96" s="4">
        <v>0</v>
      </c>
      <c r="N96" s="4">
        <v>0</v>
      </c>
      <c r="O96" s="4">
        <v>0</v>
      </c>
      <c r="P96" s="4">
        <v>0</v>
      </c>
      <c r="Q96" s="3" t="s">
        <v>55</v>
      </c>
      <c r="R96" s="3">
        <v>0</v>
      </c>
      <c r="S96" s="3" t="s">
        <v>145</v>
      </c>
      <c r="U96" s="3">
        <v>0</v>
      </c>
      <c r="V96" s="3">
        <v>3</v>
      </c>
      <c r="W96" s="3">
        <v>0</v>
      </c>
    </row>
    <row r="97" spans="1:23" ht="11.25" customHeight="1" x14ac:dyDescent="0.3">
      <c r="A97" s="3" t="s">
        <v>53</v>
      </c>
      <c r="B97" s="3" t="s">
        <v>34</v>
      </c>
      <c r="C97" s="3" t="s">
        <v>38</v>
      </c>
      <c r="D97" s="3" t="s">
        <v>33</v>
      </c>
      <c r="E97" s="3" t="s">
        <v>25</v>
      </c>
      <c r="F97" s="3" t="s">
        <v>54</v>
      </c>
      <c r="G97" s="3" t="s">
        <v>25</v>
      </c>
      <c r="H97" s="3" t="s">
        <v>37</v>
      </c>
      <c r="I97" s="6">
        <v>44774</v>
      </c>
      <c r="J97" s="4">
        <v>0</v>
      </c>
      <c r="K97" s="4">
        <v>0</v>
      </c>
      <c r="L97" s="4">
        <v>494.959</v>
      </c>
      <c r="M97" s="4">
        <v>0</v>
      </c>
      <c r="N97" s="4">
        <v>0</v>
      </c>
      <c r="O97" s="4">
        <v>0</v>
      </c>
      <c r="P97" s="4">
        <v>0</v>
      </c>
      <c r="Q97" s="3" t="s">
        <v>55</v>
      </c>
      <c r="R97" s="3">
        <v>0</v>
      </c>
      <c r="S97" s="3" t="s">
        <v>146</v>
      </c>
      <c r="U97" s="3">
        <v>0</v>
      </c>
      <c r="V97" s="3">
        <v>3</v>
      </c>
      <c r="W97" s="3">
        <v>0</v>
      </c>
    </row>
    <row r="98" spans="1:23" ht="11.25" customHeight="1" x14ac:dyDescent="0.3">
      <c r="A98" s="3" t="s">
        <v>21</v>
      </c>
      <c r="B98" s="3" t="s">
        <v>34</v>
      </c>
      <c r="C98" s="3" t="s">
        <v>38</v>
      </c>
      <c r="D98" s="3" t="s">
        <v>33</v>
      </c>
      <c r="E98" s="3" t="s">
        <v>25</v>
      </c>
      <c r="F98" s="3" t="s">
        <v>54</v>
      </c>
      <c r="G98" s="3" t="s">
        <v>25</v>
      </c>
      <c r="H98" s="3" t="s">
        <v>25</v>
      </c>
      <c r="I98" s="6">
        <v>44440</v>
      </c>
      <c r="J98" s="4">
        <v>1446</v>
      </c>
      <c r="K98" s="4">
        <v>320.05078595999998</v>
      </c>
      <c r="L98" s="4">
        <v>0</v>
      </c>
      <c r="M98" s="4">
        <v>0</v>
      </c>
      <c r="N98" s="4">
        <v>0</v>
      </c>
      <c r="O98" s="4">
        <v>0</v>
      </c>
      <c r="P98" s="4">
        <v>2</v>
      </c>
      <c r="Q98" s="3" t="s">
        <v>55</v>
      </c>
      <c r="R98" s="3">
        <v>0</v>
      </c>
      <c r="S98" s="3" t="s">
        <v>147</v>
      </c>
      <c r="U98" s="3">
        <v>5</v>
      </c>
      <c r="V98" s="3">
        <v>0</v>
      </c>
      <c r="W98" s="3">
        <v>0</v>
      </c>
    </row>
    <row r="99" spans="1:23" ht="11.25" customHeight="1" x14ac:dyDescent="0.3">
      <c r="A99" s="3" t="s">
        <v>21</v>
      </c>
      <c r="B99" s="3" t="s">
        <v>34</v>
      </c>
      <c r="C99" s="3" t="s">
        <v>38</v>
      </c>
      <c r="D99" s="3" t="s">
        <v>33</v>
      </c>
      <c r="E99" s="3" t="s">
        <v>25</v>
      </c>
      <c r="F99" s="3" t="s">
        <v>54</v>
      </c>
      <c r="G99" s="3" t="s">
        <v>25</v>
      </c>
      <c r="H99" s="3" t="s">
        <v>25</v>
      </c>
      <c r="I99" s="6">
        <v>44470</v>
      </c>
      <c r="J99" s="4">
        <v>1460</v>
      </c>
      <c r="K99" s="4">
        <v>329.7212462</v>
      </c>
      <c r="L99" s="4">
        <v>0</v>
      </c>
      <c r="M99" s="4">
        <v>0</v>
      </c>
      <c r="N99" s="4">
        <v>0</v>
      </c>
      <c r="O99" s="4">
        <v>0</v>
      </c>
      <c r="P99" s="4">
        <v>2</v>
      </c>
      <c r="Q99" s="3" t="s">
        <v>55</v>
      </c>
      <c r="R99" s="3">
        <v>0</v>
      </c>
      <c r="S99" s="3" t="s">
        <v>148</v>
      </c>
      <c r="U99" s="3">
        <v>5</v>
      </c>
      <c r="V99" s="3">
        <v>0</v>
      </c>
      <c r="W99" s="3">
        <v>0</v>
      </c>
    </row>
    <row r="100" spans="1:23" ht="11.25" customHeight="1" x14ac:dyDescent="0.3">
      <c r="A100" s="3" t="s">
        <v>21</v>
      </c>
      <c r="B100" s="3" t="s">
        <v>34</v>
      </c>
      <c r="C100" s="3" t="s">
        <v>38</v>
      </c>
      <c r="D100" s="3" t="s">
        <v>33</v>
      </c>
      <c r="E100" s="3" t="s">
        <v>25</v>
      </c>
      <c r="F100" s="3" t="s">
        <v>54</v>
      </c>
      <c r="G100" s="3" t="s">
        <v>25</v>
      </c>
      <c r="H100" s="3" t="s">
        <v>25</v>
      </c>
      <c r="I100" s="6">
        <v>44501</v>
      </c>
      <c r="J100" s="4">
        <v>1661</v>
      </c>
      <c r="K100" s="4">
        <v>398.42132935000001</v>
      </c>
      <c r="L100" s="4">
        <v>0</v>
      </c>
      <c r="M100" s="4">
        <v>0</v>
      </c>
      <c r="N100" s="4">
        <v>0</v>
      </c>
      <c r="O100" s="4">
        <v>0</v>
      </c>
      <c r="P100" s="4">
        <v>2</v>
      </c>
      <c r="Q100" s="3" t="s">
        <v>55</v>
      </c>
      <c r="R100" s="3">
        <v>0</v>
      </c>
      <c r="S100" s="3" t="s">
        <v>149</v>
      </c>
      <c r="U100" s="3">
        <v>5</v>
      </c>
      <c r="V100" s="3">
        <v>0</v>
      </c>
      <c r="W100" s="3">
        <v>0</v>
      </c>
    </row>
    <row r="101" spans="1:23" ht="11.25" customHeight="1" x14ac:dyDescent="0.3">
      <c r="A101" s="3" t="s">
        <v>21</v>
      </c>
      <c r="B101" s="3" t="s">
        <v>34</v>
      </c>
      <c r="C101" s="3" t="s">
        <v>38</v>
      </c>
      <c r="D101" s="3" t="s">
        <v>33</v>
      </c>
      <c r="E101" s="3" t="s">
        <v>25</v>
      </c>
      <c r="F101" s="3" t="s">
        <v>54</v>
      </c>
      <c r="G101" s="3" t="s">
        <v>25</v>
      </c>
      <c r="H101" s="3" t="s">
        <v>25</v>
      </c>
      <c r="I101" s="6">
        <v>44531</v>
      </c>
      <c r="J101" s="4">
        <v>1729</v>
      </c>
      <c r="K101" s="4">
        <v>417.51523723000003</v>
      </c>
      <c r="L101" s="4">
        <v>0</v>
      </c>
      <c r="M101" s="4">
        <v>0</v>
      </c>
      <c r="N101" s="4">
        <v>0</v>
      </c>
      <c r="O101" s="4">
        <v>0</v>
      </c>
      <c r="P101" s="4">
        <v>2</v>
      </c>
      <c r="Q101" s="3" t="s">
        <v>55</v>
      </c>
      <c r="R101" s="3">
        <v>0</v>
      </c>
      <c r="S101" s="3" t="s">
        <v>150</v>
      </c>
      <c r="U101" s="3">
        <v>5</v>
      </c>
      <c r="V101" s="3">
        <v>0</v>
      </c>
      <c r="W101" s="3">
        <v>0</v>
      </c>
    </row>
    <row r="102" spans="1:23" ht="11.25" customHeight="1" x14ac:dyDescent="0.3">
      <c r="A102" s="3" t="s">
        <v>21</v>
      </c>
      <c r="B102" s="3" t="s">
        <v>34</v>
      </c>
      <c r="C102" s="3" t="s">
        <v>38</v>
      </c>
      <c r="D102" s="3" t="s">
        <v>33</v>
      </c>
      <c r="E102" s="3" t="s">
        <v>25</v>
      </c>
      <c r="F102" s="3" t="s">
        <v>54</v>
      </c>
      <c r="G102" s="3" t="s">
        <v>25</v>
      </c>
      <c r="H102" s="3" t="s">
        <v>25</v>
      </c>
      <c r="I102" s="6">
        <v>44562</v>
      </c>
      <c r="J102" s="4">
        <v>1708</v>
      </c>
      <c r="K102" s="4">
        <v>1253.8952868399999</v>
      </c>
      <c r="L102" s="4">
        <v>0</v>
      </c>
      <c r="M102" s="4">
        <v>0</v>
      </c>
      <c r="N102" s="4">
        <v>0</v>
      </c>
      <c r="O102" s="4">
        <v>0</v>
      </c>
      <c r="P102" s="4">
        <v>2</v>
      </c>
      <c r="Q102" s="3" t="s">
        <v>55</v>
      </c>
      <c r="R102" s="3">
        <v>0</v>
      </c>
      <c r="S102" s="3" t="s">
        <v>151</v>
      </c>
      <c r="U102" s="3">
        <v>5</v>
      </c>
      <c r="V102" s="3">
        <v>0</v>
      </c>
      <c r="W102" s="3">
        <v>0</v>
      </c>
    </row>
    <row r="103" spans="1:23" ht="11.25" customHeight="1" x14ac:dyDescent="0.3">
      <c r="A103" s="3" t="s">
        <v>21</v>
      </c>
      <c r="B103" s="3" t="s">
        <v>34</v>
      </c>
      <c r="C103" s="3" t="s">
        <v>38</v>
      </c>
      <c r="D103" s="3" t="s">
        <v>33</v>
      </c>
      <c r="E103" s="3" t="s">
        <v>25</v>
      </c>
      <c r="F103" s="3" t="s">
        <v>54</v>
      </c>
      <c r="G103" s="3" t="s">
        <v>25</v>
      </c>
      <c r="H103" s="3" t="s">
        <v>25</v>
      </c>
      <c r="I103" s="6">
        <v>44593</v>
      </c>
      <c r="J103" s="4">
        <v>1732</v>
      </c>
      <c r="K103" s="4">
        <v>1732</v>
      </c>
      <c r="L103" s="4">
        <v>0</v>
      </c>
      <c r="M103" s="4">
        <v>0</v>
      </c>
      <c r="N103" s="4">
        <v>0</v>
      </c>
      <c r="O103" s="4">
        <v>0</v>
      </c>
      <c r="P103" s="4">
        <v>2</v>
      </c>
      <c r="Q103" s="3" t="s">
        <v>55</v>
      </c>
      <c r="R103" s="3">
        <v>0</v>
      </c>
      <c r="S103" s="3" t="s">
        <v>152</v>
      </c>
      <c r="U103" s="3">
        <v>5</v>
      </c>
      <c r="V103" s="3">
        <v>0</v>
      </c>
      <c r="W103" s="3">
        <v>0</v>
      </c>
    </row>
    <row r="104" spans="1:23" ht="11.25" customHeight="1" x14ac:dyDescent="0.3">
      <c r="A104" s="3" t="s">
        <v>21</v>
      </c>
      <c r="B104" s="3" t="s">
        <v>34</v>
      </c>
      <c r="C104" s="3" t="s">
        <v>38</v>
      </c>
      <c r="D104" s="3" t="s">
        <v>33</v>
      </c>
      <c r="E104" s="3" t="s">
        <v>25</v>
      </c>
      <c r="F104" s="3" t="s">
        <v>54</v>
      </c>
      <c r="G104" s="3" t="s">
        <v>25</v>
      </c>
      <c r="H104" s="3" t="s">
        <v>25</v>
      </c>
      <c r="I104" s="6">
        <v>44621</v>
      </c>
      <c r="J104" s="4">
        <v>1732</v>
      </c>
      <c r="K104" s="4">
        <v>1331.8529916800001</v>
      </c>
      <c r="L104" s="4">
        <v>0</v>
      </c>
      <c r="M104" s="4">
        <v>0</v>
      </c>
      <c r="N104" s="4">
        <v>0</v>
      </c>
      <c r="O104" s="4">
        <v>0</v>
      </c>
      <c r="P104" s="4">
        <v>2</v>
      </c>
      <c r="Q104" s="3" t="s">
        <v>55</v>
      </c>
      <c r="R104" s="3">
        <v>0</v>
      </c>
      <c r="S104" s="3" t="s">
        <v>153</v>
      </c>
      <c r="U104" s="3">
        <v>5</v>
      </c>
      <c r="V104" s="3">
        <v>0</v>
      </c>
      <c r="W104" s="3">
        <v>0</v>
      </c>
    </row>
    <row r="105" spans="1:23" ht="11.25" customHeight="1" x14ac:dyDescent="0.3">
      <c r="A105" s="3" t="s">
        <v>21</v>
      </c>
      <c r="B105" s="3" t="s">
        <v>34</v>
      </c>
      <c r="C105" s="3" t="s">
        <v>38</v>
      </c>
      <c r="D105" s="3" t="s">
        <v>33</v>
      </c>
      <c r="E105" s="3" t="s">
        <v>25</v>
      </c>
      <c r="F105" s="3" t="s">
        <v>54</v>
      </c>
      <c r="G105" s="3" t="s">
        <v>25</v>
      </c>
      <c r="H105" s="3" t="s">
        <v>25</v>
      </c>
      <c r="I105" s="6">
        <v>44652</v>
      </c>
      <c r="J105" s="4">
        <v>1695</v>
      </c>
      <c r="K105" s="4">
        <v>-273.01080239999999</v>
      </c>
      <c r="L105" s="4">
        <v>0</v>
      </c>
      <c r="M105" s="4">
        <v>0</v>
      </c>
      <c r="N105" s="4">
        <v>0</v>
      </c>
      <c r="O105" s="4">
        <v>0</v>
      </c>
      <c r="P105" s="4">
        <v>2</v>
      </c>
      <c r="Q105" s="3" t="s">
        <v>55</v>
      </c>
      <c r="R105" s="3">
        <v>0</v>
      </c>
      <c r="S105" s="3" t="s">
        <v>154</v>
      </c>
      <c r="U105" s="3">
        <v>5</v>
      </c>
      <c r="V105" s="3">
        <v>0</v>
      </c>
      <c r="W105" s="3">
        <v>0</v>
      </c>
    </row>
    <row r="106" spans="1:23" ht="11.25" customHeight="1" x14ac:dyDescent="0.3">
      <c r="A106" s="3" t="s">
        <v>21</v>
      </c>
      <c r="B106" s="3" t="s">
        <v>34</v>
      </c>
      <c r="C106" s="3" t="s">
        <v>38</v>
      </c>
      <c r="D106" s="3" t="s">
        <v>33</v>
      </c>
      <c r="E106" s="3" t="s">
        <v>25</v>
      </c>
      <c r="F106" s="3" t="s">
        <v>54</v>
      </c>
      <c r="G106" s="3" t="s">
        <v>25</v>
      </c>
      <c r="H106" s="3" t="s">
        <v>25</v>
      </c>
      <c r="I106" s="6">
        <v>44682</v>
      </c>
      <c r="J106" s="4">
        <v>1695</v>
      </c>
      <c r="K106" s="4">
        <v>848.18978025000001</v>
      </c>
      <c r="L106" s="4">
        <v>0</v>
      </c>
      <c r="M106" s="4">
        <v>0</v>
      </c>
      <c r="N106" s="4">
        <v>0</v>
      </c>
      <c r="O106" s="4">
        <v>0</v>
      </c>
      <c r="P106" s="4">
        <v>2</v>
      </c>
      <c r="Q106" s="3" t="s">
        <v>55</v>
      </c>
      <c r="R106" s="3">
        <v>0</v>
      </c>
      <c r="S106" s="3" t="s">
        <v>155</v>
      </c>
      <c r="U106" s="3">
        <v>5</v>
      </c>
      <c r="V106" s="3">
        <v>0</v>
      </c>
      <c r="W106" s="3">
        <v>0</v>
      </c>
    </row>
    <row r="107" spans="1:23" ht="11.25" customHeight="1" x14ac:dyDescent="0.3">
      <c r="A107" s="3" t="s">
        <v>21</v>
      </c>
      <c r="B107" s="3" t="s">
        <v>34</v>
      </c>
      <c r="C107" s="3" t="s">
        <v>38</v>
      </c>
      <c r="D107" s="3" t="s">
        <v>33</v>
      </c>
      <c r="E107" s="3" t="s">
        <v>25</v>
      </c>
      <c r="F107" s="3" t="s">
        <v>54</v>
      </c>
      <c r="G107" s="3" t="s">
        <v>25</v>
      </c>
      <c r="H107" s="3" t="s">
        <v>25</v>
      </c>
      <c r="I107" s="6">
        <v>44713</v>
      </c>
      <c r="J107" s="4">
        <v>1695</v>
      </c>
      <c r="K107" s="4">
        <v>849.64356480000004</v>
      </c>
      <c r="L107" s="4">
        <v>0</v>
      </c>
      <c r="M107" s="4">
        <v>0</v>
      </c>
      <c r="N107" s="4">
        <v>0</v>
      </c>
      <c r="O107" s="4">
        <v>0</v>
      </c>
      <c r="P107" s="4">
        <v>2</v>
      </c>
      <c r="Q107" s="3" t="s">
        <v>55</v>
      </c>
      <c r="R107" s="3">
        <v>0</v>
      </c>
      <c r="S107" s="3" t="s">
        <v>156</v>
      </c>
      <c r="U107" s="3">
        <v>5</v>
      </c>
      <c r="V107" s="3">
        <v>0</v>
      </c>
      <c r="W107" s="3">
        <v>0</v>
      </c>
    </row>
    <row r="108" spans="1:23" ht="11.25" customHeight="1" x14ac:dyDescent="0.3">
      <c r="A108" s="3" t="s">
        <v>21</v>
      </c>
      <c r="B108" s="3" t="s">
        <v>34</v>
      </c>
      <c r="C108" s="3" t="s">
        <v>38</v>
      </c>
      <c r="D108" s="3" t="s">
        <v>33</v>
      </c>
      <c r="E108" s="3" t="s">
        <v>25</v>
      </c>
      <c r="F108" s="3" t="s">
        <v>54</v>
      </c>
      <c r="G108" s="3" t="s">
        <v>25</v>
      </c>
      <c r="H108" s="3" t="s">
        <v>25</v>
      </c>
      <c r="I108" s="6">
        <v>44743</v>
      </c>
      <c r="J108" s="4">
        <v>2195</v>
      </c>
      <c r="K108" s="4">
        <v>1097.4921419</v>
      </c>
      <c r="L108" s="4">
        <v>0</v>
      </c>
      <c r="M108" s="4">
        <v>0</v>
      </c>
      <c r="N108" s="4">
        <v>0</v>
      </c>
      <c r="O108" s="4">
        <v>0</v>
      </c>
      <c r="P108" s="4">
        <v>3</v>
      </c>
      <c r="Q108" s="3" t="s">
        <v>55</v>
      </c>
      <c r="R108" s="3">
        <v>0</v>
      </c>
      <c r="S108" s="3" t="s">
        <v>157</v>
      </c>
      <c r="U108" s="3">
        <v>5</v>
      </c>
      <c r="V108" s="3">
        <v>0</v>
      </c>
      <c r="W108" s="3">
        <v>0</v>
      </c>
    </row>
    <row r="109" spans="1:23" ht="11.25" customHeight="1" x14ac:dyDescent="0.3">
      <c r="A109" s="3" t="s">
        <v>53</v>
      </c>
      <c r="B109" s="3" t="s">
        <v>34</v>
      </c>
      <c r="C109" s="3" t="s">
        <v>38</v>
      </c>
      <c r="D109" s="3" t="s">
        <v>33</v>
      </c>
      <c r="E109" s="3" t="s">
        <v>25</v>
      </c>
      <c r="F109" s="3" t="s">
        <v>54</v>
      </c>
      <c r="G109" s="3" t="s">
        <v>25</v>
      </c>
      <c r="H109" s="3" t="s">
        <v>25</v>
      </c>
      <c r="I109" s="6">
        <v>44774</v>
      </c>
      <c r="J109" s="4">
        <v>2195</v>
      </c>
      <c r="K109" s="4">
        <v>1097.4921419</v>
      </c>
      <c r="L109" s="4">
        <v>0</v>
      </c>
      <c r="M109" s="4">
        <v>0</v>
      </c>
      <c r="N109" s="4">
        <v>0</v>
      </c>
      <c r="O109" s="4">
        <v>0</v>
      </c>
      <c r="P109" s="4">
        <v>3</v>
      </c>
      <c r="Q109" s="3" t="s">
        <v>55</v>
      </c>
      <c r="R109" s="3">
        <v>0</v>
      </c>
      <c r="S109" s="3" t="s">
        <v>158</v>
      </c>
      <c r="U109" s="3">
        <v>5</v>
      </c>
      <c r="V109" s="3">
        <v>0</v>
      </c>
      <c r="W109" s="3">
        <v>0</v>
      </c>
    </row>
    <row r="110" spans="1:23" ht="11.25" customHeight="1" x14ac:dyDescent="0.3">
      <c r="A110" s="3" t="s">
        <v>21</v>
      </c>
      <c r="B110" s="3" t="s">
        <v>34</v>
      </c>
      <c r="C110" s="3" t="s">
        <v>38</v>
      </c>
      <c r="D110" s="3" t="s">
        <v>33</v>
      </c>
      <c r="E110" s="3" t="s">
        <v>25</v>
      </c>
      <c r="F110" s="3" t="s">
        <v>54</v>
      </c>
      <c r="G110" s="3" t="s">
        <v>25</v>
      </c>
      <c r="H110" s="3" t="s">
        <v>36</v>
      </c>
      <c r="I110" s="6">
        <v>44440</v>
      </c>
      <c r="J110" s="4">
        <v>0</v>
      </c>
      <c r="K110" s="4">
        <v>0</v>
      </c>
      <c r="L110" s="4">
        <v>37.640999999999998</v>
      </c>
      <c r="M110" s="4">
        <v>10.969638713129999</v>
      </c>
      <c r="N110" s="4">
        <v>0</v>
      </c>
      <c r="O110" s="4">
        <v>0</v>
      </c>
      <c r="P110" s="4">
        <v>0</v>
      </c>
      <c r="Q110" s="3" t="s">
        <v>55</v>
      </c>
      <c r="R110" s="3">
        <v>0</v>
      </c>
      <c r="S110" s="3" t="s">
        <v>159</v>
      </c>
      <c r="U110" s="3">
        <v>0</v>
      </c>
      <c r="V110" s="3">
        <v>13</v>
      </c>
      <c r="W110" s="3">
        <v>0</v>
      </c>
    </row>
    <row r="111" spans="1:23" ht="11.25" customHeight="1" x14ac:dyDescent="0.3">
      <c r="A111" s="3" t="s">
        <v>21</v>
      </c>
      <c r="B111" s="3" t="s">
        <v>34</v>
      </c>
      <c r="C111" s="3" t="s">
        <v>38</v>
      </c>
      <c r="D111" s="3" t="s">
        <v>33</v>
      </c>
      <c r="E111" s="3" t="s">
        <v>25</v>
      </c>
      <c r="F111" s="3" t="s">
        <v>54</v>
      </c>
      <c r="G111" s="3" t="s">
        <v>25</v>
      </c>
      <c r="H111" s="3" t="s">
        <v>36</v>
      </c>
      <c r="I111" s="6">
        <v>44470</v>
      </c>
      <c r="J111" s="4">
        <v>0</v>
      </c>
      <c r="K111" s="4">
        <v>0</v>
      </c>
      <c r="L111" s="4">
        <v>39.328000000000003</v>
      </c>
      <c r="M111" s="4">
        <v>10.8741566048</v>
      </c>
      <c r="N111" s="4">
        <v>0</v>
      </c>
      <c r="O111" s="4">
        <v>0</v>
      </c>
      <c r="P111" s="4">
        <v>0</v>
      </c>
      <c r="Q111" s="3" t="s">
        <v>55</v>
      </c>
      <c r="R111" s="3">
        <v>0</v>
      </c>
      <c r="S111" s="3" t="s">
        <v>160</v>
      </c>
      <c r="U111" s="3">
        <v>0</v>
      </c>
      <c r="V111" s="3">
        <v>13</v>
      </c>
      <c r="W111" s="3">
        <v>0</v>
      </c>
    </row>
    <row r="112" spans="1:23" ht="11.25" customHeight="1" x14ac:dyDescent="0.3">
      <c r="A112" s="3" t="s">
        <v>21</v>
      </c>
      <c r="B112" s="3" t="s">
        <v>34</v>
      </c>
      <c r="C112" s="3" t="s">
        <v>38</v>
      </c>
      <c r="D112" s="3" t="s">
        <v>33</v>
      </c>
      <c r="E112" s="3" t="s">
        <v>25</v>
      </c>
      <c r="F112" s="3" t="s">
        <v>54</v>
      </c>
      <c r="G112" s="3" t="s">
        <v>25</v>
      </c>
      <c r="H112" s="3" t="s">
        <v>36</v>
      </c>
      <c r="I112" s="6">
        <v>44501</v>
      </c>
      <c r="J112" s="4">
        <v>0</v>
      </c>
      <c r="K112" s="4">
        <v>0</v>
      </c>
      <c r="L112" s="4">
        <v>44.271000000000001</v>
      </c>
      <c r="M112" s="4">
        <v>12.4289017389</v>
      </c>
      <c r="N112" s="4">
        <v>0</v>
      </c>
      <c r="O112" s="4">
        <v>0</v>
      </c>
      <c r="P112" s="4">
        <v>0</v>
      </c>
      <c r="Q112" s="3" t="s">
        <v>55</v>
      </c>
      <c r="R112" s="3">
        <v>0</v>
      </c>
      <c r="S112" s="3" t="s">
        <v>161</v>
      </c>
      <c r="U112" s="3">
        <v>0</v>
      </c>
      <c r="V112" s="3">
        <v>13</v>
      </c>
      <c r="W112" s="3">
        <v>0</v>
      </c>
    </row>
    <row r="113" spans="1:23" ht="11.25" customHeight="1" x14ac:dyDescent="0.3">
      <c r="A113" s="3" t="s">
        <v>21</v>
      </c>
      <c r="B113" s="3" t="s">
        <v>34</v>
      </c>
      <c r="C113" s="3" t="s">
        <v>38</v>
      </c>
      <c r="D113" s="3" t="s">
        <v>33</v>
      </c>
      <c r="E113" s="3" t="s">
        <v>25</v>
      </c>
      <c r="F113" s="3" t="s">
        <v>54</v>
      </c>
      <c r="G113" s="3" t="s">
        <v>25</v>
      </c>
      <c r="H113" s="3" t="s">
        <v>36</v>
      </c>
      <c r="I113" s="6">
        <v>44531</v>
      </c>
      <c r="J113" s="4">
        <v>0</v>
      </c>
      <c r="K113" s="4">
        <v>0</v>
      </c>
      <c r="L113" s="4">
        <v>54.564</v>
      </c>
      <c r="M113" s="4">
        <v>16.19927242608</v>
      </c>
      <c r="N113" s="4">
        <v>0</v>
      </c>
      <c r="O113" s="4">
        <v>0</v>
      </c>
      <c r="P113" s="4">
        <v>0</v>
      </c>
      <c r="Q113" s="3" t="s">
        <v>55</v>
      </c>
      <c r="R113" s="3">
        <v>0</v>
      </c>
      <c r="S113" s="3" t="s">
        <v>162</v>
      </c>
      <c r="U113" s="3">
        <v>0</v>
      </c>
      <c r="V113" s="3">
        <v>13</v>
      </c>
      <c r="W113" s="3">
        <v>0</v>
      </c>
    </row>
    <row r="114" spans="1:23" ht="11.25" customHeight="1" x14ac:dyDescent="0.3">
      <c r="A114" s="3" t="s">
        <v>21</v>
      </c>
      <c r="B114" s="3" t="s">
        <v>34</v>
      </c>
      <c r="C114" s="3" t="s">
        <v>38</v>
      </c>
      <c r="D114" s="3" t="s">
        <v>33</v>
      </c>
      <c r="E114" s="3" t="s">
        <v>25</v>
      </c>
      <c r="F114" s="3" t="s">
        <v>54</v>
      </c>
      <c r="G114" s="3" t="s">
        <v>25</v>
      </c>
      <c r="H114" s="3" t="s">
        <v>36</v>
      </c>
      <c r="I114" s="6">
        <v>44562</v>
      </c>
      <c r="J114" s="4">
        <v>0</v>
      </c>
      <c r="K114" s="4">
        <v>0</v>
      </c>
      <c r="L114" s="4">
        <v>53.856999999999999</v>
      </c>
      <c r="M114" s="4">
        <v>36.89355622742</v>
      </c>
      <c r="N114" s="4">
        <v>0</v>
      </c>
      <c r="O114" s="4">
        <v>0</v>
      </c>
      <c r="P114" s="4">
        <v>0</v>
      </c>
      <c r="Q114" s="3" t="s">
        <v>55</v>
      </c>
      <c r="R114" s="3">
        <v>0</v>
      </c>
      <c r="S114" s="3" t="s">
        <v>163</v>
      </c>
      <c r="U114" s="3">
        <v>0</v>
      </c>
      <c r="V114" s="3">
        <v>13</v>
      </c>
      <c r="W114" s="3">
        <v>0</v>
      </c>
    </row>
    <row r="115" spans="1:23" ht="11.25" customHeight="1" x14ac:dyDescent="0.3">
      <c r="A115" s="3" t="s">
        <v>21</v>
      </c>
      <c r="B115" s="3" t="s">
        <v>34</v>
      </c>
      <c r="C115" s="3" t="s">
        <v>38</v>
      </c>
      <c r="D115" s="3" t="s">
        <v>33</v>
      </c>
      <c r="E115" s="3" t="s">
        <v>25</v>
      </c>
      <c r="F115" s="3" t="s">
        <v>54</v>
      </c>
      <c r="G115" s="3" t="s">
        <v>25</v>
      </c>
      <c r="H115" s="3" t="s">
        <v>36</v>
      </c>
      <c r="I115" s="6">
        <v>44593</v>
      </c>
      <c r="J115" s="4">
        <v>0</v>
      </c>
      <c r="K115" s="4">
        <v>0</v>
      </c>
      <c r="L115" s="4">
        <v>49.462000000000003</v>
      </c>
      <c r="M115" s="4">
        <v>49.462000000000003</v>
      </c>
      <c r="N115" s="4">
        <v>0</v>
      </c>
      <c r="O115" s="4">
        <v>0</v>
      </c>
      <c r="P115" s="4">
        <v>0</v>
      </c>
      <c r="Q115" s="3" t="s">
        <v>55</v>
      </c>
      <c r="R115" s="3">
        <v>0</v>
      </c>
      <c r="S115" s="3" t="s">
        <v>164</v>
      </c>
      <c r="U115" s="3">
        <v>0</v>
      </c>
      <c r="V115" s="3">
        <v>13</v>
      </c>
      <c r="W115" s="3">
        <v>0</v>
      </c>
    </row>
    <row r="116" spans="1:23" ht="11.25" customHeight="1" x14ac:dyDescent="0.3">
      <c r="A116" s="3" t="s">
        <v>21</v>
      </c>
      <c r="B116" s="3" t="s">
        <v>34</v>
      </c>
      <c r="C116" s="3" t="s">
        <v>38</v>
      </c>
      <c r="D116" s="3" t="s">
        <v>33</v>
      </c>
      <c r="E116" s="3" t="s">
        <v>25</v>
      </c>
      <c r="F116" s="3" t="s">
        <v>54</v>
      </c>
      <c r="G116" s="3" t="s">
        <v>25</v>
      </c>
      <c r="H116" s="3" t="s">
        <v>36</v>
      </c>
      <c r="I116" s="6">
        <v>44621</v>
      </c>
      <c r="J116" s="4">
        <v>0</v>
      </c>
      <c r="K116" s="4">
        <v>0</v>
      </c>
      <c r="L116" s="4">
        <v>53.892000000000003</v>
      </c>
      <c r="M116" s="4">
        <v>40.514922909719999</v>
      </c>
      <c r="N116" s="4">
        <v>0</v>
      </c>
      <c r="O116" s="4">
        <v>0</v>
      </c>
      <c r="P116" s="4">
        <v>0</v>
      </c>
      <c r="Q116" s="3" t="s">
        <v>55</v>
      </c>
      <c r="R116" s="3">
        <v>0</v>
      </c>
      <c r="S116" s="3" t="s">
        <v>165</v>
      </c>
      <c r="U116" s="3">
        <v>0</v>
      </c>
      <c r="V116" s="3">
        <v>13</v>
      </c>
      <c r="W116" s="3">
        <v>0</v>
      </c>
    </row>
    <row r="117" spans="1:23" ht="11.25" customHeight="1" x14ac:dyDescent="0.3">
      <c r="A117" s="3" t="s">
        <v>21</v>
      </c>
      <c r="B117" s="3" t="s">
        <v>34</v>
      </c>
      <c r="C117" s="3" t="s">
        <v>38</v>
      </c>
      <c r="D117" s="3" t="s">
        <v>33</v>
      </c>
      <c r="E117" s="3" t="s">
        <v>25</v>
      </c>
      <c r="F117" s="3" t="s">
        <v>54</v>
      </c>
      <c r="G117" s="3" t="s">
        <v>25</v>
      </c>
      <c r="H117" s="3" t="s">
        <v>36</v>
      </c>
      <c r="I117" s="6">
        <v>44652</v>
      </c>
      <c r="J117" s="4">
        <v>0</v>
      </c>
      <c r="K117" s="4">
        <v>0</v>
      </c>
      <c r="L117" s="4">
        <v>32.723999999999997</v>
      </c>
      <c r="M117" s="4">
        <v>-8.8316064601199997</v>
      </c>
      <c r="N117" s="4">
        <v>0</v>
      </c>
      <c r="O117" s="4">
        <v>0</v>
      </c>
      <c r="P117" s="4">
        <v>0</v>
      </c>
      <c r="Q117" s="3" t="s">
        <v>55</v>
      </c>
      <c r="R117" s="3">
        <v>0</v>
      </c>
      <c r="S117" s="3" t="s">
        <v>166</v>
      </c>
      <c r="U117" s="3">
        <v>0</v>
      </c>
      <c r="V117" s="3">
        <v>13</v>
      </c>
      <c r="W117" s="3">
        <v>0</v>
      </c>
    </row>
    <row r="118" spans="1:23" ht="11.25" customHeight="1" x14ac:dyDescent="0.3">
      <c r="A118" s="3" t="s">
        <v>21</v>
      </c>
      <c r="B118" s="3" t="s">
        <v>34</v>
      </c>
      <c r="C118" s="3" t="s">
        <v>38</v>
      </c>
      <c r="D118" s="3" t="s">
        <v>33</v>
      </c>
      <c r="E118" s="3" t="s">
        <v>25</v>
      </c>
      <c r="F118" s="3" t="s">
        <v>54</v>
      </c>
      <c r="G118" s="3" t="s">
        <v>25</v>
      </c>
      <c r="H118" s="3" t="s">
        <v>36</v>
      </c>
      <c r="I118" s="6">
        <v>44682</v>
      </c>
      <c r="J118" s="4">
        <v>0</v>
      </c>
      <c r="K118" s="4">
        <v>0</v>
      </c>
      <c r="L118" s="4">
        <v>26.404</v>
      </c>
      <c r="M118" s="4">
        <v>13.89390018548</v>
      </c>
      <c r="N118" s="4">
        <v>0</v>
      </c>
      <c r="O118" s="4">
        <v>0</v>
      </c>
      <c r="P118" s="4">
        <v>0</v>
      </c>
      <c r="Q118" s="3" t="s">
        <v>55</v>
      </c>
      <c r="R118" s="3">
        <v>0</v>
      </c>
      <c r="S118" s="3" t="s">
        <v>167</v>
      </c>
      <c r="U118" s="3">
        <v>0</v>
      </c>
      <c r="V118" s="3">
        <v>13</v>
      </c>
      <c r="W118" s="3">
        <v>0</v>
      </c>
    </row>
    <row r="119" spans="1:23" ht="11.25" customHeight="1" x14ac:dyDescent="0.3">
      <c r="A119" s="3" t="s">
        <v>21</v>
      </c>
      <c r="B119" s="3" t="s">
        <v>34</v>
      </c>
      <c r="C119" s="3" t="s">
        <v>38</v>
      </c>
      <c r="D119" s="3" t="s">
        <v>33</v>
      </c>
      <c r="E119" s="3" t="s">
        <v>25</v>
      </c>
      <c r="F119" s="3" t="s">
        <v>54</v>
      </c>
      <c r="G119" s="3" t="s">
        <v>25</v>
      </c>
      <c r="H119" s="3" t="s">
        <v>36</v>
      </c>
      <c r="I119" s="6">
        <v>44713</v>
      </c>
      <c r="J119" s="4">
        <v>0</v>
      </c>
      <c r="K119" s="4">
        <v>0</v>
      </c>
      <c r="L119" s="4">
        <v>23.417999999999999</v>
      </c>
      <c r="M119" s="4">
        <v>12.31977609864</v>
      </c>
      <c r="N119" s="4">
        <v>0</v>
      </c>
      <c r="O119" s="4">
        <v>0</v>
      </c>
      <c r="P119" s="4">
        <v>0</v>
      </c>
      <c r="Q119" s="3" t="s">
        <v>55</v>
      </c>
      <c r="R119" s="3">
        <v>0</v>
      </c>
      <c r="S119" s="3" t="s">
        <v>168</v>
      </c>
      <c r="U119" s="3">
        <v>0</v>
      </c>
      <c r="V119" s="3">
        <v>13</v>
      </c>
      <c r="W119" s="3">
        <v>0</v>
      </c>
    </row>
    <row r="120" spans="1:23" ht="11.25" customHeight="1" x14ac:dyDescent="0.3">
      <c r="A120" s="3" t="s">
        <v>21</v>
      </c>
      <c r="B120" s="3" t="s">
        <v>34</v>
      </c>
      <c r="C120" s="3" t="s">
        <v>38</v>
      </c>
      <c r="D120" s="3" t="s">
        <v>33</v>
      </c>
      <c r="E120" s="3" t="s">
        <v>25</v>
      </c>
      <c r="F120" s="3" t="s">
        <v>54</v>
      </c>
      <c r="G120" s="3" t="s">
        <v>25</v>
      </c>
      <c r="H120" s="3" t="s">
        <v>36</v>
      </c>
      <c r="I120" s="6">
        <v>44743</v>
      </c>
      <c r="J120" s="4">
        <v>0</v>
      </c>
      <c r="K120" s="4">
        <v>0</v>
      </c>
      <c r="L120" s="4">
        <v>34.978999999999999</v>
      </c>
      <c r="M120" s="4">
        <v>18.35343897541</v>
      </c>
      <c r="N120" s="4">
        <v>0</v>
      </c>
      <c r="O120" s="4">
        <v>0</v>
      </c>
      <c r="P120" s="4">
        <v>0</v>
      </c>
      <c r="Q120" s="3" t="s">
        <v>55</v>
      </c>
      <c r="R120" s="3">
        <v>0</v>
      </c>
      <c r="S120" s="3" t="s">
        <v>169</v>
      </c>
      <c r="U120" s="3">
        <v>0</v>
      </c>
      <c r="V120" s="3">
        <v>13</v>
      </c>
      <c r="W120" s="3">
        <v>0</v>
      </c>
    </row>
    <row r="121" spans="1:23" ht="11.25" customHeight="1" x14ac:dyDescent="0.3">
      <c r="A121" s="3" t="s">
        <v>53</v>
      </c>
      <c r="B121" s="3" t="s">
        <v>34</v>
      </c>
      <c r="C121" s="3" t="s">
        <v>38</v>
      </c>
      <c r="D121" s="3" t="s">
        <v>33</v>
      </c>
      <c r="E121" s="3" t="s">
        <v>25</v>
      </c>
      <c r="F121" s="3" t="s">
        <v>54</v>
      </c>
      <c r="G121" s="3" t="s">
        <v>25</v>
      </c>
      <c r="H121" s="3" t="s">
        <v>36</v>
      </c>
      <c r="I121" s="6">
        <v>44774</v>
      </c>
      <c r="J121" s="4">
        <v>0</v>
      </c>
      <c r="K121" s="4">
        <v>0</v>
      </c>
      <c r="L121" s="4">
        <v>34.978999999999999</v>
      </c>
      <c r="M121" s="4">
        <v>18.35343897541</v>
      </c>
      <c r="N121" s="4">
        <v>0</v>
      </c>
      <c r="O121" s="4">
        <v>0</v>
      </c>
      <c r="P121" s="4">
        <v>0</v>
      </c>
      <c r="Q121" s="3" t="s">
        <v>55</v>
      </c>
      <c r="R121" s="3">
        <v>0</v>
      </c>
      <c r="S121" s="3" t="s">
        <v>170</v>
      </c>
      <c r="U121" s="3">
        <v>0</v>
      </c>
      <c r="V121" s="3">
        <v>13</v>
      </c>
      <c r="W121" s="3">
        <v>0</v>
      </c>
    </row>
    <row r="122" spans="1:23" ht="11.25" customHeight="1" x14ac:dyDescent="0.3">
      <c r="A122" s="3" t="s">
        <v>21</v>
      </c>
      <c r="B122" s="3" t="s">
        <v>34</v>
      </c>
      <c r="C122" s="3" t="s">
        <v>38</v>
      </c>
      <c r="D122" s="3" t="s">
        <v>33</v>
      </c>
      <c r="E122" s="3" t="s">
        <v>25</v>
      </c>
      <c r="F122" s="3" t="s">
        <v>25</v>
      </c>
      <c r="G122" s="3" t="s">
        <v>25</v>
      </c>
      <c r="H122" s="3" t="s">
        <v>37</v>
      </c>
      <c r="I122" s="6">
        <v>44440</v>
      </c>
      <c r="J122" s="4">
        <v>0</v>
      </c>
      <c r="K122" s="4">
        <v>0</v>
      </c>
      <c r="L122" s="4">
        <v>618.64200000000005</v>
      </c>
      <c r="M122" s="4">
        <v>618.64200000000005</v>
      </c>
      <c r="N122" s="4">
        <v>618.64200000000005</v>
      </c>
      <c r="O122" s="4">
        <v>618.64200000000005</v>
      </c>
      <c r="P122" s="4">
        <v>0</v>
      </c>
      <c r="Q122" s="3" t="s">
        <v>26</v>
      </c>
      <c r="R122" s="3">
        <v>0</v>
      </c>
      <c r="S122" s="3" t="s">
        <v>135</v>
      </c>
      <c r="T122" s="3" t="s">
        <v>268</v>
      </c>
      <c r="U122" s="3">
        <v>0</v>
      </c>
      <c r="V122" s="3">
        <v>3</v>
      </c>
      <c r="W122" s="3">
        <v>62</v>
      </c>
    </row>
    <row r="123" spans="1:23" ht="11.25" customHeight="1" x14ac:dyDescent="0.3">
      <c r="A123" s="3" t="s">
        <v>27</v>
      </c>
      <c r="B123" s="3" t="s">
        <v>34</v>
      </c>
      <c r="C123" s="3" t="s">
        <v>38</v>
      </c>
      <c r="D123" s="3" t="s">
        <v>33</v>
      </c>
      <c r="E123" s="3" t="s">
        <v>25</v>
      </c>
      <c r="F123" s="3" t="s">
        <v>25</v>
      </c>
      <c r="G123" s="3" t="s">
        <v>25</v>
      </c>
      <c r="H123" s="3" t="s">
        <v>37</v>
      </c>
      <c r="I123" s="6">
        <v>44440</v>
      </c>
      <c r="J123" s="4">
        <v>0</v>
      </c>
      <c r="K123" s="4">
        <v>0</v>
      </c>
      <c r="L123" s="4">
        <v>15.182</v>
      </c>
      <c r="M123" s="4">
        <v>15.182</v>
      </c>
      <c r="N123" s="4">
        <v>15.182</v>
      </c>
      <c r="O123" s="4">
        <v>15.182</v>
      </c>
      <c r="P123" s="4">
        <v>0</v>
      </c>
      <c r="Q123" s="3" t="s">
        <v>26</v>
      </c>
      <c r="R123" s="3">
        <v>0</v>
      </c>
      <c r="S123" s="3" t="s">
        <v>135</v>
      </c>
      <c r="T123" s="3" t="s">
        <v>268</v>
      </c>
      <c r="U123" s="3">
        <v>0</v>
      </c>
      <c r="V123" s="3">
        <v>3</v>
      </c>
      <c r="W123" s="3">
        <v>62</v>
      </c>
    </row>
    <row r="124" spans="1:23" ht="11.25" customHeight="1" x14ac:dyDescent="0.3">
      <c r="A124" s="3" t="s">
        <v>21</v>
      </c>
      <c r="B124" s="3" t="s">
        <v>34</v>
      </c>
      <c r="C124" s="3" t="s">
        <v>38</v>
      </c>
      <c r="D124" s="3" t="s">
        <v>33</v>
      </c>
      <c r="E124" s="3" t="s">
        <v>25</v>
      </c>
      <c r="F124" s="3" t="s">
        <v>25</v>
      </c>
      <c r="G124" s="3" t="s">
        <v>25</v>
      </c>
      <c r="H124" s="3" t="s">
        <v>37</v>
      </c>
      <c r="I124" s="6">
        <v>44470</v>
      </c>
      <c r="J124" s="4">
        <v>0</v>
      </c>
      <c r="K124" s="4">
        <v>0</v>
      </c>
      <c r="L124" s="4">
        <v>619.63499999999999</v>
      </c>
      <c r="M124" s="4">
        <v>619.63499999999999</v>
      </c>
      <c r="N124" s="4">
        <v>619.63499999999999</v>
      </c>
      <c r="O124" s="4">
        <v>619.63499999999999</v>
      </c>
      <c r="P124" s="4">
        <v>0</v>
      </c>
      <c r="Q124" s="3" t="s">
        <v>26</v>
      </c>
      <c r="R124" s="3">
        <v>0</v>
      </c>
      <c r="S124" s="3" t="s">
        <v>136</v>
      </c>
      <c r="T124" s="3" t="s">
        <v>269</v>
      </c>
      <c r="U124" s="3">
        <v>0</v>
      </c>
      <c r="V124" s="3">
        <v>3</v>
      </c>
      <c r="W124" s="3">
        <v>62</v>
      </c>
    </row>
    <row r="125" spans="1:23" ht="11.25" customHeight="1" x14ac:dyDescent="0.3">
      <c r="A125" s="3" t="s">
        <v>27</v>
      </c>
      <c r="B125" s="3" t="s">
        <v>34</v>
      </c>
      <c r="C125" s="3" t="s">
        <v>38</v>
      </c>
      <c r="D125" s="3" t="s">
        <v>33</v>
      </c>
      <c r="E125" s="3" t="s">
        <v>25</v>
      </c>
      <c r="F125" s="3" t="s">
        <v>25</v>
      </c>
      <c r="G125" s="3" t="s">
        <v>25</v>
      </c>
      <c r="H125" s="3" t="s">
        <v>37</v>
      </c>
      <c r="I125" s="6">
        <v>44470</v>
      </c>
      <c r="J125" s="4">
        <v>0</v>
      </c>
      <c r="K125" s="4">
        <v>0</v>
      </c>
      <c r="L125" s="4">
        <v>21.727</v>
      </c>
      <c r="M125" s="4">
        <v>21.727</v>
      </c>
      <c r="N125" s="4">
        <v>21.727</v>
      </c>
      <c r="O125" s="4">
        <v>21.727</v>
      </c>
      <c r="P125" s="4">
        <v>0</v>
      </c>
      <c r="Q125" s="3" t="s">
        <v>26</v>
      </c>
      <c r="R125" s="3">
        <v>0</v>
      </c>
      <c r="S125" s="3" t="s">
        <v>136</v>
      </c>
      <c r="T125" s="3" t="s">
        <v>269</v>
      </c>
      <c r="U125" s="3">
        <v>0</v>
      </c>
      <c r="V125" s="3">
        <v>3</v>
      </c>
      <c r="W125" s="3">
        <v>62</v>
      </c>
    </row>
    <row r="126" spans="1:23" ht="11.25" customHeight="1" x14ac:dyDescent="0.3">
      <c r="A126" s="3" t="s">
        <v>21</v>
      </c>
      <c r="B126" s="3" t="s">
        <v>34</v>
      </c>
      <c r="C126" s="3" t="s">
        <v>38</v>
      </c>
      <c r="D126" s="3" t="s">
        <v>33</v>
      </c>
      <c r="E126" s="3" t="s">
        <v>25</v>
      </c>
      <c r="F126" s="3" t="s">
        <v>25</v>
      </c>
      <c r="G126" s="3" t="s">
        <v>25</v>
      </c>
      <c r="H126" s="3" t="s">
        <v>37</v>
      </c>
      <c r="I126" s="6">
        <v>44501</v>
      </c>
      <c r="J126" s="4">
        <v>0</v>
      </c>
      <c r="K126" s="4">
        <v>0</v>
      </c>
      <c r="L126" s="4">
        <v>606.48800000000006</v>
      </c>
      <c r="M126" s="4">
        <v>606.48800000000006</v>
      </c>
      <c r="N126" s="4">
        <v>606.48800000000006</v>
      </c>
      <c r="O126" s="4">
        <v>606.48800000000006</v>
      </c>
      <c r="P126" s="4">
        <v>0</v>
      </c>
      <c r="Q126" s="3" t="s">
        <v>26</v>
      </c>
      <c r="R126" s="3">
        <v>0</v>
      </c>
      <c r="S126" s="3" t="s">
        <v>137</v>
      </c>
      <c r="T126" s="3" t="s">
        <v>270</v>
      </c>
      <c r="U126" s="3">
        <v>0</v>
      </c>
      <c r="V126" s="3">
        <v>3</v>
      </c>
      <c r="W126" s="3">
        <v>62</v>
      </c>
    </row>
    <row r="127" spans="1:23" ht="11.25" customHeight="1" x14ac:dyDescent="0.3">
      <c r="A127" s="3" t="s">
        <v>27</v>
      </c>
      <c r="B127" s="3" t="s">
        <v>34</v>
      </c>
      <c r="C127" s="3" t="s">
        <v>38</v>
      </c>
      <c r="D127" s="3" t="s">
        <v>33</v>
      </c>
      <c r="E127" s="3" t="s">
        <v>25</v>
      </c>
      <c r="F127" s="3" t="s">
        <v>25</v>
      </c>
      <c r="G127" s="3" t="s">
        <v>25</v>
      </c>
      <c r="H127" s="3" t="s">
        <v>37</v>
      </c>
      <c r="I127" s="6">
        <v>44501</v>
      </c>
      <c r="J127" s="4">
        <v>0</v>
      </c>
      <c r="K127" s="4">
        <v>0</v>
      </c>
      <c r="L127" s="4">
        <v>12.654999999999999</v>
      </c>
      <c r="M127" s="4">
        <v>12.654999999999999</v>
      </c>
      <c r="N127" s="4">
        <v>12.654999999999999</v>
      </c>
      <c r="O127" s="4">
        <v>12.654999999999999</v>
      </c>
      <c r="P127" s="4">
        <v>0</v>
      </c>
      <c r="Q127" s="3" t="s">
        <v>26</v>
      </c>
      <c r="R127" s="3">
        <v>0</v>
      </c>
      <c r="S127" s="3" t="s">
        <v>137</v>
      </c>
      <c r="T127" s="3" t="s">
        <v>270</v>
      </c>
      <c r="U127" s="3">
        <v>0</v>
      </c>
      <c r="V127" s="3">
        <v>3</v>
      </c>
      <c r="W127" s="3">
        <v>62</v>
      </c>
    </row>
    <row r="128" spans="1:23" ht="11.25" customHeight="1" x14ac:dyDescent="0.3">
      <c r="A128" s="3" t="s">
        <v>21</v>
      </c>
      <c r="B128" s="3" t="s">
        <v>34</v>
      </c>
      <c r="C128" s="3" t="s">
        <v>38</v>
      </c>
      <c r="D128" s="3" t="s">
        <v>33</v>
      </c>
      <c r="E128" s="3" t="s">
        <v>25</v>
      </c>
      <c r="F128" s="3" t="s">
        <v>25</v>
      </c>
      <c r="G128" s="3" t="s">
        <v>25</v>
      </c>
      <c r="H128" s="3" t="s">
        <v>37</v>
      </c>
      <c r="I128" s="6">
        <v>44531</v>
      </c>
      <c r="J128" s="4">
        <v>0</v>
      </c>
      <c r="K128" s="4">
        <v>0</v>
      </c>
      <c r="L128" s="4">
        <v>522.67399999999998</v>
      </c>
      <c r="M128" s="4">
        <v>522.67399999999998</v>
      </c>
      <c r="N128" s="4">
        <v>522.67399999999998</v>
      </c>
      <c r="O128" s="4">
        <v>522.67399999999998</v>
      </c>
      <c r="P128" s="4">
        <v>0</v>
      </c>
      <c r="Q128" s="3" t="s">
        <v>26</v>
      </c>
      <c r="R128" s="3">
        <v>0</v>
      </c>
      <c r="S128" s="3" t="s">
        <v>138</v>
      </c>
      <c r="T128" s="3" t="s">
        <v>271</v>
      </c>
      <c r="U128" s="3">
        <v>0</v>
      </c>
      <c r="V128" s="3">
        <v>3</v>
      </c>
      <c r="W128" s="3">
        <v>62</v>
      </c>
    </row>
    <row r="129" spans="1:23" ht="11.25" customHeight="1" x14ac:dyDescent="0.3">
      <c r="A129" s="3" t="s">
        <v>27</v>
      </c>
      <c r="B129" s="3" t="s">
        <v>34</v>
      </c>
      <c r="C129" s="3" t="s">
        <v>38</v>
      </c>
      <c r="D129" s="3" t="s">
        <v>33</v>
      </c>
      <c r="E129" s="3" t="s">
        <v>25</v>
      </c>
      <c r="F129" s="3" t="s">
        <v>25</v>
      </c>
      <c r="G129" s="3" t="s">
        <v>25</v>
      </c>
      <c r="H129" s="3" t="s">
        <v>37</v>
      </c>
      <c r="I129" s="6">
        <v>44531</v>
      </c>
      <c r="J129" s="4">
        <v>0</v>
      </c>
      <c r="K129" s="4">
        <v>0</v>
      </c>
      <c r="L129" s="4">
        <v>14.739000000000001</v>
      </c>
      <c r="M129" s="4">
        <v>14.739000000000001</v>
      </c>
      <c r="N129" s="4">
        <v>14.739000000000001</v>
      </c>
      <c r="O129" s="4">
        <v>14.739000000000001</v>
      </c>
      <c r="P129" s="4">
        <v>0</v>
      </c>
      <c r="Q129" s="3" t="s">
        <v>26</v>
      </c>
      <c r="R129" s="3">
        <v>0</v>
      </c>
      <c r="S129" s="3" t="s">
        <v>138</v>
      </c>
      <c r="T129" s="3" t="s">
        <v>271</v>
      </c>
      <c r="U129" s="3">
        <v>0</v>
      </c>
      <c r="V129" s="3">
        <v>3</v>
      </c>
      <c r="W129" s="3">
        <v>62</v>
      </c>
    </row>
    <row r="130" spans="1:23" ht="11.25" customHeight="1" x14ac:dyDescent="0.3">
      <c r="A130" s="3" t="s">
        <v>21</v>
      </c>
      <c r="B130" s="3" t="s">
        <v>34</v>
      </c>
      <c r="C130" s="3" t="s">
        <v>38</v>
      </c>
      <c r="D130" s="3" t="s">
        <v>33</v>
      </c>
      <c r="E130" s="3" t="s">
        <v>25</v>
      </c>
      <c r="F130" s="3" t="s">
        <v>25</v>
      </c>
      <c r="G130" s="3" t="s">
        <v>25</v>
      </c>
      <c r="H130" s="3" t="s">
        <v>37</v>
      </c>
      <c r="I130" s="6">
        <v>44562</v>
      </c>
      <c r="J130" s="4">
        <v>0</v>
      </c>
      <c r="K130" s="4">
        <v>0</v>
      </c>
      <c r="L130" s="4">
        <v>626.50800000000004</v>
      </c>
      <c r="M130" s="4">
        <v>626.50800000000004</v>
      </c>
      <c r="N130" s="4">
        <v>626.50800000000004</v>
      </c>
      <c r="O130" s="4">
        <v>626.50800000000004</v>
      </c>
      <c r="P130" s="4">
        <v>0</v>
      </c>
      <c r="Q130" s="3" t="s">
        <v>26</v>
      </c>
      <c r="R130" s="3">
        <v>0</v>
      </c>
      <c r="S130" s="3" t="s">
        <v>139</v>
      </c>
      <c r="T130" s="3" t="s">
        <v>272</v>
      </c>
      <c r="U130" s="3">
        <v>0</v>
      </c>
      <c r="V130" s="3">
        <v>3</v>
      </c>
      <c r="W130" s="3">
        <v>62</v>
      </c>
    </row>
    <row r="131" spans="1:23" ht="11.25" customHeight="1" x14ac:dyDescent="0.3">
      <c r="A131" s="3" t="s">
        <v>27</v>
      </c>
      <c r="B131" s="3" t="s">
        <v>34</v>
      </c>
      <c r="C131" s="3" t="s">
        <v>38</v>
      </c>
      <c r="D131" s="3" t="s">
        <v>33</v>
      </c>
      <c r="E131" s="3" t="s">
        <v>25</v>
      </c>
      <c r="F131" s="3" t="s">
        <v>25</v>
      </c>
      <c r="G131" s="3" t="s">
        <v>25</v>
      </c>
      <c r="H131" s="3" t="s">
        <v>37</v>
      </c>
      <c r="I131" s="6">
        <v>44562</v>
      </c>
      <c r="J131" s="4">
        <v>0</v>
      </c>
      <c r="K131" s="4">
        <v>0</v>
      </c>
      <c r="L131" s="4">
        <v>17.864999999999998</v>
      </c>
      <c r="M131" s="4">
        <v>17.864999999999998</v>
      </c>
      <c r="N131" s="4">
        <v>17.864999999999998</v>
      </c>
      <c r="O131" s="4">
        <v>17.864999999999998</v>
      </c>
      <c r="P131" s="4">
        <v>0</v>
      </c>
      <c r="Q131" s="3" t="s">
        <v>26</v>
      </c>
      <c r="R131" s="3">
        <v>0</v>
      </c>
      <c r="S131" s="3" t="s">
        <v>139</v>
      </c>
      <c r="T131" s="3" t="s">
        <v>272</v>
      </c>
      <c r="U131" s="3">
        <v>0</v>
      </c>
      <c r="V131" s="3">
        <v>3</v>
      </c>
      <c r="W131" s="3">
        <v>62</v>
      </c>
    </row>
    <row r="132" spans="1:23" ht="11.25" customHeight="1" x14ac:dyDescent="0.3">
      <c r="A132" s="3" t="s">
        <v>21</v>
      </c>
      <c r="B132" s="3" t="s">
        <v>34</v>
      </c>
      <c r="C132" s="3" t="s">
        <v>38</v>
      </c>
      <c r="D132" s="3" t="s">
        <v>33</v>
      </c>
      <c r="E132" s="3" t="s">
        <v>25</v>
      </c>
      <c r="F132" s="3" t="s">
        <v>25</v>
      </c>
      <c r="G132" s="3" t="s">
        <v>25</v>
      </c>
      <c r="H132" s="3" t="s">
        <v>37</v>
      </c>
      <c r="I132" s="6">
        <v>44593</v>
      </c>
      <c r="J132" s="4">
        <v>0</v>
      </c>
      <c r="K132" s="4">
        <v>0</v>
      </c>
      <c r="L132" s="4">
        <v>604.24400000000003</v>
      </c>
      <c r="M132" s="4">
        <v>604.24400000000003</v>
      </c>
      <c r="N132" s="4">
        <v>604.24400000000003</v>
      </c>
      <c r="O132" s="4">
        <v>604.24400000000003</v>
      </c>
      <c r="P132" s="4">
        <v>0</v>
      </c>
      <c r="Q132" s="3" t="s">
        <v>26</v>
      </c>
      <c r="R132" s="3">
        <v>0</v>
      </c>
      <c r="S132" s="3" t="s">
        <v>140</v>
      </c>
      <c r="T132" s="3" t="s">
        <v>273</v>
      </c>
      <c r="U132" s="3">
        <v>0</v>
      </c>
      <c r="V132" s="3">
        <v>3</v>
      </c>
      <c r="W132" s="3">
        <v>62</v>
      </c>
    </row>
    <row r="133" spans="1:23" ht="11.25" customHeight="1" x14ac:dyDescent="0.3">
      <c r="A133" s="3" t="s">
        <v>27</v>
      </c>
      <c r="B133" s="3" t="s">
        <v>34</v>
      </c>
      <c r="C133" s="3" t="s">
        <v>38</v>
      </c>
      <c r="D133" s="3" t="s">
        <v>33</v>
      </c>
      <c r="E133" s="3" t="s">
        <v>25</v>
      </c>
      <c r="F133" s="3" t="s">
        <v>25</v>
      </c>
      <c r="G133" s="3" t="s">
        <v>25</v>
      </c>
      <c r="H133" s="3" t="s">
        <v>37</v>
      </c>
      <c r="I133" s="6">
        <v>44593</v>
      </c>
      <c r="J133" s="4">
        <v>0</v>
      </c>
      <c r="K133" s="4">
        <v>0</v>
      </c>
      <c r="L133" s="4">
        <v>17.501999999999999</v>
      </c>
      <c r="M133" s="4">
        <v>17.501999999999999</v>
      </c>
      <c r="N133" s="4">
        <v>17.501999999999999</v>
      </c>
      <c r="O133" s="4">
        <v>17.501999999999999</v>
      </c>
      <c r="P133" s="4">
        <v>0</v>
      </c>
      <c r="Q133" s="3" t="s">
        <v>26</v>
      </c>
      <c r="R133" s="3">
        <v>0</v>
      </c>
      <c r="S133" s="3" t="s">
        <v>140</v>
      </c>
      <c r="T133" s="3" t="s">
        <v>273</v>
      </c>
      <c r="U133" s="3">
        <v>0</v>
      </c>
      <c r="V133" s="3">
        <v>3</v>
      </c>
      <c r="W133" s="3">
        <v>62</v>
      </c>
    </row>
    <row r="134" spans="1:23" ht="11.25" customHeight="1" x14ac:dyDescent="0.3">
      <c r="A134" s="3" t="s">
        <v>21</v>
      </c>
      <c r="B134" s="3" t="s">
        <v>34</v>
      </c>
      <c r="C134" s="3" t="s">
        <v>38</v>
      </c>
      <c r="D134" s="3" t="s">
        <v>33</v>
      </c>
      <c r="E134" s="3" t="s">
        <v>25</v>
      </c>
      <c r="F134" s="3" t="s">
        <v>25</v>
      </c>
      <c r="G134" s="3" t="s">
        <v>25</v>
      </c>
      <c r="H134" s="3" t="s">
        <v>37</v>
      </c>
      <c r="I134" s="6">
        <v>44621</v>
      </c>
      <c r="J134" s="4">
        <v>0</v>
      </c>
      <c r="K134" s="4">
        <v>0</v>
      </c>
      <c r="L134" s="4">
        <v>598.27599999999995</v>
      </c>
      <c r="M134" s="4">
        <v>598.27599999999995</v>
      </c>
      <c r="N134" s="4">
        <v>598.27599999999995</v>
      </c>
      <c r="O134" s="4">
        <v>598.27599999999995</v>
      </c>
      <c r="P134" s="4">
        <v>0</v>
      </c>
      <c r="Q134" s="3" t="s">
        <v>26</v>
      </c>
      <c r="R134" s="3">
        <v>0</v>
      </c>
      <c r="S134" s="3" t="s">
        <v>141</v>
      </c>
      <c r="T134" s="3" t="s">
        <v>274</v>
      </c>
      <c r="U134" s="3">
        <v>0</v>
      </c>
      <c r="V134" s="3">
        <v>3</v>
      </c>
      <c r="W134" s="3">
        <v>62</v>
      </c>
    </row>
    <row r="135" spans="1:23" ht="11.25" customHeight="1" x14ac:dyDescent="0.3">
      <c r="A135" s="3" t="s">
        <v>27</v>
      </c>
      <c r="B135" s="3" t="s">
        <v>34</v>
      </c>
      <c r="C135" s="3" t="s">
        <v>38</v>
      </c>
      <c r="D135" s="3" t="s">
        <v>33</v>
      </c>
      <c r="E135" s="3" t="s">
        <v>25</v>
      </c>
      <c r="F135" s="3" t="s">
        <v>25</v>
      </c>
      <c r="G135" s="3" t="s">
        <v>25</v>
      </c>
      <c r="H135" s="3" t="s">
        <v>37</v>
      </c>
      <c r="I135" s="6">
        <v>44621</v>
      </c>
      <c r="J135" s="4">
        <v>0</v>
      </c>
      <c r="K135" s="4">
        <v>0</v>
      </c>
      <c r="L135" s="4">
        <v>25.992000000000001</v>
      </c>
      <c r="M135" s="4">
        <v>25.992000000000001</v>
      </c>
      <c r="N135" s="4">
        <v>25.992000000000001</v>
      </c>
      <c r="O135" s="4">
        <v>25.992000000000001</v>
      </c>
      <c r="P135" s="4">
        <v>0</v>
      </c>
      <c r="Q135" s="3" t="s">
        <v>26</v>
      </c>
      <c r="R135" s="3">
        <v>0</v>
      </c>
      <c r="S135" s="3" t="s">
        <v>141</v>
      </c>
      <c r="T135" s="3" t="s">
        <v>274</v>
      </c>
      <c r="U135" s="3">
        <v>0</v>
      </c>
      <c r="V135" s="3">
        <v>3</v>
      </c>
      <c r="W135" s="3">
        <v>62</v>
      </c>
    </row>
    <row r="136" spans="1:23" ht="11.25" customHeight="1" x14ac:dyDescent="0.3">
      <c r="A136" s="3" t="s">
        <v>21</v>
      </c>
      <c r="B136" s="3" t="s">
        <v>34</v>
      </c>
      <c r="C136" s="3" t="s">
        <v>38</v>
      </c>
      <c r="D136" s="3" t="s">
        <v>33</v>
      </c>
      <c r="E136" s="3" t="s">
        <v>25</v>
      </c>
      <c r="F136" s="3" t="s">
        <v>25</v>
      </c>
      <c r="G136" s="3" t="s">
        <v>25</v>
      </c>
      <c r="H136" s="3" t="s">
        <v>37</v>
      </c>
      <c r="I136" s="6">
        <v>44652</v>
      </c>
      <c r="J136" s="4">
        <v>0</v>
      </c>
      <c r="K136" s="4">
        <v>0</v>
      </c>
      <c r="L136" s="4">
        <v>567.93200000000002</v>
      </c>
      <c r="M136" s="4">
        <v>567.93200000000002</v>
      </c>
      <c r="N136" s="4">
        <v>567.93200000000002</v>
      </c>
      <c r="O136" s="4">
        <v>567.93200000000002</v>
      </c>
      <c r="P136" s="4">
        <v>0</v>
      </c>
      <c r="Q136" s="3" t="s">
        <v>26</v>
      </c>
      <c r="R136" s="3">
        <v>0</v>
      </c>
      <c r="S136" s="3" t="s">
        <v>142</v>
      </c>
      <c r="T136" s="3" t="s">
        <v>275</v>
      </c>
      <c r="U136" s="3">
        <v>0</v>
      </c>
      <c r="V136" s="3">
        <v>3</v>
      </c>
      <c r="W136" s="3">
        <v>62</v>
      </c>
    </row>
    <row r="137" spans="1:23" ht="11.25" customHeight="1" x14ac:dyDescent="0.3">
      <c r="A137" s="3" t="s">
        <v>27</v>
      </c>
      <c r="B137" s="3" t="s">
        <v>34</v>
      </c>
      <c r="C137" s="3" t="s">
        <v>38</v>
      </c>
      <c r="D137" s="3" t="s">
        <v>33</v>
      </c>
      <c r="E137" s="3" t="s">
        <v>25</v>
      </c>
      <c r="F137" s="3" t="s">
        <v>25</v>
      </c>
      <c r="G137" s="3" t="s">
        <v>25</v>
      </c>
      <c r="H137" s="3" t="s">
        <v>37</v>
      </c>
      <c r="I137" s="6">
        <v>44652</v>
      </c>
      <c r="J137" s="4">
        <v>0</v>
      </c>
      <c r="K137" s="4">
        <v>0</v>
      </c>
      <c r="L137" s="4">
        <v>15.358000000000001</v>
      </c>
      <c r="M137" s="4">
        <v>15.358000000000001</v>
      </c>
      <c r="N137" s="4">
        <v>15.358000000000001</v>
      </c>
      <c r="O137" s="4">
        <v>15.358000000000001</v>
      </c>
      <c r="P137" s="4">
        <v>0</v>
      </c>
      <c r="Q137" s="3" t="s">
        <v>26</v>
      </c>
      <c r="R137" s="3">
        <v>0</v>
      </c>
      <c r="S137" s="3" t="s">
        <v>142</v>
      </c>
      <c r="T137" s="3" t="s">
        <v>275</v>
      </c>
      <c r="U137" s="3">
        <v>0</v>
      </c>
      <c r="V137" s="3">
        <v>3</v>
      </c>
      <c r="W137" s="3">
        <v>62</v>
      </c>
    </row>
    <row r="138" spans="1:23" ht="11.25" customHeight="1" x14ac:dyDescent="0.3">
      <c r="A138" s="3" t="s">
        <v>21</v>
      </c>
      <c r="B138" s="3" t="s">
        <v>34</v>
      </c>
      <c r="C138" s="3" t="s">
        <v>38</v>
      </c>
      <c r="D138" s="3" t="s">
        <v>33</v>
      </c>
      <c r="E138" s="3" t="s">
        <v>25</v>
      </c>
      <c r="F138" s="3" t="s">
        <v>25</v>
      </c>
      <c r="G138" s="3" t="s">
        <v>25</v>
      </c>
      <c r="H138" s="3" t="s">
        <v>37</v>
      </c>
      <c r="I138" s="6">
        <v>44682</v>
      </c>
      <c r="J138" s="4">
        <v>0</v>
      </c>
      <c r="K138" s="4">
        <v>0</v>
      </c>
      <c r="L138" s="4">
        <v>601.995</v>
      </c>
      <c r="M138" s="4">
        <v>601.995</v>
      </c>
      <c r="N138" s="4">
        <v>601.995</v>
      </c>
      <c r="O138" s="4">
        <v>601.995</v>
      </c>
      <c r="P138" s="4">
        <v>0</v>
      </c>
      <c r="Q138" s="3" t="s">
        <v>26</v>
      </c>
      <c r="R138" s="3">
        <v>0</v>
      </c>
      <c r="S138" s="3" t="s">
        <v>143</v>
      </c>
      <c r="T138" s="3" t="s">
        <v>276</v>
      </c>
      <c r="U138" s="3">
        <v>0</v>
      </c>
      <c r="V138" s="3">
        <v>3</v>
      </c>
      <c r="W138" s="3">
        <v>62</v>
      </c>
    </row>
    <row r="139" spans="1:23" ht="11.25" customHeight="1" x14ac:dyDescent="0.3">
      <c r="A139" s="3" t="s">
        <v>27</v>
      </c>
      <c r="B139" s="3" t="s">
        <v>34</v>
      </c>
      <c r="C139" s="3" t="s">
        <v>38</v>
      </c>
      <c r="D139" s="3" t="s">
        <v>33</v>
      </c>
      <c r="E139" s="3" t="s">
        <v>25</v>
      </c>
      <c r="F139" s="3" t="s">
        <v>25</v>
      </c>
      <c r="G139" s="3" t="s">
        <v>25</v>
      </c>
      <c r="H139" s="3" t="s">
        <v>37</v>
      </c>
      <c r="I139" s="6">
        <v>44682</v>
      </c>
      <c r="J139" s="4">
        <v>0</v>
      </c>
      <c r="K139" s="4">
        <v>0</v>
      </c>
      <c r="L139" s="4">
        <v>8.8520000000000003</v>
      </c>
      <c r="M139" s="4">
        <v>8.8520000000000003</v>
      </c>
      <c r="N139" s="4">
        <v>8.8520000000000003</v>
      </c>
      <c r="O139" s="4">
        <v>8.8520000000000003</v>
      </c>
      <c r="P139" s="4">
        <v>0</v>
      </c>
      <c r="Q139" s="3" t="s">
        <v>26</v>
      </c>
      <c r="R139" s="3">
        <v>0</v>
      </c>
      <c r="S139" s="3" t="s">
        <v>143</v>
      </c>
      <c r="T139" s="3" t="s">
        <v>276</v>
      </c>
      <c r="U139" s="3">
        <v>0</v>
      </c>
      <c r="V139" s="3">
        <v>3</v>
      </c>
      <c r="W139" s="3">
        <v>62</v>
      </c>
    </row>
    <row r="140" spans="1:23" ht="11.25" customHeight="1" x14ac:dyDescent="0.3">
      <c r="A140" s="3" t="s">
        <v>21</v>
      </c>
      <c r="B140" s="3" t="s">
        <v>34</v>
      </c>
      <c r="C140" s="3" t="s">
        <v>38</v>
      </c>
      <c r="D140" s="3" t="s">
        <v>33</v>
      </c>
      <c r="E140" s="3" t="s">
        <v>25</v>
      </c>
      <c r="F140" s="3" t="s">
        <v>25</v>
      </c>
      <c r="G140" s="3" t="s">
        <v>25</v>
      </c>
      <c r="H140" s="3" t="s">
        <v>37</v>
      </c>
      <c r="I140" s="6">
        <v>44713</v>
      </c>
      <c r="J140" s="4">
        <v>0</v>
      </c>
      <c r="K140" s="4">
        <v>0</v>
      </c>
      <c r="L140" s="4">
        <v>583.83100000000002</v>
      </c>
      <c r="M140" s="4">
        <v>583.83100000000002</v>
      </c>
      <c r="N140" s="4">
        <v>583.83100000000002</v>
      </c>
      <c r="O140" s="4">
        <v>583.83100000000002</v>
      </c>
      <c r="P140" s="4">
        <v>0</v>
      </c>
      <c r="Q140" s="3" t="s">
        <v>26</v>
      </c>
      <c r="R140" s="3">
        <v>0</v>
      </c>
      <c r="S140" s="3" t="s">
        <v>144</v>
      </c>
      <c r="T140" s="3" t="s">
        <v>277</v>
      </c>
      <c r="U140" s="3">
        <v>0</v>
      </c>
      <c r="V140" s="3">
        <v>3</v>
      </c>
      <c r="W140" s="3">
        <v>62</v>
      </c>
    </row>
    <row r="141" spans="1:23" ht="11.25" customHeight="1" x14ac:dyDescent="0.3">
      <c r="A141" s="3" t="s">
        <v>27</v>
      </c>
      <c r="B141" s="3" t="s">
        <v>34</v>
      </c>
      <c r="C141" s="3" t="s">
        <v>38</v>
      </c>
      <c r="D141" s="3" t="s">
        <v>33</v>
      </c>
      <c r="E141" s="3" t="s">
        <v>25</v>
      </c>
      <c r="F141" s="3" t="s">
        <v>25</v>
      </c>
      <c r="G141" s="3" t="s">
        <v>25</v>
      </c>
      <c r="H141" s="3" t="s">
        <v>37</v>
      </c>
      <c r="I141" s="6">
        <v>44713</v>
      </c>
      <c r="J141" s="4">
        <v>0</v>
      </c>
      <c r="K141" s="4">
        <v>0</v>
      </c>
      <c r="L141" s="4">
        <v>18.702000000000002</v>
      </c>
      <c r="M141" s="4">
        <v>18.702000000000002</v>
      </c>
      <c r="N141" s="4">
        <v>18.702000000000002</v>
      </c>
      <c r="O141" s="4">
        <v>18.702000000000002</v>
      </c>
      <c r="P141" s="4">
        <v>0</v>
      </c>
      <c r="Q141" s="3" t="s">
        <v>26</v>
      </c>
      <c r="R141" s="3">
        <v>0</v>
      </c>
      <c r="S141" s="3" t="s">
        <v>144</v>
      </c>
      <c r="T141" s="3" t="s">
        <v>277</v>
      </c>
      <c r="U141" s="3">
        <v>0</v>
      </c>
      <c r="V141" s="3">
        <v>3</v>
      </c>
      <c r="W141" s="3">
        <v>62</v>
      </c>
    </row>
    <row r="142" spans="1:23" ht="11.25" customHeight="1" x14ac:dyDescent="0.3">
      <c r="A142" s="3" t="s">
        <v>21</v>
      </c>
      <c r="B142" s="3" t="s">
        <v>34</v>
      </c>
      <c r="C142" s="3" t="s">
        <v>38</v>
      </c>
      <c r="D142" s="3" t="s">
        <v>33</v>
      </c>
      <c r="E142" s="3" t="s">
        <v>25</v>
      </c>
      <c r="F142" s="3" t="s">
        <v>25</v>
      </c>
      <c r="G142" s="3" t="s">
        <v>25</v>
      </c>
      <c r="H142" s="3" t="s">
        <v>37</v>
      </c>
      <c r="I142" s="6">
        <v>44743</v>
      </c>
      <c r="J142" s="4">
        <v>0</v>
      </c>
      <c r="K142" s="4">
        <v>0</v>
      </c>
      <c r="L142" s="4">
        <v>528.26199999999994</v>
      </c>
      <c r="M142" s="4">
        <v>528.26199999999994</v>
      </c>
      <c r="N142" s="4">
        <v>528.26199999999994</v>
      </c>
      <c r="O142" s="4">
        <v>528.26199999999994</v>
      </c>
      <c r="P142" s="4">
        <v>0</v>
      </c>
      <c r="Q142" s="3" t="s">
        <v>26</v>
      </c>
      <c r="R142" s="3">
        <v>0</v>
      </c>
      <c r="S142" s="3" t="s">
        <v>145</v>
      </c>
      <c r="T142" s="3" t="s">
        <v>278</v>
      </c>
      <c r="U142" s="3">
        <v>0</v>
      </c>
      <c r="V142" s="3">
        <v>3</v>
      </c>
      <c r="W142" s="3">
        <v>62</v>
      </c>
    </row>
    <row r="143" spans="1:23" ht="11.25" customHeight="1" x14ac:dyDescent="0.3">
      <c r="A143" s="3" t="s">
        <v>27</v>
      </c>
      <c r="B143" s="3" t="s">
        <v>34</v>
      </c>
      <c r="C143" s="3" t="s">
        <v>38</v>
      </c>
      <c r="D143" s="3" t="s">
        <v>33</v>
      </c>
      <c r="E143" s="3" t="s">
        <v>25</v>
      </c>
      <c r="F143" s="3" t="s">
        <v>25</v>
      </c>
      <c r="G143" s="3" t="s">
        <v>25</v>
      </c>
      <c r="H143" s="3" t="s">
        <v>37</v>
      </c>
      <c r="I143" s="6">
        <v>44743</v>
      </c>
      <c r="J143" s="4">
        <v>0</v>
      </c>
      <c r="K143" s="4">
        <v>0</v>
      </c>
      <c r="L143" s="4">
        <v>13.65</v>
      </c>
      <c r="M143" s="4">
        <v>13.65</v>
      </c>
      <c r="N143" s="4">
        <v>13.65</v>
      </c>
      <c r="O143" s="4">
        <v>13.65</v>
      </c>
      <c r="P143" s="4">
        <v>0</v>
      </c>
      <c r="Q143" s="3" t="s">
        <v>26</v>
      </c>
      <c r="R143" s="3">
        <v>0</v>
      </c>
      <c r="S143" s="3" t="s">
        <v>145</v>
      </c>
      <c r="T143" s="3" t="s">
        <v>278</v>
      </c>
      <c r="U143" s="3">
        <v>0</v>
      </c>
      <c r="V143" s="3">
        <v>3</v>
      </c>
      <c r="W143" s="3">
        <v>62</v>
      </c>
    </row>
    <row r="144" spans="1:23" ht="11.25" customHeight="1" x14ac:dyDescent="0.3">
      <c r="A144" s="3" t="s">
        <v>53</v>
      </c>
      <c r="B144" s="3" t="s">
        <v>34</v>
      </c>
      <c r="C144" s="3" t="s">
        <v>38</v>
      </c>
      <c r="D144" s="3" t="s">
        <v>33</v>
      </c>
      <c r="E144" s="3" t="s">
        <v>25</v>
      </c>
      <c r="F144" s="3" t="s">
        <v>25</v>
      </c>
      <c r="G144" s="3" t="s">
        <v>25</v>
      </c>
      <c r="H144" s="3" t="s">
        <v>37</v>
      </c>
      <c r="I144" s="6">
        <v>44774</v>
      </c>
      <c r="J144" s="4">
        <v>0</v>
      </c>
      <c r="K144" s="4">
        <v>0</v>
      </c>
      <c r="L144" s="4">
        <v>528.26199999999994</v>
      </c>
      <c r="M144" s="4">
        <v>528.26199999999994</v>
      </c>
      <c r="N144" s="4">
        <v>528.26199999999994</v>
      </c>
      <c r="O144" s="4">
        <v>528.26199999999994</v>
      </c>
      <c r="P144" s="4">
        <v>0</v>
      </c>
      <c r="Q144" s="3" t="s">
        <v>26</v>
      </c>
      <c r="R144" s="3">
        <v>0</v>
      </c>
      <c r="S144" s="3" t="s">
        <v>146</v>
      </c>
      <c r="T144" s="3" t="s">
        <v>279</v>
      </c>
      <c r="U144" s="3">
        <v>0</v>
      </c>
      <c r="V144" s="3">
        <v>3</v>
      </c>
      <c r="W144" s="3">
        <v>62</v>
      </c>
    </row>
    <row r="145" spans="1:23" ht="11.25" customHeight="1" x14ac:dyDescent="0.3">
      <c r="A145" s="3" t="s">
        <v>53</v>
      </c>
      <c r="B145" s="3" t="s">
        <v>34</v>
      </c>
      <c r="C145" s="3" t="s">
        <v>38</v>
      </c>
      <c r="D145" s="3" t="s">
        <v>33</v>
      </c>
      <c r="E145" s="3" t="s">
        <v>25</v>
      </c>
      <c r="F145" s="3" t="s">
        <v>25</v>
      </c>
      <c r="G145" s="3" t="s">
        <v>25</v>
      </c>
      <c r="H145" s="3" t="s">
        <v>37</v>
      </c>
      <c r="I145" s="6">
        <v>44774</v>
      </c>
      <c r="J145" s="4">
        <v>0</v>
      </c>
      <c r="K145" s="4">
        <v>0</v>
      </c>
      <c r="L145" s="4">
        <v>13.65</v>
      </c>
      <c r="M145" s="4">
        <v>13.65</v>
      </c>
      <c r="N145" s="4">
        <v>13.65</v>
      </c>
      <c r="O145" s="4">
        <v>13.65</v>
      </c>
      <c r="P145" s="4">
        <v>0</v>
      </c>
      <c r="Q145" s="3" t="s">
        <v>26</v>
      </c>
      <c r="R145" s="3">
        <v>0</v>
      </c>
      <c r="S145" s="3" t="s">
        <v>146</v>
      </c>
      <c r="T145" s="3" t="s">
        <v>279</v>
      </c>
      <c r="U145" s="3">
        <v>0</v>
      </c>
      <c r="V145" s="3">
        <v>3</v>
      </c>
      <c r="W145" s="3">
        <v>62</v>
      </c>
    </row>
    <row r="146" spans="1:23" ht="11.25" customHeight="1" x14ac:dyDescent="0.3">
      <c r="A146" s="3" t="s">
        <v>21</v>
      </c>
      <c r="B146" s="3" t="s">
        <v>34</v>
      </c>
      <c r="C146" s="3" t="s">
        <v>38</v>
      </c>
      <c r="D146" s="3" t="s">
        <v>33</v>
      </c>
      <c r="E146" s="3" t="s">
        <v>25</v>
      </c>
      <c r="F146" s="3" t="s">
        <v>25</v>
      </c>
      <c r="G146" s="3" t="s">
        <v>25</v>
      </c>
      <c r="H146" s="3" t="s">
        <v>25</v>
      </c>
      <c r="I146" s="6">
        <v>44440</v>
      </c>
      <c r="J146" s="4">
        <v>3111</v>
      </c>
      <c r="K146" s="4">
        <v>3111</v>
      </c>
      <c r="L146" s="4">
        <v>0</v>
      </c>
      <c r="M146" s="4">
        <v>0</v>
      </c>
      <c r="N146" s="4">
        <v>0</v>
      </c>
      <c r="O146" s="4">
        <v>0</v>
      </c>
      <c r="P146" s="4">
        <v>22</v>
      </c>
      <c r="Q146" s="3" t="s">
        <v>26</v>
      </c>
      <c r="R146" s="3">
        <v>0</v>
      </c>
      <c r="S146" s="3" t="s">
        <v>147</v>
      </c>
      <c r="U146" s="3">
        <v>5</v>
      </c>
      <c r="V146" s="3">
        <v>0</v>
      </c>
      <c r="W146" s="3">
        <v>0</v>
      </c>
    </row>
    <row r="147" spans="1:23" ht="11.25" customHeight="1" x14ac:dyDescent="0.3">
      <c r="A147" s="3" t="s">
        <v>27</v>
      </c>
      <c r="B147" s="3" t="s">
        <v>34</v>
      </c>
      <c r="C147" s="3" t="s">
        <v>38</v>
      </c>
      <c r="D147" s="3" t="s">
        <v>33</v>
      </c>
      <c r="E147" s="3" t="s">
        <v>25</v>
      </c>
      <c r="F147" s="3" t="s">
        <v>25</v>
      </c>
      <c r="G147" s="3" t="s">
        <v>25</v>
      </c>
      <c r="H147" s="3" t="s">
        <v>25</v>
      </c>
      <c r="I147" s="6">
        <v>44440</v>
      </c>
      <c r="J147" s="4">
        <v>222</v>
      </c>
      <c r="K147" s="4">
        <v>222</v>
      </c>
      <c r="L147" s="4">
        <v>0</v>
      </c>
      <c r="M147" s="4">
        <v>0</v>
      </c>
      <c r="N147" s="4">
        <v>0</v>
      </c>
      <c r="O147" s="4">
        <v>0</v>
      </c>
      <c r="P147" s="4">
        <v>2</v>
      </c>
      <c r="Q147" s="3" t="s">
        <v>26</v>
      </c>
      <c r="R147" s="3">
        <v>0</v>
      </c>
      <c r="S147" s="3" t="s">
        <v>147</v>
      </c>
      <c r="U147" s="3">
        <v>5</v>
      </c>
      <c r="V147" s="3">
        <v>0</v>
      </c>
      <c r="W147" s="3">
        <v>0</v>
      </c>
    </row>
    <row r="148" spans="1:23" ht="11.25" customHeight="1" x14ac:dyDescent="0.3">
      <c r="A148" s="3" t="s">
        <v>21</v>
      </c>
      <c r="B148" s="3" t="s">
        <v>34</v>
      </c>
      <c r="C148" s="3" t="s">
        <v>38</v>
      </c>
      <c r="D148" s="3" t="s">
        <v>33</v>
      </c>
      <c r="E148" s="3" t="s">
        <v>25</v>
      </c>
      <c r="F148" s="3" t="s">
        <v>25</v>
      </c>
      <c r="G148" s="3" t="s">
        <v>25</v>
      </c>
      <c r="H148" s="3" t="s">
        <v>25</v>
      </c>
      <c r="I148" s="6">
        <v>44470</v>
      </c>
      <c r="J148" s="4">
        <v>2983</v>
      </c>
      <c r="K148" s="4">
        <v>2983</v>
      </c>
      <c r="L148" s="4">
        <v>0</v>
      </c>
      <c r="M148" s="4">
        <v>0</v>
      </c>
      <c r="N148" s="4">
        <v>0</v>
      </c>
      <c r="O148" s="4">
        <v>0</v>
      </c>
      <c r="P148" s="4">
        <v>21</v>
      </c>
      <c r="Q148" s="3" t="s">
        <v>26</v>
      </c>
      <c r="R148" s="3">
        <v>0</v>
      </c>
      <c r="S148" s="3" t="s">
        <v>148</v>
      </c>
      <c r="U148" s="3">
        <v>5</v>
      </c>
      <c r="V148" s="3">
        <v>0</v>
      </c>
      <c r="W148" s="3">
        <v>0</v>
      </c>
    </row>
    <row r="149" spans="1:23" ht="11.25" customHeight="1" x14ac:dyDescent="0.3">
      <c r="A149" s="3" t="s">
        <v>27</v>
      </c>
      <c r="B149" s="3" t="s">
        <v>34</v>
      </c>
      <c r="C149" s="3" t="s">
        <v>38</v>
      </c>
      <c r="D149" s="3" t="s">
        <v>33</v>
      </c>
      <c r="E149" s="3" t="s">
        <v>25</v>
      </c>
      <c r="F149" s="3" t="s">
        <v>25</v>
      </c>
      <c r="G149" s="3" t="s">
        <v>25</v>
      </c>
      <c r="H149" s="3" t="s">
        <v>25</v>
      </c>
      <c r="I149" s="6">
        <v>44470</v>
      </c>
      <c r="J149" s="4">
        <v>335</v>
      </c>
      <c r="K149" s="4">
        <v>335</v>
      </c>
      <c r="L149" s="4">
        <v>0</v>
      </c>
      <c r="M149" s="4">
        <v>0</v>
      </c>
      <c r="N149" s="4">
        <v>0</v>
      </c>
      <c r="O149" s="4">
        <v>0</v>
      </c>
      <c r="P149" s="4">
        <v>3</v>
      </c>
      <c r="Q149" s="3" t="s">
        <v>26</v>
      </c>
      <c r="R149" s="3">
        <v>0</v>
      </c>
      <c r="S149" s="3" t="s">
        <v>148</v>
      </c>
      <c r="U149" s="3">
        <v>5</v>
      </c>
      <c r="V149" s="3">
        <v>0</v>
      </c>
      <c r="W149" s="3">
        <v>0</v>
      </c>
    </row>
    <row r="150" spans="1:23" ht="11.25" customHeight="1" x14ac:dyDescent="0.3">
      <c r="A150" s="3" t="s">
        <v>21</v>
      </c>
      <c r="B150" s="3" t="s">
        <v>34</v>
      </c>
      <c r="C150" s="3" t="s">
        <v>38</v>
      </c>
      <c r="D150" s="3" t="s">
        <v>33</v>
      </c>
      <c r="E150" s="3" t="s">
        <v>25</v>
      </c>
      <c r="F150" s="3" t="s">
        <v>25</v>
      </c>
      <c r="G150" s="3" t="s">
        <v>25</v>
      </c>
      <c r="H150" s="3" t="s">
        <v>25</v>
      </c>
      <c r="I150" s="6">
        <v>44501</v>
      </c>
      <c r="J150" s="4">
        <v>3001</v>
      </c>
      <c r="K150" s="4">
        <v>3001</v>
      </c>
      <c r="L150" s="4">
        <v>0</v>
      </c>
      <c r="M150" s="4">
        <v>0</v>
      </c>
      <c r="N150" s="4">
        <v>0</v>
      </c>
      <c r="O150" s="4">
        <v>0</v>
      </c>
      <c r="P150" s="4">
        <v>21</v>
      </c>
      <c r="Q150" s="3" t="s">
        <v>26</v>
      </c>
      <c r="R150" s="3">
        <v>0</v>
      </c>
      <c r="S150" s="3" t="s">
        <v>149</v>
      </c>
      <c r="U150" s="3">
        <v>5</v>
      </c>
      <c r="V150" s="3">
        <v>0</v>
      </c>
      <c r="W150" s="3">
        <v>0</v>
      </c>
    </row>
    <row r="151" spans="1:23" ht="11.25" customHeight="1" x14ac:dyDescent="0.3">
      <c r="A151" s="3" t="s">
        <v>27</v>
      </c>
      <c r="B151" s="3" t="s">
        <v>34</v>
      </c>
      <c r="C151" s="3" t="s">
        <v>38</v>
      </c>
      <c r="D151" s="3" t="s">
        <v>33</v>
      </c>
      <c r="E151" s="3" t="s">
        <v>25</v>
      </c>
      <c r="F151" s="3" t="s">
        <v>25</v>
      </c>
      <c r="G151" s="3" t="s">
        <v>25</v>
      </c>
      <c r="H151" s="3" t="s">
        <v>25</v>
      </c>
      <c r="I151" s="6">
        <v>44501</v>
      </c>
      <c r="J151" s="4">
        <v>285</v>
      </c>
      <c r="K151" s="4">
        <v>285</v>
      </c>
      <c r="L151" s="4">
        <v>0</v>
      </c>
      <c r="M151" s="4">
        <v>0</v>
      </c>
      <c r="N151" s="4">
        <v>0</v>
      </c>
      <c r="O151" s="4">
        <v>0</v>
      </c>
      <c r="P151" s="4">
        <v>2</v>
      </c>
      <c r="Q151" s="3" t="s">
        <v>26</v>
      </c>
      <c r="R151" s="3">
        <v>0</v>
      </c>
      <c r="S151" s="3" t="s">
        <v>149</v>
      </c>
      <c r="U151" s="3">
        <v>5</v>
      </c>
      <c r="V151" s="3">
        <v>0</v>
      </c>
      <c r="W151" s="3">
        <v>0</v>
      </c>
    </row>
    <row r="152" spans="1:23" ht="11.25" customHeight="1" x14ac:dyDescent="0.3">
      <c r="A152" s="3" t="s">
        <v>21</v>
      </c>
      <c r="B152" s="3" t="s">
        <v>34</v>
      </c>
      <c r="C152" s="3" t="s">
        <v>38</v>
      </c>
      <c r="D152" s="3" t="s">
        <v>33</v>
      </c>
      <c r="E152" s="3" t="s">
        <v>25</v>
      </c>
      <c r="F152" s="3" t="s">
        <v>25</v>
      </c>
      <c r="G152" s="3" t="s">
        <v>25</v>
      </c>
      <c r="H152" s="3" t="s">
        <v>25</v>
      </c>
      <c r="I152" s="6">
        <v>44531</v>
      </c>
      <c r="J152" s="4">
        <v>2839</v>
      </c>
      <c r="K152" s="4">
        <v>2839</v>
      </c>
      <c r="L152" s="4">
        <v>0</v>
      </c>
      <c r="M152" s="4">
        <v>0</v>
      </c>
      <c r="N152" s="4">
        <v>0</v>
      </c>
      <c r="O152" s="4">
        <v>0</v>
      </c>
      <c r="P152" s="4">
        <v>20</v>
      </c>
      <c r="Q152" s="3" t="s">
        <v>26</v>
      </c>
      <c r="R152" s="3">
        <v>0</v>
      </c>
      <c r="S152" s="3" t="s">
        <v>150</v>
      </c>
      <c r="U152" s="3">
        <v>5</v>
      </c>
      <c r="V152" s="3">
        <v>0</v>
      </c>
      <c r="W152" s="3">
        <v>0</v>
      </c>
    </row>
    <row r="153" spans="1:23" ht="11.25" customHeight="1" x14ac:dyDescent="0.3">
      <c r="A153" s="3" t="s">
        <v>27</v>
      </c>
      <c r="B153" s="3" t="s">
        <v>34</v>
      </c>
      <c r="C153" s="3" t="s">
        <v>38</v>
      </c>
      <c r="D153" s="3" t="s">
        <v>33</v>
      </c>
      <c r="E153" s="3" t="s">
        <v>25</v>
      </c>
      <c r="F153" s="3" t="s">
        <v>25</v>
      </c>
      <c r="G153" s="3" t="s">
        <v>25</v>
      </c>
      <c r="H153" s="3" t="s">
        <v>25</v>
      </c>
      <c r="I153" s="6">
        <v>44531</v>
      </c>
      <c r="J153" s="4">
        <v>512</v>
      </c>
      <c r="K153" s="4">
        <v>512</v>
      </c>
      <c r="L153" s="4">
        <v>0</v>
      </c>
      <c r="M153" s="4">
        <v>0</v>
      </c>
      <c r="N153" s="4">
        <v>0</v>
      </c>
      <c r="O153" s="4">
        <v>0</v>
      </c>
      <c r="P153" s="4">
        <v>3</v>
      </c>
      <c r="Q153" s="3" t="s">
        <v>26</v>
      </c>
      <c r="R153" s="3">
        <v>0</v>
      </c>
      <c r="S153" s="3" t="s">
        <v>150</v>
      </c>
      <c r="U153" s="3">
        <v>5</v>
      </c>
      <c r="V153" s="3">
        <v>0</v>
      </c>
      <c r="W153" s="3">
        <v>0</v>
      </c>
    </row>
    <row r="154" spans="1:23" ht="11.25" customHeight="1" x14ac:dyDescent="0.3">
      <c r="A154" s="3" t="s">
        <v>21</v>
      </c>
      <c r="B154" s="3" t="s">
        <v>34</v>
      </c>
      <c r="C154" s="3" t="s">
        <v>38</v>
      </c>
      <c r="D154" s="3" t="s">
        <v>33</v>
      </c>
      <c r="E154" s="3" t="s">
        <v>25</v>
      </c>
      <c r="F154" s="3" t="s">
        <v>25</v>
      </c>
      <c r="G154" s="3" t="s">
        <v>25</v>
      </c>
      <c r="H154" s="3" t="s">
        <v>25</v>
      </c>
      <c r="I154" s="6">
        <v>44562</v>
      </c>
      <c r="J154" s="4">
        <v>2930</v>
      </c>
      <c r="K154" s="4">
        <v>2930</v>
      </c>
      <c r="L154" s="4">
        <v>0</v>
      </c>
      <c r="M154" s="4">
        <v>0</v>
      </c>
      <c r="N154" s="4">
        <v>0</v>
      </c>
      <c r="O154" s="4">
        <v>0</v>
      </c>
      <c r="P154" s="4">
        <v>20</v>
      </c>
      <c r="Q154" s="3" t="s">
        <v>26</v>
      </c>
      <c r="R154" s="3">
        <v>0</v>
      </c>
      <c r="S154" s="3" t="s">
        <v>151</v>
      </c>
      <c r="U154" s="3">
        <v>5</v>
      </c>
      <c r="V154" s="3">
        <v>0</v>
      </c>
      <c r="W154" s="3">
        <v>0</v>
      </c>
    </row>
    <row r="155" spans="1:23" ht="11.25" customHeight="1" x14ac:dyDescent="0.3">
      <c r="A155" s="3" t="s">
        <v>27</v>
      </c>
      <c r="B155" s="3" t="s">
        <v>34</v>
      </c>
      <c r="C155" s="3" t="s">
        <v>38</v>
      </c>
      <c r="D155" s="3" t="s">
        <v>33</v>
      </c>
      <c r="E155" s="3" t="s">
        <v>25</v>
      </c>
      <c r="F155" s="3" t="s">
        <v>25</v>
      </c>
      <c r="G155" s="3" t="s">
        <v>25</v>
      </c>
      <c r="H155" s="3" t="s">
        <v>25</v>
      </c>
      <c r="I155" s="6">
        <v>44562</v>
      </c>
      <c r="J155" s="4">
        <v>480</v>
      </c>
      <c r="K155" s="4">
        <v>480</v>
      </c>
      <c r="L155" s="4">
        <v>0</v>
      </c>
      <c r="M155" s="4">
        <v>0</v>
      </c>
      <c r="N155" s="4">
        <v>0</v>
      </c>
      <c r="O155" s="4">
        <v>0</v>
      </c>
      <c r="P155" s="4">
        <v>3</v>
      </c>
      <c r="Q155" s="3" t="s">
        <v>26</v>
      </c>
      <c r="R155" s="3">
        <v>0</v>
      </c>
      <c r="S155" s="3" t="s">
        <v>151</v>
      </c>
      <c r="U155" s="3">
        <v>5</v>
      </c>
      <c r="V155" s="3">
        <v>0</v>
      </c>
      <c r="W155" s="3">
        <v>0</v>
      </c>
    </row>
    <row r="156" spans="1:23" ht="11.25" customHeight="1" x14ac:dyDescent="0.3">
      <c r="A156" s="3" t="s">
        <v>21</v>
      </c>
      <c r="B156" s="3" t="s">
        <v>34</v>
      </c>
      <c r="C156" s="3" t="s">
        <v>38</v>
      </c>
      <c r="D156" s="3" t="s">
        <v>33</v>
      </c>
      <c r="E156" s="3" t="s">
        <v>25</v>
      </c>
      <c r="F156" s="3" t="s">
        <v>25</v>
      </c>
      <c r="G156" s="3" t="s">
        <v>25</v>
      </c>
      <c r="H156" s="3" t="s">
        <v>25</v>
      </c>
      <c r="I156" s="6">
        <v>44593</v>
      </c>
      <c r="J156" s="4">
        <v>2913</v>
      </c>
      <c r="K156" s="4">
        <v>2913</v>
      </c>
      <c r="L156" s="4">
        <v>0</v>
      </c>
      <c r="M156" s="4">
        <v>0</v>
      </c>
      <c r="N156" s="4">
        <v>0</v>
      </c>
      <c r="O156" s="4">
        <v>0</v>
      </c>
      <c r="P156" s="4">
        <v>20</v>
      </c>
      <c r="Q156" s="3" t="s">
        <v>26</v>
      </c>
      <c r="R156" s="3">
        <v>0</v>
      </c>
      <c r="S156" s="3" t="s">
        <v>152</v>
      </c>
      <c r="U156" s="3">
        <v>5</v>
      </c>
      <c r="V156" s="3">
        <v>0</v>
      </c>
      <c r="W156" s="3">
        <v>0</v>
      </c>
    </row>
    <row r="157" spans="1:23" ht="11.25" customHeight="1" x14ac:dyDescent="0.3">
      <c r="A157" s="3" t="s">
        <v>27</v>
      </c>
      <c r="B157" s="3" t="s">
        <v>34</v>
      </c>
      <c r="C157" s="3" t="s">
        <v>38</v>
      </c>
      <c r="D157" s="3" t="s">
        <v>33</v>
      </c>
      <c r="E157" s="3" t="s">
        <v>25</v>
      </c>
      <c r="F157" s="3" t="s">
        <v>25</v>
      </c>
      <c r="G157" s="3" t="s">
        <v>25</v>
      </c>
      <c r="H157" s="3" t="s">
        <v>25</v>
      </c>
      <c r="I157" s="6">
        <v>44593</v>
      </c>
      <c r="J157" s="4">
        <v>430</v>
      </c>
      <c r="K157" s="4">
        <v>430</v>
      </c>
      <c r="L157" s="4">
        <v>0</v>
      </c>
      <c r="M157" s="4">
        <v>0</v>
      </c>
      <c r="N157" s="4">
        <v>0</v>
      </c>
      <c r="O157" s="4">
        <v>0</v>
      </c>
      <c r="P157" s="4">
        <v>3</v>
      </c>
      <c r="Q157" s="3" t="s">
        <v>26</v>
      </c>
      <c r="R157" s="3">
        <v>0</v>
      </c>
      <c r="S157" s="3" t="s">
        <v>152</v>
      </c>
      <c r="U157" s="3">
        <v>5</v>
      </c>
      <c r="V157" s="3">
        <v>0</v>
      </c>
      <c r="W157" s="3">
        <v>0</v>
      </c>
    </row>
    <row r="158" spans="1:23" ht="11.25" customHeight="1" x14ac:dyDescent="0.3">
      <c r="A158" s="3" t="s">
        <v>21</v>
      </c>
      <c r="B158" s="3" t="s">
        <v>34</v>
      </c>
      <c r="C158" s="3" t="s">
        <v>38</v>
      </c>
      <c r="D158" s="3" t="s">
        <v>33</v>
      </c>
      <c r="E158" s="3" t="s">
        <v>25</v>
      </c>
      <c r="F158" s="3" t="s">
        <v>25</v>
      </c>
      <c r="G158" s="3" t="s">
        <v>25</v>
      </c>
      <c r="H158" s="3" t="s">
        <v>25</v>
      </c>
      <c r="I158" s="6">
        <v>44621</v>
      </c>
      <c r="J158" s="4">
        <v>3246</v>
      </c>
      <c r="K158" s="4">
        <v>3246</v>
      </c>
      <c r="L158" s="4">
        <v>0</v>
      </c>
      <c r="M158" s="4">
        <v>0</v>
      </c>
      <c r="N158" s="4">
        <v>0</v>
      </c>
      <c r="O158" s="4">
        <v>0</v>
      </c>
      <c r="P158" s="4">
        <v>20</v>
      </c>
      <c r="Q158" s="3" t="s">
        <v>26</v>
      </c>
      <c r="R158" s="3">
        <v>0</v>
      </c>
      <c r="S158" s="3" t="s">
        <v>153</v>
      </c>
      <c r="U158" s="3">
        <v>5</v>
      </c>
      <c r="V158" s="3">
        <v>0</v>
      </c>
      <c r="W158" s="3">
        <v>0</v>
      </c>
    </row>
    <row r="159" spans="1:23" ht="11.25" customHeight="1" x14ac:dyDescent="0.3">
      <c r="A159" s="3" t="s">
        <v>27</v>
      </c>
      <c r="B159" s="3" t="s">
        <v>34</v>
      </c>
      <c r="C159" s="3" t="s">
        <v>38</v>
      </c>
      <c r="D159" s="3" t="s">
        <v>33</v>
      </c>
      <c r="E159" s="3" t="s">
        <v>25</v>
      </c>
      <c r="F159" s="3" t="s">
        <v>25</v>
      </c>
      <c r="G159" s="3" t="s">
        <v>25</v>
      </c>
      <c r="H159" s="3" t="s">
        <v>25</v>
      </c>
      <c r="I159" s="6">
        <v>44621</v>
      </c>
      <c r="J159" s="4">
        <v>444</v>
      </c>
      <c r="K159" s="4">
        <v>444</v>
      </c>
      <c r="L159" s="4">
        <v>0</v>
      </c>
      <c r="M159" s="4">
        <v>0</v>
      </c>
      <c r="N159" s="4">
        <v>0</v>
      </c>
      <c r="O159" s="4">
        <v>0</v>
      </c>
      <c r="P159" s="4">
        <v>3</v>
      </c>
      <c r="Q159" s="3" t="s">
        <v>26</v>
      </c>
      <c r="R159" s="3">
        <v>0</v>
      </c>
      <c r="S159" s="3" t="s">
        <v>153</v>
      </c>
      <c r="U159" s="3">
        <v>5</v>
      </c>
      <c r="V159" s="3">
        <v>0</v>
      </c>
      <c r="W159" s="3">
        <v>0</v>
      </c>
    </row>
    <row r="160" spans="1:23" ht="11.25" customHeight="1" x14ac:dyDescent="0.3">
      <c r="A160" s="3" t="s">
        <v>21</v>
      </c>
      <c r="B160" s="3" t="s">
        <v>34</v>
      </c>
      <c r="C160" s="3" t="s">
        <v>38</v>
      </c>
      <c r="D160" s="3" t="s">
        <v>33</v>
      </c>
      <c r="E160" s="3" t="s">
        <v>25</v>
      </c>
      <c r="F160" s="3" t="s">
        <v>25</v>
      </c>
      <c r="G160" s="3" t="s">
        <v>25</v>
      </c>
      <c r="H160" s="3" t="s">
        <v>25</v>
      </c>
      <c r="I160" s="6">
        <v>44652</v>
      </c>
      <c r="J160" s="4">
        <v>3211</v>
      </c>
      <c r="K160" s="4">
        <v>3211</v>
      </c>
      <c r="L160" s="4">
        <v>0</v>
      </c>
      <c r="M160" s="4">
        <v>0</v>
      </c>
      <c r="N160" s="4">
        <v>0</v>
      </c>
      <c r="O160" s="4">
        <v>0</v>
      </c>
      <c r="P160" s="4">
        <v>20</v>
      </c>
      <c r="Q160" s="3" t="s">
        <v>26</v>
      </c>
      <c r="R160" s="3">
        <v>0</v>
      </c>
      <c r="S160" s="3" t="s">
        <v>154</v>
      </c>
      <c r="U160" s="3">
        <v>5</v>
      </c>
      <c r="V160" s="3">
        <v>0</v>
      </c>
      <c r="W160" s="3">
        <v>0</v>
      </c>
    </row>
    <row r="161" spans="1:23" ht="11.25" customHeight="1" x14ac:dyDescent="0.3">
      <c r="A161" s="3" t="s">
        <v>27</v>
      </c>
      <c r="B161" s="3" t="s">
        <v>34</v>
      </c>
      <c r="C161" s="3" t="s">
        <v>38</v>
      </c>
      <c r="D161" s="3" t="s">
        <v>33</v>
      </c>
      <c r="E161" s="3" t="s">
        <v>25</v>
      </c>
      <c r="F161" s="3" t="s">
        <v>25</v>
      </c>
      <c r="G161" s="3" t="s">
        <v>25</v>
      </c>
      <c r="H161" s="3" t="s">
        <v>25</v>
      </c>
      <c r="I161" s="6">
        <v>44652</v>
      </c>
      <c r="J161" s="4">
        <v>457</v>
      </c>
      <c r="K161" s="4">
        <v>457</v>
      </c>
      <c r="L161" s="4">
        <v>0</v>
      </c>
      <c r="M161" s="4">
        <v>0</v>
      </c>
      <c r="N161" s="4">
        <v>0</v>
      </c>
      <c r="O161" s="4">
        <v>0</v>
      </c>
      <c r="P161" s="4">
        <v>3</v>
      </c>
      <c r="Q161" s="3" t="s">
        <v>26</v>
      </c>
      <c r="R161" s="3">
        <v>0</v>
      </c>
      <c r="S161" s="3" t="s">
        <v>154</v>
      </c>
      <c r="U161" s="3">
        <v>5</v>
      </c>
      <c r="V161" s="3">
        <v>0</v>
      </c>
      <c r="W161" s="3">
        <v>0</v>
      </c>
    </row>
    <row r="162" spans="1:23" ht="11.25" customHeight="1" x14ac:dyDescent="0.3">
      <c r="A162" s="3" t="s">
        <v>21</v>
      </c>
      <c r="B162" s="3" t="s">
        <v>34</v>
      </c>
      <c r="C162" s="3" t="s">
        <v>38</v>
      </c>
      <c r="D162" s="3" t="s">
        <v>33</v>
      </c>
      <c r="E162" s="3" t="s">
        <v>25</v>
      </c>
      <c r="F162" s="3" t="s">
        <v>25</v>
      </c>
      <c r="G162" s="3" t="s">
        <v>25</v>
      </c>
      <c r="H162" s="3" t="s">
        <v>25</v>
      </c>
      <c r="I162" s="6">
        <v>44682</v>
      </c>
      <c r="J162" s="4">
        <v>3209</v>
      </c>
      <c r="K162" s="4">
        <v>3209</v>
      </c>
      <c r="L162" s="4">
        <v>0</v>
      </c>
      <c r="M162" s="4">
        <v>0</v>
      </c>
      <c r="N162" s="4">
        <v>0</v>
      </c>
      <c r="O162" s="4">
        <v>0</v>
      </c>
      <c r="P162" s="4">
        <v>20</v>
      </c>
      <c r="Q162" s="3" t="s">
        <v>26</v>
      </c>
      <c r="R162" s="3">
        <v>0</v>
      </c>
      <c r="S162" s="3" t="s">
        <v>155</v>
      </c>
      <c r="U162" s="3">
        <v>5</v>
      </c>
      <c r="V162" s="3">
        <v>0</v>
      </c>
      <c r="W162" s="3">
        <v>0</v>
      </c>
    </row>
    <row r="163" spans="1:23" ht="11.25" customHeight="1" x14ac:dyDescent="0.3">
      <c r="A163" s="3" t="s">
        <v>27</v>
      </c>
      <c r="B163" s="3" t="s">
        <v>34</v>
      </c>
      <c r="C163" s="3" t="s">
        <v>38</v>
      </c>
      <c r="D163" s="3" t="s">
        <v>33</v>
      </c>
      <c r="E163" s="3" t="s">
        <v>25</v>
      </c>
      <c r="F163" s="3" t="s">
        <v>25</v>
      </c>
      <c r="G163" s="3" t="s">
        <v>25</v>
      </c>
      <c r="H163" s="3" t="s">
        <v>25</v>
      </c>
      <c r="I163" s="6">
        <v>44682</v>
      </c>
      <c r="J163" s="4">
        <v>449</v>
      </c>
      <c r="K163" s="4">
        <v>449</v>
      </c>
      <c r="L163" s="4">
        <v>0</v>
      </c>
      <c r="M163" s="4">
        <v>0</v>
      </c>
      <c r="N163" s="4">
        <v>0</v>
      </c>
      <c r="O163" s="4">
        <v>0</v>
      </c>
      <c r="P163" s="4">
        <v>3</v>
      </c>
      <c r="Q163" s="3" t="s">
        <v>26</v>
      </c>
      <c r="R163" s="3">
        <v>0</v>
      </c>
      <c r="S163" s="3" t="s">
        <v>155</v>
      </c>
      <c r="U163" s="3">
        <v>5</v>
      </c>
      <c r="V163" s="3">
        <v>0</v>
      </c>
      <c r="W163" s="3">
        <v>0</v>
      </c>
    </row>
    <row r="164" spans="1:23" ht="11.25" customHeight="1" x14ac:dyDescent="0.3">
      <c r="A164" s="3" t="s">
        <v>21</v>
      </c>
      <c r="B164" s="3" t="s">
        <v>34</v>
      </c>
      <c r="C164" s="3" t="s">
        <v>38</v>
      </c>
      <c r="D164" s="3" t="s">
        <v>33</v>
      </c>
      <c r="E164" s="3" t="s">
        <v>25</v>
      </c>
      <c r="F164" s="3" t="s">
        <v>25</v>
      </c>
      <c r="G164" s="3" t="s">
        <v>25</v>
      </c>
      <c r="H164" s="3" t="s">
        <v>25</v>
      </c>
      <c r="I164" s="6">
        <v>44713</v>
      </c>
      <c r="J164" s="4">
        <v>3197</v>
      </c>
      <c r="K164" s="4">
        <v>3197</v>
      </c>
      <c r="L164" s="4">
        <v>0</v>
      </c>
      <c r="M164" s="4">
        <v>0</v>
      </c>
      <c r="N164" s="4">
        <v>0</v>
      </c>
      <c r="O164" s="4">
        <v>0</v>
      </c>
      <c r="P164" s="4">
        <v>20</v>
      </c>
      <c r="Q164" s="3" t="s">
        <v>26</v>
      </c>
      <c r="R164" s="3">
        <v>0</v>
      </c>
      <c r="S164" s="3" t="s">
        <v>156</v>
      </c>
      <c r="U164" s="3">
        <v>5</v>
      </c>
      <c r="V164" s="3">
        <v>0</v>
      </c>
      <c r="W164" s="3">
        <v>0</v>
      </c>
    </row>
    <row r="165" spans="1:23" ht="11.25" customHeight="1" x14ac:dyDescent="0.3">
      <c r="A165" s="3" t="s">
        <v>27</v>
      </c>
      <c r="B165" s="3" t="s">
        <v>34</v>
      </c>
      <c r="C165" s="3" t="s">
        <v>38</v>
      </c>
      <c r="D165" s="3" t="s">
        <v>33</v>
      </c>
      <c r="E165" s="3" t="s">
        <v>25</v>
      </c>
      <c r="F165" s="3" t="s">
        <v>25</v>
      </c>
      <c r="G165" s="3" t="s">
        <v>25</v>
      </c>
      <c r="H165" s="3" t="s">
        <v>25</v>
      </c>
      <c r="I165" s="6">
        <v>44713</v>
      </c>
      <c r="J165" s="4">
        <v>473</v>
      </c>
      <c r="K165" s="4">
        <v>473</v>
      </c>
      <c r="L165" s="4">
        <v>0</v>
      </c>
      <c r="M165" s="4">
        <v>0</v>
      </c>
      <c r="N165" s="4">
        <v>0</v>
      </c>
      <c r="O165" s="4">
        <v>0</v>
      </c>
      <c r="P165" s="4">
        <v>3</v>
      </c>
      <c r="Q165" s="3" t="s">
        <v>26</v>
      </c>
      <c r="R165" s="3">
        <v>0</v>
      </c>
      <c r="S165" s="3" t="s">
        <v>156</v>
      </c>
      <c r="U165" s="3">
        <v>5</v>
      </c>
      <c r="V165" s="3">
        <v>0</v>
      </c>
      <c r="W165" s="3">
        <v>0</v>
      </c>
    </row>
    <row r="166" spans="1:23" ht="11.25" customHeight="1" x14ac:dyDescent="0.3">
      <c r="A166" s="3" t="s">
        <v>21</v>
      </c>
      <c r="B166" s="3" t="s">
        <v>34</v>
      </c>
      <c r="C166" s="3" t="s">
        <v>38</v>
      </c>
      <c r="D166" s="3" t="s">
        <v>33</v>
      </c>
      <c r="E166" s="3" t="s">
        <v>25</v>
      </c>
      <c r="F166" s="3" t="s">
        <v>25</v>
      </c>
      <c r="G166" s="3" t="s">
        <v>25</v>
      </c>
      <c r="H166" s="3" t="s">
        <v>25</v>
      </c>
      <c r="I166" s="6">
        <v>44743</v>
      </c>
      <c r="J166" s="4">
        <v>3018</v>
      </c>
      <c r="K166" s="4">
        <v>3018</v>
      </c>
      <c r="L166" s="4">
        <v>0</v>
      </c>
      <c r="M166" s="4">
        <v>0</v>
      </c>
      <c r="N166" s="4">
        <v>0</v>
      </c>
      <c r="O166" s="4">
        <v>0</v>
      </c>
      <c r="P166" s="4">
        <v>20</v>
      </c>
      <c r="Q166" s="3" t="s">
        <v>26</v>
      </c>
      <c r="R166" s="3">
        <v>0</v>
      </c>
      <c r="S166" s="3" t="s">
        <v>157</v>
      </c>
      <c r="U166" s="3">
        <v>5</v>
      </c>
      <c r="V166" s="3">
        <v>0</v>
      </c>
      <c r="W166" s="3">
        <v>0</v>
      </c>
    </row>
    <row r="167" spans="1:23" ht="11.25" customHeight="1" x14ac:dyDescent="0.3">
      <c r="A167" s="3" t="s">
        <v>27</v>
      </c>
      <c r="B167" s="3" t="s">
        <v>34</v>
      </c>
      <c r="C167" s="3" t="s">
        <v>38</v>
      </c>
      <c r="D167" s="3" t="s">
        <v>33</v>
      </c>
      <c r="E167" s="3" t="s">
        <v>25</v>
      </c>
      <c r="F167" s="3" t="s">
        <v>25</v>
      </c>
      <c r="G167" s="3" t="s">
        <v>25</v>
      </c>
      <c r="H167" s="3" t="s">
        <v>25</v>
      </c>
      <c r="I167" s="6">
        <v>44743</v>
      </c>
      <c r="J167" s="4">
        <v>470</v>
      </c>
      <c r="K167" s="4">
        <v>470</v>
      </c>
      <c r="L167" s="4">
        <v>0</v>
      </c>
      <c r="M167" s="4">
        <v>0</v>
      </c>
      <c r="N167" s="4">
        <v>0</v>
      </c>
      <c r="O167" s="4">
        <v>0</v>
      </c>
      <c r="P167" s="4">
        <v>3</v>
      </c>
      <c r="Q167" s="3" t="s">
        <v>26</v>
      </c>
      <c r="R167" s="3">
        <v>0</v>
      </c>
      <c r="S167" s="3" t="s">
        <v>157</v>
      </c>
      <c r="U167" s="3">
        <v>5</v>
      </c>
      <c r="V167" s="3">
        <v>0</v>
      </c>
      <c r="W167" s="3">
        <v>0</v>
      </c>
    </row>
    <row r="168" spans="1:23" ht="11.25" customHeight="1" x14ac:dyDescent="0.3">
      <c r="A168" s="3" t="s">
        <v>53</v>
      </c>
      <c r="B168" s="3" t="s">
        <v>34</v>
      </c>
      <c r="C168" s="3" t="s">
        <v>38</v>
      </c>
      <c r="D168" s="3" t="s">
        <v>33</v>
      </c>
      <c r="E168" s="3" t="s">
        <v>25</v>
      </c>
      <c r="F168" s="3" t="s">
        <v>25</v>
      </c>
      <c r="G168" s="3" t="s">
        <v>25</v>
      </c>
      <c r="H168" s="3" t="s">
        <v>25</v>
      </c>
      <c r="I168" s="6">
        <v>44774</v>
      </c>
      <c r="J168" s="4">
        <v>3018</v>
      </c>
      <c r="K168" s="4">
        <v>3018</v>
      </c>
      <c r="L168" s="4">
        <v>0</v>
      </c>
      <c r="M168" s="4">
        <v>0</v>
      </c>
      <c r="N168" s="4">
        <v>0</v>
      </c>
      <c r="O168" s="4">
        <v>0</v>
      </c>
      <c r="P168" s="4">
        <v>20</v>
      </c>
      <c r="Q168" s="3" t="s">
        <v>26</v>
      </c>
      <c r="R168" s="3">
        <v>0</v>
      </c>
      <c r="S168" s="3" t="s">
        <v>158</v>
      </c>
      <c r="U168" s="3">
        <v>5</v>
      </c>
      <c r="V168" s="3">
        <v>0</v>
      </c>
      <c r="W168" s="3">
        <v>0</v>
      </c>
    </row>
    <row r="169" spans="1:23" ht="11.25" customHeight="1" x14ac:dyDescent="0.3">
      <c r="A169" s="3" t="s">
        <v>53</v>
      </c>
      <c r="B169" s="3" t="s">
        <v>34</v>
      </c>
      <c r="C169" s="3" t="s">
        <v>38</v>
      </c>
      <c r="D169" s="3" t="s">
        <v>33</v>
      </c>
      <c r="E169" s="3" t="s">
        <v>25</v>
      </c>
      <c r="F169" s="3" t="s">
        <v>25</v>
      </c>
      <c r="G169" s="3" t="s">
        <v>25</v>
      </c>
      <c r="H169" s="3" t="s">
        <v>25</v>
      </c>
      <c r="I169" s="6">
        <v>44774</v>
      </c>
      <c r="J169" s="4">
        <v>470</v>
      </c>
      <c r="K169" s="4">
        <v>470</v>
      </c>
      <c r="L169" s="4">
        <v>0</v>
      </c>
      <c r="M169" s="4">
        <v>0</v>
      </c>
      <c r="N169" s="4">
        <v>0</v>
      </c>
      <c r="O169" s="4">
        <v>0</v>
      </c>
      <c r="P169" s="4">
        <v>3</v>
      </c>
      <c r="Q169" s="3" t="s">
        <v>26</v>
      </c>
      <c r="R169" s="3">
        <v>0</v>
      </c>
      <c r="S169" s="3" t="s">
        <v>158</v>
      </c>
      <c r="U169" s="3">
        <v>5</v>
      </c>
      <c r="V169" s="3">
        <v>0</v>
      </c>
      <c r="W169" s="3">
        <v>0</v>
      </c>
    </row>
    <row r="170" spans="1:23" ht="11.25" customHeight="1" x14ac:dyDescent="0.3">
      <c r="A170" s="3" t="s">
        <v>21</v>
      </c>
      <c r="B170" s="3" t="s">
        <v>34</v>
      </c>
      <c r="C170" s="3" t="s">
        <v>38</v>
      </c>
      <c r="D170" s="3" t="s">
        <v>33</v>
      </c>
      <c r="E170" s="3" t="s">
        <v>25</v>
      </c>
      <c r="F170" s="3" t="s">
        <v>25</v>
      </c>
      <c r="G170" s="3" t="s">
        <v>25</v>
      </c>
      <c r="H170" s="3" t="s">
        <v>36</v>
      </c>
      <c r="I170" s="6">
        <v>44440</v>
      </c>
      <c r="J170" s="4">
        <v>0</v>
      </c>
      <c r="K170" s="4">
        <v>0</v>
      </c>
      <c r="L170" s="4">
        <v>18.285</v>
      </c>
      <c r="M170" s="4">
        <v>18.285</v>
      </c>
      <c r="N170" s="4">
        <v>18.285</v>
      </c>
      <c r="O170" s="4">
        <v>18.285</v>
      </c>
      <c r="P170" s="4">
        <v>0</v>
      </c>
      <c r="Q170" s="3" t="s">
        <v>26</v>
      </c>
      <c r="R170" s="3">
        <v>0</v>
      </c>
      <c r="S170" s="3" t="s">
        <v>159</v>
      </c>
      <c r="T170" s="3" t="s">
        <v>280</v>
      </c>
      <c r="U170" s="3">
        <v>0</v>
      </c>
      <c r="V170" s="3">
        <v>13</v>
      </c>
      <c r="W170" s="3">
        <v>22</v>
      </c>
    </row>
    <row r="171" spans="1:23" ht="11.25" customHeight="1" x14ac:dyDescent="0.3">
      <c r="A171" s="3" t="s">
        <v>27</v>
      </c>
      <c r="B171" s="3" t="s">
        <v>34</v>
      </c>
      <c r="C171" s="3" t="s">
        <v>38</v>
      </c>
      <c r="D171" s="3" t="s">
        <v>33</v>
      </c>
      <c r="E171" s="3" t="s">
        <v>25</v>
      </c>
      <c r="F171" s="3" t="s">
        <v>25</v>
      </c>
      <c r="G171" s="3" t="s">
        <v>25</v>
      </c>
      <c r="H171" s="3" t="s">
        <v>36</v>
      </c>
      <c r="I171" s="6">
        <v>44440</v>
      </c>
      <c r="J171" s="4">
        <v>0</v>
      </c>
      <c r="K171" s="4">
        <v>0</v>
      </c>
      <c r="L171" s="4">
        <v>0.46100000000000002</v>
      </c>
      <c r="M171" s="4">
        <v>0.46100000000000002</v>
      </c>
      <c r="N171" s="4">
        <v>0.46100000000000002</v>
      </c>
      <c r="O171" s="4">
        <v>0.46100000000000002</v>
      </c>
      <c r="P171" s="4">
        <v>0</v>
      </c>
      <c r="Q171" s="3" t="s">
        <v>26</v>
      </c>
      <c r="R171" s="3">
        <v>0</v>
      </c>
      <c r="S171" s="3" t="s">
        <v>159</v>
      </c>
      <c r="T171" s="3" t="s">
        <v>280</v>
      </c>
      <c r="U171" s="3">
        <v>0</v>
      </c>
      <c r="V171" s="3">
        <v>13</v>
      </c>
      <c r="W171" s="3">
        <v>22</v>
      </c>
    </row>
    <row r="172" spans="1:23" ht="11.25" customHeight="1" x14ac:dyDescent="0.3">
      <c r="A172" s="3" t="s">
        <v>21</v>
      </c>
      <c r="B172" s="3" t="s">
        <v>34</v>
      </c>
      <c r="C172" s="3" t="s">
        <v>38</v>
      </c>
      <c r="D172" s="3" t="s">
        <v>33</v>
      </c>
      <c r="E172" s="3" t="s">
        <v>25</v>
      </c>
      <c r="F172" s="3" t="s">
        <v>25</v>
      </c>
      <c r="G172" s="3" t="s">
        <v>25</v>
      </c>
      <c r="H172" s="3" t="s">
        <v>36</v>
      </c>
      <c r="I172" s="6">
        <v>44470</v>
      </c>
      <c r="J172" s="4">
        <v>0</v>
      </c>
      <c r="K172" s="4">
        <v>0</v>
      </c>
      <c r="L172" s="4">
        <v>18.222999999999999</v>
      </c>
      <c r="M172" s="4">
        <v>18.222999999999999</v>
      </c>
      <c r="N172" s="4">
        <v>18.222999999999999</v>
      </c>
      <c r="O172" s="4">
        <v>18.222999999999999</v>
      </c>
      <c r="P172" s="4">
        <v>0</v>
      </c>
      <c r="Q172" s="3" t="s">
        <v>26</v>
      </c>
      <c r="R172" s="3">
        <v>0</v>
      </c>
      <c r="S172" s="3" t="s">
        <v>160</v>
      </c>
      <c r="T172" s="3" t="s">
        <v>281</v>
      </c>
      <c r="U172" s="3">
        <v>0</v>
      </c>
      <c r="V172" s="3">
        <v>13</v>
      </c>
      <c r="W172" s="3">
        <v>22</v>
      </c>
    </row>
    <row r="173" spans="1:23" ht="11.25" customHeight="1" x14ac:dyDescent="0.3">
      <c r="A173" s="3" t="s">
        <v>27</v>
      </c>
      <c r="B173" s="3" t="s">
        <v>34</v>
      </c>
      <c r="C173" s="3" t="s">
        <v>38</v>
      </c>
      <c r="D173" s="3" t="s">
        <v>33</v>
      </c>
      <c r="E173" s="3" t="s">
        <v>25</v>
      </c>
      <c r="F173" s="3" t="s">
        <v>25</v>
      </c>
      <c r="G173" s="3" t="s">
        <v>25</v>
      </c>
      <c r="H173" s="3" t="s">
        <v>36</v>
      </c>
      <c r="I173" s="6">
        <v>44470</v>
      </c>
      <c r="J173" s="4">
        <v>0</v>
      </c>
      <c r="K173" s="4">
        <v>0</v>
      </c>
      <c r="L173" s="4">
        <v>0.41399999999999998</v>
      </c>
      <c r="M173" s="4">
        <v>0.41399999999999998</v>
      </c>
      <c r="N173" s="4">
        <v>0.41399999999999998</v>
      </c>
      <c r="O173" s="4">
        <v>0.41399999999999998</v>
      </c>
      <c r="P173" s="4">
        <v>0</v>
      </c>
      <c r="Q173" s="3" t="s">
        <v>26</v>
      </c>
      <c r="R173" s="3">
        <v>0</v>
      </c>
      <c r="S173" s="3" t="s">
        <v>160</v>
      </c>
      <c r="T173" s="3" t="s">
        <v>281</v>
      </c>
      <c r="U173" s="3">
        <v>0</v>
      </c>
      <c r="V173" s="3">
        <v>13</v>
      </c>
      <c r="W173" s="3">
        <v>22</v>
      </c>
    </row>
    <row r="174" spans="1:23" ht="11.25" customHeight="1" x14ac:dyDescent="0.3">
      <c r="A174" s="3" t="s">
        <v>21</v>
      </c>
      <c r="B174" s="3" t="s">
        <v>34</v>
      </c>
      <c r="C174" s="3" t="s">
        <v>38</v>
      </c>
      <c r="D174" s="3" t="s">
        <v>33</v>
      </c>
      <c r="E174" s="3" t="s">
        <v>25</v>
      </c>
      <c r="F174" s="3" t="s">
        <v>25</v>
      </c>
      <c r="G174" s="3" t="s">
        <v>25</v>
      </c>
      <c r="H174" s="3" t="s">
        <v>36</v>
      </c>
      <c r="I174" s="6">
        <v>44501</v>
      </c>
      <c r="J174" s="4">
        <v>0</v>
      </c>
      <c r="K174" s="4">
        <v>0</v>
      </c>
      <c r="L174" s="4">
        <v>17.599</v>
      </c>
      <c r="M174" s="4">
        <v>17.599</v>
      </c>
      <c r="N174" s="4">
        <v>17.599</v>
      </c>
      <c r="O174" s="4">
        <v>17.599</v>
      </c>
      <c r="P174" s="4">
        <v>0</v>
      </c>
      <c r="Q174" s="3" t="s">
        <v>26</v>
      </c>
      <c r="R174" s="3">
        <v>0</v>
      </c>
      <c r="S174" s="3" t="s">
        <v>161</v>
      </c>
      <c r="T174" s="3" t="s">
        <v>282</v>
      </c>
      <c r="U174" s="3">
        <v>0</v>
      </c>
      <c r="V174" s="3">
        <v>13</v>
      </c>
      <c r="W174" s="3">
        <v>22</v>
      </c>
    </row>
    <row r="175" spans="1:23" ht="11.25" customHeight="1" x14ac:dyDescent="0.3">
      <c r="A175" s="3" t="s">
        <v>27</v>
      </c>
      <c r="B175" s="3" t="s">
        <v>34</v>
      </c>
      <c r="C175" s="3" t="s">
        <v>38</v>
      </c>
      <c r="D175" s="3" t="s">
        <v>33</v>
      </c>
      <c r="E175" s="3" t="s">
        <v>25</v>
      </c>
      <c r="F175" s="3" t="s">
        <v>25</v>
      </c>
      <c r="G175" s="3" t="s">
        <v>25</v>
      </c>
      <c r="H175" s="3" t="s">
        <v>36</v>
      </c>
      <c r="I175" s="6">
        <v>44501</v>
      </c>
      <c r="J175" s="4">
        <v>0</v>
      </c>
      <c r="K175" s="4">
        <v>0</v>
      </c>
      <c r="L175" s="4">
        <v>8.9999999999999993E-3</v>
      </c>
      <c r="M175" s="4">
        <v>8.9999999999999993E-3</v>
      </c>
      <c r="N175" s="4">
        <v>8.9999999999999993E-3</v>
      </c>
      <c r="O175" s="4">
        <v>8.9999999999999993E-3</v>
      </c>
      <c r="P175" s="4">
        <v>0</v>
      </c>
      <c r="Q175" s="3" t="s">
        <v>26</v>
      </c>
      <c r="R175" s="3">
        <v>0</v>
      </c>
      <c r="S175" s="3" t="s">
        <v>161</v>
      </c>
      <c r="T175" s="3" t="s">
        <v>282</v>
      </c>
      <c r="U175" s="3">
        <v>0</v>
      </c>
      <c r="V175" s="3">
        <v>13</v>
      </c>
      <c r="W175" s="3">
        <v>22</v>
      </c>
    </row>
    <row r="176" spans="1:23" ht="11.25" customHeight="1" x14ac:dyDescent="0.3">
      <c r="A176" s="3" t="s">
        <v>21</v>
      </c>
      <c r="B176" s="3" t="s">
        <v>34</v>
      </c>
      <c r="C176" s="3" t="s">
        <v>38</v>
      </c>
      <c r="D176" s="3" t="s">
        <v>33</v>
      </c>
      <c r="E176" s="3" t="s">
        <v>25</v>
      </c>
      <c r="F176" s="3" t="s">
        <v>25</v>
      </c>
      <c r="G176" s="3" t="s">
        <v>25</v>
      </c>
      <c r="H176" s="3" t="s">
        <v>36</v>
      </c>
      <c r="I176" s="6">
        <v>44531</v>
      </c>
      <c r="J176" s="4">
        <v>0</v>
      </c>
      <c r="K176" s="4">
        <v>0</v>
      </c>
      <c r="L176" s="4">
        <v>18.041</v>
      </c>
      <c r="M176" s="4">
        <v>18.041</v>
      </c>
      <c r="N176" s="4">
        <v>18.041</v>
      </c>
      <c r="O176" s="4">
        <v>18.041</v>
      </c>
      <c r="P176" s="4">
        <v>0</v>
      </c>
      <c r="Q176" s="3" t="s">
        <v>26</v>
      </c>
      <c r="R176" s="3">
        <v>0</v>
      </c>
      <c r="S176" s="3" t="s">
        <v>162</v>
      </c>
      <c r="T176" s="3" t="s">
        <v>283</v>
      </c>
      <c r="U176" s="3">
        <v>0</v>
      </c>
      <c r="V176" s="3">
        <v>13</v>
      </c>
      <c r="W176" s="3">
        <v>22</v>
      </c>
    </row>
    <row r="177" spans="1:23" ht="11.25" customHeight="1" x14ac:dyDescent="0.3">
      <c r="A177" s="3" t="s">
        <v>27</v>
      </c>
      <c r="B177" s="3" t="s">
        <v>34</v>
      </c>
      <c r="C177" s="3" t="s">
        <v>38</v>
      </c>
      <c r="D177" s="3" t="s">
        <v>33</v>
      </c>
      <c r="E177" s="3" t="s">
        <v>25</v>
      </c>
      <c r="F177" s="3" t="s">
        <v>25</v>
      </c>
      <c r="G177" s="3" t="s">
        <v>25</v>
      </c>
      <c r="H177" s="3" t="s">
        <v>36</v>
      </c>
      <c r="I177" s="6">
        <v>44531</v>
      </c>
      <c r="J177" s="4">
        <v>0</v>
      </c>
      <c r="K177" s="4">
        <v>0</v>
      </c>
      <c r="L177" s="4">
        <v>0.66</v>
      </c>
      <c r="M177" s="4">
        <v>0.66</v>
      </c>
      <c r="N177" s="4">
        <v>0.66</v>
      </c>
      <c r="O177" s="4">
        <v>0.66</v>
      </c>
      <c r="P177" s="4">
        <v>0</v>
      </c>
      <c r="Q177" s="3" t="s">
        <v>26</v>
      </c>
      <c r="R177" s="3">
        <v>0</v>
      </c>
      <c r="S177" s="3" t="s">
        <v>162</v>
      </c>
      <c r="T177" s="3" t="s">
        <v>283</v>
      </c>
      <c r="U177" s="3">
        <v>0</v>
      </c>
      <c r="V177" s="3">
        <v>13</v>
      </c>
      <c r="W177" s="3">
        <v>22</v>
      </c>
    </row>
    <row r="178" spans="1:23" ht="11.25" customHeight="1" x14ac:dyDescent="0.3">
      <c r="A178" s="3" t="s">
        <v>21</v>
      </c>
      <c r="B178" s="3" t="s">
        <v>34</v>
      </c>
      <c r="C178" s="3" t="s">
        <v>38</v>
      </c>
      <c r="D178" s="3" t="s">
        <v>33</v>
      </c>
      <c r="E178" s="3" t="s">
        <v>25</v>
      </c>
      <c r="F178" s="3" t="s">
        <v>25</v>
      </c>
      <c r="G178" s="3" t="s">
        <v>25</v>
      </c>
      <c r="H178" s="3" t="s">
        <v>36</v>
      </c>
      <c r="I178" s="6">
        <v>44562</v>
      </c>
      <c r="J178" s="4">
        <v>0</v>
      </c>
      <c r="K178" s="4">
        <v>0</v>
      </c>
      <c r="L178" s="4">
        <v>21.481000000000002</v>
      </c>
      <c r="M178" s="4">
        <v>21.481000000000002</v>
      </c>
      <c r="N178" s="4">
        <v>21.481000000000002</v>
      </c>
      <c r="O178" s="4">
        <v>21.481000000000002</v>
      </c>
      <c r="P178" s="4">
        <v>0</v>
      </c>
      <c r="Q178" s="3" t="s">
        <v>26</v>
      </c>
      <c r="R178" s="3">
        <v>0</v>
      </c>
      <c r="S178" s="3" t="s">
        <v>163</v>
      </c>
      <c r="T178" s="3" t="s">
        <v>284</v>
      </c>
      <c r="U178" s="3">
        <v>0</v>
      </c>
      <c r="V178" s="3">
        <v>13</v>
      </c>
      <c r="W178" s="3">
        <v>22</v>
      </c>
    </row>
    <row r="179" spans="1:23" ht="11.25" customHeight="1" x14ac:dyDescent="0.3">
      <c r="A179" s="3" t="s">
        <v>27</v>
      </c>
      <c r="B179" s="3" t="s">
        <v>34</v>
      </c>
      <c r="C179" s="3" t="s">
        <v>38</v>
      </c>
      <c r="D179" s="3" t="s">
        <v>33</v>
      </c>
      <c r="E179" s="3" t="s">
        <v>25</v>
      </c>
      <c r="F179" s="3" t="s">
        <v>25</v>
      </c>
      <c r="G179" s="3" t="s">
        <v>25</v>
      </c>
      <c r="H179" s="3" t="s">
        <v>36</v>
      </c>
      <c r="I179" s="6">
        <v>44562</v>
      </c>
      <c r="J179" s="4">
        <v>0</v>
      </c>
      <c r="K179" s="4">
        <v>0</v>
      </c>
      <c r="L179" s="4">
        <v>0.108</v>
      </c>
      <c r="M179" s="4">
        <v>0.108</v>
      </c>
      <c r="N179" s="4">
        <v>0.108</v>
      </c>
      <c r="O179" s="4">
        <v>0.108</v>
      </c>
      <c r="P179" s="4">
        <v>0</v>
      </c>
      <c r="Q179" s="3" t="s">
        <v>26</v>
      </c>
      <c r="R179" s="3">
        <v>0</v>
      </c>
      <c r="S179" s="3" t="s">
        <v>163</v>
      </c>
      <c r="T179" s="3" t="s">
        <v>284</v>
      </c>
      <c r="U179" s="3">
        <v>0</v>
      </c>
      <c r="V179" s="3">
        <v>13</v>
      </c>
      <c r="W179" s="3">
        <v>22</v>
      </c>
    </row>
    <row r="180" spans="1:23" ht="11.25" customHeight="1" x14ac:dyDescent="0.3">
      <c r="A180" s="3" t="s">
        <v>21</v>
      </c>
      <c r="B180" s="3" t="s">
        <v>34</v>
      </c>
      <c r="C180" s="3" t="s">
        <v>38</v>
      </c>
      <c r="D180" s="3" t="s">
        <v>33</v>
      </c>
      <c r="E180" s="3" t="s">
        <v>25</v>
      </c>
      <c r="F180" s="3" t="s">
        <v>25</v>
      </c>
      <c r="G180" s="3" t="s">
        <v>25</v>
      </c>
      <c r="H180" s="3" t="s">
        <v>36</v>
      </c>
      <c r="I180" s="6">
        <v>44593</v>
      </c>
      <c r="J180" s="4">
        <v>0</v>
      </c>
      <c r="K180" s="4">
        <v>0</v>
      </c>
      <c r="L180" s="4">
        <v>19.751999999999999</v>
      </c>
      <c r="M180" s="4">
        <v>19.751999999999999</v>
      </c>
      <c r="N180" s="4">
        <v>19.751999999999999</v>
      </c>
      <c r="O180" s="4">
        <v>19.751999999999999</v>
      </c>
      <c r="P180" s="4">
        <v>0</v>
      </c>
      <c r="Q180" s="3" t="s">
        <v>26</v>
      </c>
      <c r="R180" s="3">
        <v>0</v>
      </c>
      <c r="S180" s="3" t="s">
        <v>164</v>
      </c>
      <c r="T180" s="3" t="s">
        <v>285</v>
      </c>
      <c r="U180" s="3">
        <v>0</v>
      </c>
      <c r="V180" s="3">
        <v>13</v>
      </c>
      <c r="W180" s="3">
        <v>22</v>
      </c>
    </row>
    <row r="181" spans="1:23" ht="11.25" customHeight="1" x14ac:dyDescent="0.3">
      <c r="A181" s="3" t="s">
        <v>27</v>
      </c>
      <c r="B181" s="3" t="s">
        <v>34</v>
      </c>
      <c r="C181" s="3" t="s">
        <v>38</v>
      </c>
      <c r="D181" s="3" t="s">
        <v>33</v>
      </c>
      <c r="E181" s="3" t="s">
        <v>25</v>
      </c>
      <c r="F181" s="3" t="s">
        <v>25</v>
      </c>
      <c r="G181" s="3" t="s">
        <v>25</v>
      </c>
      <c r="H181" s="3" t="s">
        <v>36</v>
      </c>
      <c r="I181" s="6">
        <v>44593</v>
      </c>
      <c r="J181" s="4">
        <v>0</v>
      </c>
      <c r="K181" s="4">
        <v>0</v>
      </c>
      <c r="L181" s="4">
        <v>6.0000000000000001E-3</v>
      </c>
      <c r="M181" s="4">
        <v>6.0000000000000001E-3</v>
      </c>
      <c r="N181" s="4">
        <v>6.0000000000000001E-3</v>
      </c>
      <c r="O181" s="4">
        <v>6.0000000000000001E-3</v>
      </c>
      <c r="P181" s="4">
        <v>0</v>
      </c>
      <c r="Q181" s="3" t="s">
        <v>26</v>
      </c>
      <c r="R181" s="3">
        <v>0</v>
      </c>
      <c r="S181" s="3" t="s">
        <v>164</v>
      </c>
      <c r="T181" s="3" t="s">
        <v>285</v>
      </c>
      <c r="U181" s="3">
        <v>0</v>
      </c>
      <c r="V181" s="3">
        <v>13</v>
      </c>
      <c r="W181" s="3">
        <v>22</v>
      </c>
    </row>
    <row r="182" spans="1:23" ht="11.25" customHeight="1" x14ac:dyDescent="0.3">
      <c r="A182" s="3" t="s">
        <v>21</v>
      </c>
      <c r="B182" s="3" t="s">
        <v>34</v>
      </c>
      <c r="C182" s="3" t="s">
        <v>38</v>
      </c>
      <c r="D182" s="3" t="s">
        <v>33</v>
      </c>
      <c r="E182" s="3" t="s">
        <v>25</v>
      </c>
      <c r="F182" s="3" t="s">
        <v>25</v>
      </c>
      <c r="G182" s="3" t="s">
        <v>25</v>
      </c>
      <c r="H182" s="3" t="s">
        <v>36</v>
      </c>
      <c r="I182" s="6">
        <v>44621</v>
      </c>
      <c r="J182" s="4">
        <v>0</v>
      </c>
      <c r="K182" s="4">
        <v>0</v>
      </c>
      <c r="L182" s="4">
        <v>52.637999999999998</v>
      </c>
      <c r="M182" s="4">
        <v>52.637999999999998</v>
      </c>
      <c r="N182" s="4">
        <v>52.637999999999998</v>
      </c>
      <c r="O182" s="4">
        <v>52.637999999999998</v>
      </c>
      <c r="P182" s="4">
        <v>0</v>
      </c>
      <c r="Q182" s="3" t="s">
        <v>26</v>
      </c>
      <c r="R182" s="3">
        <v>0</v>
      </c>
      <c r="S182" s="3" t="s">
        <v>165</v>
      </c>
      <c r="T182" s="3" t="s">
        <v>286</v>
      </c>
      <c r="U182" s="3">
        <v>0</v>
      </c>
      <c r="V182" s="3">
        <v>13</v>
      </c>
      <c r="W182" s="3">
        <v>22</v>
      </c>
    </row>
    <row r="183" spans="1:23" ht="11.25" customHeight="1" x14ac:dyDescent="0.3">
      <c r="A183" s="3" t="s">
        <v>27</v>
      </c>
      <c r="B183" s="3" t="s">
        <v>34</v>
      </c>
      <c r="C183" s="3" t="s">
        <v>38</v>
      </c>
      <c r="D183" s="3" t="s">
        <v>33</v>
      </c>
      <c r="E183" s="3" t="s">
        <v>25</v>
      </c>
      <c r="F183" s="3" t="s">
        <v>25</v>
      </c>
      <c r="G183" s="3" t="s">
        <v>25</v>
      </c>
      <c r="H183" s="3" t="s">
        <v>36</v>
      </c>
      <c r="I183" s="6">
        <v>44621</v>
      </c>
      <c r="J183" s="4">
        <v>0</v>
      </c>
      <c r="K183" s="4">
        <v>0</v>
      </c>
      <c r="L183" s="4">
        <v>2.5999999999999999E-2</v>
      </c>
      <c r="M183" s="4">
        <v>2.5999999999999999E-2</v>
      </c>
      <c r="N183" s="4">
        <v>2.5999999999999999E-2</v>
      </c>
      <c r="O183" s="4">
        <v>2.5999999999999999E-2</v>
      </c>
      <c r="P183" s="4">
        <v>0</v>
      </c>
      <c r="Q183" s="3" t="s">
        <v>26</v>
      </c>
      <c r="R183" s="3">
        <v>0</v>
      </c>
      <c r="S183" s="3" t="s">
        <v>165</v>
      </c>
      <c r="T183" s="3" t="s">
        <v>286</v>
      </c>
      <c r="U183" s="3">
        <v>0</v>
      </c>
      <c r="V183" s="3">
        <v>13</v>
      </c>
      <c r="W183" s="3">
        <v>22</v>
      </c>
    </row>
    <row r="184" spans="1:23" ht="11.25" customHeight="1" x14ac:dyDescent="0.3">
      <c r="A184" s="3" t="s">
        <v>21</v>
      </c>
      <c r="B184" s="3" t="s">
        <v>34</v>
      </c>
      <c r="C184" s="3" t="s">
        <v>38</v>
      </c>
      <c r="D184" s="3" t="s">
        <v>33</v>
      </c>
      <c r="E184" s="3" t="s">
        <v>25</v>
      </c>
      <c r="F184" s="3" t="s">
        <v>25</v>
      </c>
      <c r="G184" s="3" t="s">
        <v>25</v>
      </c>
      <c r="H184" s="3" t="s">
        <v>36</v>
      </c>
      <c r="I184" s="6">
        <v>44652</v>
      </c>
      <c r="J184" s="4">
        <v>0</v>
      </c>
      <c r="K184" s="4">
        <v>0</v>
      </c>
      <c r="L184" s="4">
        <v>40.677</v>
      </c>
      <c r="M184" s="4">
        <v>40.677</v>
      </c>
      <c r="N184" s="4">
        <v>40.677</v>
      </c>
      <c r="O184" s="4">
        <v>40.677</v>
      </c>
      <c r="P184" s="4">
        <v>0</v>
      </c>
      <c r="Q184" s="3" t="s">
        <v>26</v>
      </c>
      <c r="R184" s="3">
        <v>0</v>
      </c>
      <c r="S184" s="3" t="s">
        <v>166</v>
      </c>
      <c r="T184" s="3" t="s">
        <v>287</v>
      </c>
      <c r="U184" s="3">
        <v>0</v>
      </c>
      <c r="V184" s="3">
        <v>13</v>
      </c>
      <c r="W184" s="3">
        <v>22</v>
      </c>
    </row>
    <row r="185" spans="1:23" ht="11.25" customHeight="1" x14ac:dyDescent="0.3">
      <c r="A185" s="3" t="s">
        <v>27</v>
      </c>
      <c r="B185" s="3" t="s">
        <v>34</v>
      </c>
      <c r="C185" s="3" t="s">
        <v>38</v>
      </c>
      <c r="D185" s="3" t="s">
        <v>33</v>
      </c>
      <c r="E185" s="3" t="s">
        <v>25</v>
      </c>
      <c r="F185" s="3" t="s">
        <v>25</v>
      </c>
      <c r="G185" s="3" t="s">
        <v>25</v>
      </c>
      <c r="H185" s="3" t="s">
        <v>36</v>
      </c>
      <c r="I185" s="6">
        <v>44652</v>
      </c>
      <c r="J185" s="4">
        <v>0</v>
      </c>
      <c r="K185" s="4">
        <v>0</v>
      </c>
      <c r="L185" s="4">
        <v>0.151</v>
      </c>
      <c r="M185" s="4">
        <v>0.151</v>
      </c>
      <c r="N185" s="4">
        <v>0.151</v>
      </c>
      <c r="O185" s="4">
        <v>0.151</v>
      </c>
      <c r="P185" s="4">
        <v>0</v>
      </c>
      <c r="Q185" s="3" t="s">
        <v>26</v>
      </c>
      <c r="R185" s="3">
        <v>0</v>
      </c>
      <c r="S185" s="3" t="s">
        <v>166</v>
      </c>
      <c r="T185" s="3" t="s">
        <v>287</v>
      </c>
      <c r="U185" s="3">
        <v>0</v>
      </c>
      <c r="V185" s="3">
        <v>13</v>
      </c>
      <c r="W185" s="3">
        <v>22</v>
      </c>
    </row>
    <row r="186" spans="1:23" ht="11.25" customHeight="1" x14ac:dyDescent="0.3">
      <c r="A186" s="3" t="s">
        <v>21</v>
      </c>
      <c r="B186" s="3" t="s">
        <v>34</v>
      </c>
      <c r="C186" s="3" t="s">
        <v>38</v>
      </c>
      <c r="D186" s="3" t="s">
        <v>33</v>
      </c>
      <c r="E186" s="3" t="s">
        <v>25</v>
      </c>
      <c r="F186" s="3" t="s">
        <v>25</v>
      </c>
      <c r="G186" s="3" t="s">
        <v>25</v>
      </c>
      <c r="H186" s="3" t="s">
        <v>36</v>
      </c>
      <c r="I186" s="6">
        <v>44682</v>
      </c>
      <c r="J186" s="4">
        <v>0</v>
      </c>
      <c r="K186" s="4">
        <v>0</v>
      </c>
      <c r="L186" s="4">
        <v>16.521000000000001</v>
      </c>
      <c r="M186" s="4">
        <v>16.521000000000001</v>
      </c>
      <c r="N186" s="4">
        <v>16.521000000000001</v>
      </c>
      <c r="O186" s="4">
        <v>16.521000000000001</v>
      </c>
      <c r="P186" s="4">
        <v>0</v>
      </c>
      <c r="Q186" s="3" t="s">
        <v>26</v>
      </c>
      <c r="R186" s="3">
        <v>0</v>
      </c>
      <c r="S186" s="3" t="s">
        <v>167</v>
      </c>
      <c r="T186" s="3" t="s">
        <v>288</v>
      </c>
      <c r="U186" s="3">
        <v>0</v>
      </c>
      <c r="V186" s="3">
        <v>13</v>
      </c>
      <c r="W186" s="3">
        <v>22</v>
      </c>
    </row>
    <row r="187" spans="1:23" ht="11.25" customHeight="1" x14ac:dyDescent="0.3">
      <c r="A187" s="3" t="s">
        <v>27</v>
      </c>
      <c r="B187" s="3" t="s">
        <v>34</v>
      </c>
      <c r="C187" s="3" t="s">
        <v>38</v>
      </c>
      <c r="D187" s="3" t="s">
        <v>33</v>
      </c>
      <c r="E187" s="3" t="s">
        <v>25</v>
      </c>
      <c r="F187" s="3" t="s">
        <v>25</v>
      </c>
      <c r="G187" s="3" t="s">
        <v>25</v>
      </c>
      <c r="H187" s="3" t="s">
        <v>36</v>
      </c>
      <c r="I187" s="6">
        <v>44682</v>
      </c>
      <c r="J187" s="4">
        <v>0</v>
      </c>
      <c r="K187" s="4">
        <v>0</v>
      </c>
      <c r="L187" s="4">
        <v>0.109</v>
      </c>
      <c r="M187" s="4">
        <v>0.109</v>
      </c>
      <c r="N187" s="4">
        <v>0.109</v>
      </c>
      <c r="O187" s="4">
        <v>0.109</v>
      </c>
      <c r="P187" s="4">
        <v>0</v>
      </c>
      <c r="Q187" s="3" t="s">
        <v>26</v>
      </c>
      <c r="R187" s="3">
        <v>0</v>
      </c>
      <c r="S187" s="3" t="s">
        <v>167</v>
      </c>
      <c r="T187" s="3" t="s">
        <v>288</v>
      </c>
      <c r="U187" s="3">
        <v>0</v>
      </c>
      <c r="V187" s="3">
        <v>13</v>
      </c>
      <c r="W187" s="3">
        <v>22</v>
      </c>
    </row>
    <row r="188" spans="1:23" ht="11.25" customHeight="1" x14ac:dyDescent="0.3">
      <c r="A188" s="3" t="s">
        <v>21</v>
      </c>
      <c r="B188" s="3" t="s">
        <v>34</v>
      </c>
      <c r="C188" s="3" t="s">
        <v>38</v>
      </c>
      <c r="D188" s="3" t="s">
        <v>33</v>
      </c>
      <c r="E188" s="3" t="s">
        <v>25</v>
      </c>
      <c r="F188" s="3" t="s">
        <v>25</v>
      </c>
      <c r="G188" s="3" t="s">
        <v>25</v>
      </c>
      <c r="H188" s="3" t="s">
        <v>36</v>
      </c>
      <c r="I188" s="6">
        <v>44713</v>
      </c>
      <c r="J188" s="4">
        <v>0</v>
      </c>
      <c r="K188" s="4">
        <v>0</v>
      </c>
      <c r="L188" s="4">
        <v>18.593</v>
      </c>
      <c r="M188" s="4">
        <v>18.593</v>
      </c>
      <c r="N188" s="4">
        <v>18.593</v>
      </c>
      <c r="O188" s="4">
        <v>18.593</v>
      </c>
      <c r="P188" s="4">
        <v>0</v>
      </c>
      <c r="Q188" s="3" t="s">
        <v>26</v>
      </c>
      <c r="R188" s="3">
        <v>0</v>
      </c>
      <c r="S188" s="3" t="s">
        <v>168</v>
      </c>
      <c r="T188" s="3" t="s">
        <v>289</v>
      </c>
      <c r="U188" s="3">
        <v>0</v>
      </c>
      <c r="V188" s="3">
        <v>13</v>
      </c>
      <c r="W188" s="3">
        <v>22</v>
      </c>
    </row>
    <row r="189" spans="1:23" ht="11.25" customHeight="1" x14ac:dyDescent="0.3">
      <c r="A189" s="3" t="s">
        <v>27</v>
      </c>
      <c r="B189" s="3" t="s">
        <v>34</v>
      </c>
      <c r="C189" s="3" t="s">
        <v>38</v>
      </c>
      <c r="D189" s="3" t="s">
        <v>33</v>
      </c>
      <c r="E189" s="3" t="s">
        <v>25</v>
      </c>
      <c r="F189" s="3" t="s">
        <v>25</v>
      </c>
      <c r="G189" s="3" t="s">
        <v>25</v>
      </c>
      <c r="H189" s="3" t="s">
        <v>36</v>
      </c>
      <c r="I189" s="6">
        <v>44713</v>
      </c>
      <c r="J189" s="4">
        <v>0</v>
      </c>
      <c r="K189" s="4">
        <v>0</v>
      </c>
      <c r="L189" s="4">
        <v>1.546</v>
      </c>
      <c r="M189" s="4">
        <v>1.546</v>
      </c>
      <c r="N189" s="4">
        <v>1.546</v>
      </c>
      <c r="O189" s="4">
        <v>1.546</v>
      </c>
      <c r="P189" s="4">
        <v>0</v>
      </c>
      <c r="Q189" s="3" t="s">
        <v>26</v>
      </c>
      <c r="R189" s="3">
        <v>0</v>
      </c>
      <c r="S189" s="3" t="s">
        <v>168</v>
      </c>
      <c r="T189" s="3" t="s">
        <v>289</v>
      </c>
      <c r="U189" s="3">
        <v>0</v>
      </c>
      <c r="V189" s="3">
        <v>13</v>
      </c>
      <c r="W189" s="3">
        <v>22</v>
      </c>
    </row>
    <row r="190" spans="1:23" ht="11.25" customHeight="1" x14ac:dyDescent="0.3">
      <c r="A190" s="3" t="s">
        <v>21</v>
      </c>
      <c r="B190" s="3" t="s">
        <v>34</v>
      </c>
      <c r="C190" s="3" t="s">
        <v>38</v>
      </c>
      <c r="D190" s="3" t="s">
        <v>33</v>
      </c>
      <c r="E190" s="3" t="s">
        <v>25</v>
      </c>
      <c r="F190" s="3" t="s">
        <v>25</v>
      </c>
      <c r="G190" s="3" t="s">
        <v>25</v>
      </c>
      <c r="H190" s="3" t="s">
        <v>36</v>
      </c>
      <c r="I190" s="6">
        <v>44743</v>
      </c>
      <c r="J190" s="4">
        <v>0</v>
      </c>
      <c r="K190" s="4">
        <v>0</v>
      </c>
      <c r="L190" s="4">
        <v>21.867000000000001</v>
      </c>
      <c r="M190" s="4">
        <v>21.867000000000001</v>
      </c>
      <c r="N190" s="4">
        <v>21.867000000000001</v>
      </c>
      <c r="O190" s="4">
        <v>21.867000000000001</v>
      </c>
      <c r="P190" s="4">
        <v>0</v>
      </c>
      <c r="Q190" s="3" t="s">
        <v>26</v>
      </c>
      <c r="R190" s="3">
        <v>0</v>
      </c>
      <c r="S190" s="3" t="s">
        <v>169</v>
      </c>
      <c r="T190" s="3" t="s">
        <v>290</v>
      </c>
      <c r="U190" s="3">
        <v>0</v>
      </c>
      <c r="V190" s="3">
        <v>13</v>
      </c>
      <c r="W190" s="3">
        <v>22</v>
      </c>
    </row>
    <row r="191" spans="1:23" ht="11.25" customHeight="1" x14ac:dyDescent="0.3">
      <c r="A191" s="3" t="s">
        <v>27</v>
      </c>
      <c r="B191" s="3" t="s">
        <v>34</v>
      </c>
      <c r="C191" s="3" t="s">
        <v>38</v>
      </c>
      <c r="D191" s="3" t="s">
        <v>33</v>
      </c>
      <c r="E191" s="3" t="s">
        <v>25</v>
      </c>
      <c r="F191" s="3" t="s">
        <v>25</v>
      </c>
      <c r="G191" s="3" t="s">
        <v>25</v>
      </c>
      <c r="H191" s="3" t="s">
        <v>36</v>
      </c>
      <c r="I191" s="6">
        <v>44743</v>
      </c>
      <c r="J191" s="4">
        <v>0</v>
      </c>
      <c r="K191" s="4">
        <v>0</v>
      </c>
      <c r="L191" s="4">
        <v>1.397</v>
      </c>
      <c r="M191" s="4">
        <v>1.397</v>
      </c>
      <c r="N191" s="4">
        <v>1.397</v>
      </c>
      <c r="O191" s="4">
        <v>1.397</v>
      </c>
      <c r="P191" s="4">
        <v>0</v>
      </c>
      <c r="Q191" s="3" t="s">
        <v>26</v>
      </c>
      <c r="R191" s="3">
        <v>0</v>
      </c>
      <c r="S191" s="3" t="s">
        <v>169</v>
      </c>
      <c r="T191" s="3" t="s">
        <v>290</v>
      </c>
      <c r="U191" s="3">
        <v>0</v>
      </c>
      <c r="V191" s="3">
        <v>13</v>
      </c>
      <c r="W191" s="3">
        <v>22</v>
      </c>
    </row>
    <row r="192" spans="1:23" ht="11.25" customHeight="1" x14ac:dyDescent="0.3">
      <c r="A192" s="3" t="s">
        <v>53</v>
      </c>
      <c r="B192" s="3" t="s">
        <v>34</v>
      </c>
      <c r="C192" s="3" t="s">
        <v>38</v>
      </c>
      <c r="D192" s="3" t="s">
        <v>33</v>
      </c>
      <c r="E192" s="3" t="s">
        <v>25</v>
      </c>
      <c r="F192" s="3" t="s">
        <v>25</v>
      </c>
      <c r="G192" s="3" t="s">
        <v>25</v>
      </c>
      <c r="H192" s="3" t="s">
        <v>36</v>
      </c>
      <c r="I192" s="6">
        <v>44774</v>
      </c>
      <c r="J192" s="4">
        <v>0</v>
      </c>
      <c r="K192" s="4">
        <v>0</v>
      </c>
      <c r="L192" s="4">
        <v>21.867000000000001</v>
      </c>
      <c r="M192" s="4">
        <v>21.867000000000001</v>
      </c>
      <c r="N192" s="4">
        <v>21.867000000000001</v>
      </c>
      <c r="O192" s="4">
        <v>21.867000000000001</v>
      </c>
      <c r="P192" s="4">
        <v>0</v>
      </c>
      <c r="Q192" s="3" t="s">
        <v>26</v>
      </c>
      <c r="R192" s="3">
        <v>0</v>
      </c>
      <c r="S192" s="3" t="s">
        <v>170</v>
      </c>
      <c r="T192" s="3" t="s">
        <v>291</v>
      </c>
      <c r="U192" s="3">
        <v>0</v>
      </c>
      <c r="V192" s="3">
        <v>13</v>
      </c>
      <c r="W192" s="3">
        <v>22</v>
      </c>
    </row>
    <row r="193" spans="1:23" ht="11.25" customHeight="1" x14ac:dyDescent="0.3">
      <c r="A193" s="3" t="s">
        <v>53</v>
      </c>
      <c r="B193" s="3" t="s">
        <v>34</v>
      </c>
      <c r="C193" s="3" t="s">
        <v>38</v>
      </c>
      <c r="D193" s="3" t="s">
        <v>33</v>
      </c>
      <c r="E193" s="3" t="s">
        <v>25</v>
      </c>
      <c r="F193" s="3" t="s">
        <v>25</v>
      </c>
      <c r="G193" s="3" t="s">
        <v>25</v>
      </c>
      <c r="H193" s="3" t="s">
        <v>36</v>
      </c>
      <c r="I193" s="6">
        <v>44774</v>
      </c>
      <c r="J193" s="4">
        <v>0</v>
      </c>
      <c r="K193" s="4">
        <v>0</v>
      </c>
      <c r="L193" s="4">
        <v>1.397</v>
      </c>
      <c r="M193" s="4">
        <v>1.397</v>
      </c>
      <c r="N193" s="4">
        <v>1.397</v>
      </c>
      <c r="O193" s="4">
        <v>1.397</v>
      </c>
      <c r="P193" s="4">
        <v>0</v>
      </c>
      <c r="Q193" s="3" t="s">
        <v>26</v>
      </c>
      <c r="R193" s="3">
        <v>0</v>
      </c>
      <c r="S193" s="3" t="s">
        <v>170</v>
      </c>
      <c r="T193" s="3" t="s">
        <v>291</v>
      </c>
      <c r="U193" s="3">
        <v>0</v>
      </c>
      <c r="V193" s="3">
        <v>13</v>
      </c>
      <c r="W193" s="3">
        <v>22</v>
      </c>
    </row>
    <row r="194" spans="1:23" ht="11.25" customHeight="1" x14ac:dyDescent="0.3">
      <c r="A194" s="3" t="s">
        <v>27</v>
      </c>
      <c r="B194" s="3" t="s">
        <v>34</v>
      </c>
      <c r="C194" s="3" t="s">
        <v>38</v>
      </c>
      <c r="D194" s="3" t="s">
        <v>41</v>
      </c>
      <c r="E194" s="3" t="s">
        <v>25</v>
      </c>
      <c r="F194" s="3" t="s">
        <v>25</v>
      </c>
      <c r="G194" s="3" t="s">
        <v>25</v>
      </c>
      <c r="H194" s="3" t="s">
        <v>37</v>
      </c>
      <c r="I194" s="6">
        <v>44501</v>
      </c>
      <c r="J194" s="4">
        <v>0</v>
      </c>
      <c r="K194" s="4">
        <v>0</v>
      </c>
      <c r="L194" s="4">
        <v>2.306</v>
      </c>
      <c r="M194" s="4">
        <v>2.2137600000000002</v>
      </c>
      <c r="N194" s="4">
        <v>2.306</v>
      </c>
      <c r="O194" s="4">
        <v>2.2137600000000002</v>
      </c>
      <c r="P194" s="4">
        <v>0</v>
      </c>
      <c r="Q194" s="3" t="s">
        <v>26</v>
      </c>
      <c r="R194" s="3">
        <v>0</v>
      </c>
      <c r="S194" s="3" t="s">
        <v>137</v>
      </c>
      <c r="T194" s="3" t="s">
        <v>270</v>
      </c>
      <c r="U194" s="3">
        <v>0</v>
      </c>
      <c r="V194" s="3">
        <v>3</v>
      </c>
      <c r="W194" s="3">
        <v>62</v>
      </c>
    </row>
    <row r="195" spans="1:23" ht="11.25" customHeight="1" x14ac:dyDescent="0.3">
      <c r="A195" s="3" t="s">
        <v>27</v>
      </c>
      <c r="B195" s="3" t="s">
        <v>34</v>
      </c>
      <c r="C195" s="3" t="s">
        <v>38</v>
      </c>
      <c r="D195" s="3" t="s">
        <v>41</v>
      </c>
      <c r="E195" s="3" t="s">
        <v>25</v>
      </c>
      <c r="F195" s="3" t="s">
        <v>25</v>
      </c>
      <c r="G195" s="3" t="s">
        <v>25</v>
      </c>
      <c r="H195" s="3" t="s">
        <v>37</v>
      </c>
      <c r="I195" s="6">
        <v>44531</v>
      </c>
      <c r="J195" s="4">
        <v>0</v>
      </c>
      <c r="K195" s="4">
        <v>0</v>
      </c>
      <c r="L195" s="4">
        <v>7.25</v>
      </c>
      <c r="M195" s="4">
        <v>6.96</v>
      </c>
      <c r="N195" s="4">
        <v>7.25</v>
      </c>
      <c r="O195" s="4">
        <v>6.96</v>
      </c>
      <c r="P195" s="4">
        <v>0</v>
      </c>
      <c r="Q195" s="3" t="s">
        <v>26</v>
      </c>
      <c r="R195" s="3">
        <v>0</v>
      </c>
      <c r="S195" s="3" t="s">
        <v>138</v>
      </c>
      <c r="T195" s="3" t="s">
        <v>271</v>
      </c>
      <c r="U195" s="3">
        <v>0</v>
      </c>
      <c r="V195" s="3">
        <v>3</v>
      </c>
      <c r="W195" s="3">
        <v>62</v>
      </c>
    </row>
    <row r="196" spans="1:23" ht="11.25" customHeight="1" x14ac:dyDescent="0.3">
      <c r="A196" s="3" t="s">
        <v>27</v>
      </c>
      <c r="B196" s="3" t="s">
        <v>34</v>
      </c>
      <c r="C196" s="3" t="s">
        <v>38</v>
      </c>
      <c r="D196" s="3" t="s">
        <v>41</v>
      </c>
      <c r="E196" s="3" t="s">
        <v>25</v>
      </c>
      <c r="F196" s="3" t="s">
        <v>25</v>
      </c>
      <c r="G196" s="3" t="s">
        <v>25</v>
      </c>
      <c r="H196" s="3" t="s">
        <v>37</v>
      </c>
      <c r="I196" s="6">
        <v>44562</v>
      </c>
      <c r="J196" s="4">
        <v>0</v>
      </c>
      <c r="K196" s="4">
        <v>0</v>
      </c>
      <c r="L196" s="4">
        <v>12.491</v>
      </c>
      <c r="M196" s="4">
        <v>11.991359999999998</v>
      </c>
      <c r="N196" s="4">
        <v>12.491</v>
      </c>
      <c r="O196" s="4">
        <v>11.991359999999998</v>
      </c>
      <c r="P196" s="4">
        <v>0</v>
      </c>
      <c r="Q196" s="3" t="s">
        <v>26</v>
      </c>
      <c r="R196" s="3">
        <v>0</v>
      </c>
      <c r="S196" s="3" t="s">
        <v>139</v>
      </c>
      <c r="T196" s="3" t="s">
        <v>272</v>
      </c>
      <c r="U196" s="3">
        <v>0</v>
      </c>
      <c r="V196" s="3">
        <v>3</v>
      </c>
      <c r="W196" s="3">
        <v>62</v>
      </c>
    </row>
    <row r="197" spans="1:23" ht="11.25" customHeight="1" x14ac:dyDescent="0.3">
      <c r="A197" s="3" t="s">
        <v>27</v>
      </c>
      <c r="B197" s="3" t="s">
        <v>34</v>
      </c>
      <c r="C197" s="3" t="s">
        <v>38</v>
      </c>
      <c r="D197" s="3" t="s">
        <v>41</v>
      </c>
      <c r="E197" s="3" t="s">
        <v>25</v>
      </c>
      <c r="F197" s="3" t="s">
        <v>25</v>
      </c>
      <c r="G197" s="3" t="s">
        <v>25</v>
      </c>
      <c r="H197" s="3" t="s">
        <v>37</v>
      </c>
      <c r="I197" s="6">
        <v>44593</v>
      </c>
      <c r="J197" s="4">
        <v>0</v>
      </c>
      <c r="K197" s="4">
        <v>0</v>
      </c>
      <c r="L197" s="4">
        <v>8.8330000000000002</v>
      </c>
      <c r="M197" s="4">
        <v>8.4796800000000001</v>
      </c>
      <c r="N197" s="4">
        <v>8.8330000000000002</v>
      </c>
      <c r="O197" s="4">
        <v>8.4796800000000001</v>
      </c>
      <c r="P197" s="4">
        <v>0</v>
      </c>
      <c r="Q197" s="3" t="s">
        <v>26</v>
      </c>
      <c r="R197" s="3">
        <v>0</v>
      </c>
      <c r="S197" s="3" t="s">
        <v>140</v>
      </c>
      <c r="T197" s="3" t="s">
        <v>273</v>
      </c>
      <c r="U197" s="3">
        <v>0</v>
      </c>
      <c r="V197" s="3">
        <v>3</v>
      </c>
      <c r="W197" s="3">
        <v>62</v>
      </c>
    </row>
    <row r="198" spans="1:23" ht="11.25" customHeight="1" x14ac:dyDescent="0.3">
      <c r="A198" s="3" t="s">
        <v>27</v>
      </c>
      <c r="B198" s="3" t="s">
        <v>34</v>
      </c>
      <c r="C198" s="3" t="s">
        <v>38</v>
      </c>
      <c r="D198" s="3" t="s">
        <v>41</v>
      </c>
      <c r="E198" s="3" t="s">
        <v>25</v>
      </c>
      <c r="F198" s="3" t="s">
        <v>25</v>
      </c>
      <c r="G198" s="3" t="s">
        <v>25</v>
      </c>
      <c r="H198" s="3" t="s">
        <v>37</v>
      </c>
      <c r="I198" s="6">
        <v>44621</v>
      </c>
      <c r="J198" s="4">
        <v>0</v>
      </c>
      <c r="K198" s="4">
        <v>0</v>
      </c>
      <c r="L198" s="4">
        <v>12.132999999999999</v>
      </c>
      <c r="M198" s="4">
        <v>11.647679999999999</v>
      </c>
      <c r="N198" s="4">
        <v>12.132999999999999</v>
      </c>
      <c r="O198" s="4">
        <v>11.647679999999999</v>
      </c>
      <c r="P198" s="4">
        <v>0</v>
      </c>
      <c r="Q198" s="3" t="s">
        <v>26</v>
      </c>
      <c r="R198" s="3">
        <v>0</v>
      </c>
      <c r="S198" s="3" t="s">
        <v>141</v>
      </c>
      <c r="T198" s="3" t="s">
        <v>274</v>
      </c>
      <c r="U198" s="3">
        <v>0</v>
      </c>
      <c r="V198" s="3">
        <v>3</v>
      </c>
      <c r="W198" s="3">
        <v>62</v>
      </c>
    </row>
    <row r="199" spans="1:23" ht="11.25" customHeight="1" x14ac:dyDescent="0.3">
      <c r="A199" s="3" t="s">
        <v>27</v>
      </c>
      <c r="B199" s="3" t="s">
        <v>34</v>
      </c>
      <c r="C199" s="3" t="s">
        <v>38</v>
      </c>
      <c r="D199" s="3" t="s">
        <v>41</v>
      </c>
      <c r="E199" s="3" t="s">
        <v>25</v>
      </c>
      <c r="F199" s="3" t="s">
        <v>25</v>
      </c>
      <c r="G199" s="3" t="s">
        <v>25</v>
      </c>
      <c r="H199" s="3" t="s">
        <v>37</v>
      </c>
      <c r="I199" s="6">
        <v>44652</v>
      </c>
      <c r="J199" s="4">
        <v>0</v>
      </c>
      <c r="K199" s="4">
        <v>0</v>
      </c>
      <c r="L199" s="4">
        <v>9.8719999999999999</v>
      </c>
      <c r="M199" s="4">
        <v>9.4771199999999993</v>
      </c>
      <c r="N199" s="4">
        <v>9.8719999999999999</v>
      </c>
      <c r="O199" s="4">
        <v>9.4771199999999993</v>
      </c>
      <c r="P199" s="4">
        <v>0</v>
      </c>
      <c r="Q199" s="3" t="s">
        <v>26</v>
      </c>
      <c r="R199" s="3">
        <v>0</v>
      </c>
      <c r="S199" s="3" t="s">
        <v>142</v>
      </c>
      <c r="T199" s="3" t="s">
        <v>275</v>
      </c>
      <c r="U199" s="3">
        <v>0</v>
      </c>
      <c r="V199" s="3">
        <v>3</v>
      </c>
      <c r="W199" s="3">
        <v>62</v>
      </c>
    </row>
    <row r="200" spans="1:23" ht="11.25" customHeight="1" x14ac:dyDescent="0.3">
      <c r="A200" s="3" t="s">
        <v>27</v>
      </c>
      <c r="B200" s="3" t="s">
        <v>34</v>
      </c>
      <c r="C200" s="3" t="s">
        <v>38</v>
      </c>
      <c r="D200" s="3" t="s">
        <v>41</v>
      </c>
      <c r="E200" s="3" t="s">
        <v>25</v>
      </c>
      <c r="F200" s="3" t="s">
        <v>25</v>
      </c>
      <c r="G200" s="3" t="s">
        <v>25</v>
      </c>
      <c r="H200" s="3" t="s">
        <v>37</v>
      </c>
      <c r="I200" s="6">
        <v>44682</v>
      </c>
      <c r="J200" s="4">
        <v>0</v>
      </c>
      <c r="K200" s="4">
        <v>0</v>
      </c>
      <c r="L200" s="4">
        <v>7.1609999999999996</v>
      </c>
      <c r="M200" s="4">
        <v>6.8745599999999998</v>
      </c>
      <c r="N200" s="4">
        <v>7.1609999999999996</v>
      </c>
      <c r="O200" s="4">
        <v>6.8745599999999998</v>
      </c>
      <c r="P200" s="4">
        <v>0</v>
      </c>
      <c r="Q200" s="3" t="s">
        <v>26</v>
      </c>
      <c r="R200" s="3">
        <v>0</v>
      </c>
      <c r="S200" s="3" t="s">
        <v>143</v>
      </c>
      <c r="T200" s="3" t="s">
        <v>276</v>
      </c>
      <c r="U200" s="3">
        <v>0</v>
      </c>
      <c r="V200" s="3">
        <v>3</v>
      </c>
      <c r="W200" s="3">
        <v>62</v>
      </c>
    </row>
    <row r="201" spans="1:23" ht="11.25" customHeight="1" x14ac:dyDescent="0.3">
      <c r="A201" s="3" t="s">
        <v>27</v>
      </c>
      <c r="B201" s="3" t="s">
        <v>34</v>
      </c>
      <c r="C201" s="3" t="s">
        <v>38</v>
      </c>
      <c r="D201" s="3" t="s">
        <v>41</v>
      </c>
      <c r="E201" s="3" t="s">
        <v>25</v>
      </c>
      <c r="F201" s="3" t="s">
        <v>25</v>
      </c>
      <c r="G201" s="3" t="s">
        <v>25</v>
      </c>
      <c r="H201" s="3" t="s">
        <v>37</v>
      </c>
      <c r="I201" s="6">
        <v>44713</v>
      </c>
      <c r="J201" s="4">
        <v>0</v>
      </c>
      <c r="K201" s="4">
        <v>0</v>
      </c>
      <c r="L201" s="4">
        <v>7.3840000000000003</v>
      </c>
      <c r="M201" s="4">
        <v>7.0886399999999998</v>
      </c>
      <c r="N201" s="4">
        <v>7.3840000000000003</v>
      </c>
      <c r="O201" s="4">
        <v>7.0886399999999998</v>
      </c>
      <c r="P201" s="4">
        <v>0</v>
      </c>
      <c r="Q201" s="3" t="s">
        <v>26</v>
      </c>
      <c r="R201" s="3">
        <v>0</v>
      </c>
      <c r="S201" s="3" t="s">
        <v>144</v>
      </c>
      <c r="T201" s="3" t="s">
        <v>277</v>
      </c>
      <c r="U201" s="3">
        <v>0</v>
      </c>
      <c r="V201" s="3">
        <v>3</v>
      </c>
      <c r="W201" s="3">
        <v>62</v>
      </c>
    </row>
    <row r="202" spans="1:23" ht="11.25" customHeight="1" x14ac:dyDescent="0.3">
      <c r="A202" s="3" t="s">
        <v>27</v>
      </c>
      <c r="B202" s="3" t="s">
        <v>34</v>
      </c>
      <c r="C202" s="3" t="s">
        <v>38</v>
      </c>
      <c r="D202" s="3" t="s">
        <v>41</v>
      </c>
      <c r="E202" s="3" t="s">
        <v>25</v>
      </c>
      <c r="F202" s="3" t="s">
        <v>25</v>
      </c>
      <c r="G202" s="3" t="s">
        <v>25</v>
      </c>
      <c r="H202" s="3" t="s">
        <v>37</v>
      </c>
      <c r="I202" s="6">
        <v>44743</v>
      </c>
      <c r="J202" s="4">
        <v>0</v>
      </c>
      <c r="K202" s="4">
        <v>0</v>
      </c>
      <c r="L202" s="4">
        <v>8.0359999999999996</v>
      </c>
      <c r="M202" s="4">
        <v>7.7145599999999996</v>
      </c>
      <c r="N202" s="4">
        <v>8.0359999999999996</v>
      </c>
      <c r="O202" s="4">
        <v>7.7145599999999996</v>
      </c>
      <c r="P202" s="4">
        <v>0</v>
      </c>
      <c r="Q202" s="3" t="s">
        <v>26</v>
      </c>
      <c r="R202" s="3">
        <v>0</v>
      </c>
      <c r="S202" s="3" t="s">
        <v>145</v>
      </c>
      <c r="T202" s="3" t="s">
        <v>278</v>
      </c>
      <c r="U202" s="3">
        <v>0</v>
      </c>
      <c r="V202" s="3">
        <v>3</v>
      </c>
      <c r="W202" s="3">
        <v>62</v>
      </c>
    </row>
    <row r="203" spans="1:23" ht="11.25" customHeight="1" x14ac:dyDescent="0.3">
      <c r="A203" s="3" t="s">
        <v>53</v>
      </c>
      <c r="B203" s="3" t="s">
        <v>34</v>
      </c>
      <c r="C203" s="3" t="s">
        <v>38</v>
      </c>
      <c r="D203" s="3" t="s">
        <v>41</v>
      </c>
      <c r="E203" s="3" t="s">
        <v>25</v>
      </c>
      <c r="F203" s="3" t="s">
        <v>25</v>
      </c>
      <c r="G203" s="3" t="s">
        <v>25</v>
      </c>
      <c r="H203" s="3" t="s">
        <v>37</v>
      </c>
      <c r="I203" s="6">
        <v>44774</v>
      </c>
      <c r="J203" s="4">
        <v>0</v>
      </c>
      <c r="K203" s="4">
        <v>0</v>
      </c>
      <c r="L203" s="4">
        <v>8.0359999999999996</v>
      </c>
      <c r="M203" s="4">
        <v>7.7145599999999996</v>
      </c>
      <c r="N203" s="4">
        <v>8.0359999999999996</v>
      </c>
      <c r="O203" s="4">
        <v>7.7145599999999996</v>
      </c>
      <c r="P203" s="4">
        <v>0</v>
      </c>
      <c r="Q203" s="3" t="s">
        <v>26</v>
      </c>
      <c r="R203" s="3">
        <v>0</v>
      </c>
      <c r="S203" s="3" t="s">
        <v>146</v>
      </c>
      <c r="T203" s="3" t="s">
        <v>279</v>
      </c>
      <c r="U203" s="3">
        <v>0</v>
      </c>
      <c r="V203" s="3">
        <v>3</v>
      </c>
      <c r="W203" s="3">
        <v>62</v>
      </c>
    </row>
    <row r="204" spans="1:23" ht="11.25" customHeight="1" x14ac:dyDescent="0.3">
      <c r="A204" s="3" t="s">
        <v>27</v>
      </c>
      <c r="B204" s="3" t="s">
        <v>34</v>
      </c>
      <c r="C204" s="3" t="s">
        <v>38</v>
      </c>
      <c r="D204" s="3" t="s">
        <v>41</v>
      </c>
      <c r="E204" s="3" t="s">
        <v>25</v>
      </c>
      <c r="F204" s="3" t="s">
        <v>25</v>
      </c>
      <c r="G204" s="3" t="s">
        <v>25</v>
      </c>
      <c r="H204" s="3" t="s">
        <v>25</v>
      </c>
      <c r="I204" s="6">
        <v>44501</v>
      </c>
      <c r="J204" s="4">
        <v>50</v>
      </c>
      <c r="K204" s="4">
        <v>48</v>
      </c>
      <c r="L204" s="4">
        <v>0</v>
      </c>
      <c r="M204" s="4">
        <v>0</v>
      </c>
      <c r="N204" s="4">
        <v>0</v>
      </c>
      <c r="O204" s="4">
        <v>0</v>
      </c>
      <c r="P204" s="4">
        <v>1</v>
      </c>
      <c r="Q204" s="3" t="s">
        <v>26</v>
      </c>
      <c r="R204" s="3">
        <v>0</v>
      </c>
      <c r="S204" s="3" t="s">
        <v>149</v>
      </c>
      <c r="U204" s="3">
        <v>5</v>
      </c>
      <c r="V204" s="3">
        <v>0</v>
      </c>
      <c r="W204" s="3">
        <v>0</v>
      </c>
    </row>
    <row r="205" spans="1:23" ht="11.25" customHeight="1" x14ac:dyDescent="0.3">
      <c r="A205" s="3" t="s">
        <v>27</v>
      </c>
      <c r="B205" s="3" t="s">
        <v>34</v>
      </c>
      <c r="C205" s="3" t="s">
        <v>38</v>
      </c>
      <c r="D205" s="3" t="s">
        <v>41</v>
      </c>
      <c r="E205" s="3" t="s">
        <v>25</v>
      </c>
      <c r="F205" s="3" t="s">
        <v>25</v>
      </c>
      <c r="G205" s="3" t="s">
        <v>25</v>
      </c>
      <c r="H205" s="3" t="s">
        <v>25</v>
      </c>
      <c r="I205" s="6">
        <v>44531</v>
      </c>
      <c r="J205" s="4">
        <v>50</v>
      </c>
      <c r="K205" s="4">
        <v>48</v>
      </c>
      <c r="L205" s="4">
        <v>0</v>
      </c>
      <c r="M205" s="4">
        <v>0</v>
      </c>
      <c r="N205" s="4">
        <v>0</v>
      </c>
      <c r="O205" s="4">
        <v>0</v>
      </c>
      <c r="P205" s="4">
        <v>1</v>
      </c>
      <c r="Q205" s="3" t="s">
        <v>26</v>
      </c>
      <c r="R205" s="3">
        <v>0</v>
      </c>
      <c r="S205" s="3" t="s">
        <v>150</v>
      </c>
      <c r="U205" s="3">
        <v>5</v>
      </c>
      <c r="V205" s="3">
        <v>0</v>
      </c>
      <c r="W205" s="3">
        <v>0</v>
      </c>
    </row>
    <row r="206" spans="1:23" ht="11.25" customHeight="1" x14ac:dyDescent="0.3">
      <c r="A206" s="3" t="s">
        <v>27</v>
      </c>
      <c r="B206" s="3" t="s">
        <v>34</v>
      </c>
      <c r="C206" s="3" t="s">
        <v>38</v>
      </c>
      <c r="D206" s="3" t="s">
        <v>41</v>
      </c>
      <c r="E206" s="3" t="s">
        <v>25</v>
      </c>
      <c r="F206" s="3" t="s">
        <v>25</v>
      </c>
      <c r="G206" s="3" t="s">
        <v>25</v>
      </c>
      <c r="H206" s="3" t="s">
        <v>25</v>
      </c>
      <c r="I206" s="6">
        <v>44562</v>
      </c>
      <c r="J206" s="4">
        <v>55</v>
      </c>
      <c r="K206" s="4">
        <v>52.8</v>
      </c>
      <c r="L206" s="4">
        <v>0</v>
      </c>
      <c r="M206" s="4">
        <v>0</v>
      </c>
      <c r="N206" s="4">
        <v>0</v>
      </c>
      <c r="O206" s="4">
        <v>0</v>
      </c>
      <c r="P206" s="4">
        <v>1</v>
      </c>
      <c r="Q206" s="3" t="s">
        <v>26</v>
      </c>
      <c r="R206" s="3">
        <v>0</v>
      </c>
      <c r="S206" s="3" t="s">
        <v>151</v>
      </c>
      <c r="U206" s="3">
        <v>5</v>
      </c>
      <c r="V206" s="3">
        <v>0</v>
      </c>
      <c r="W206" s="3">
        <v>0</v>
      </c>
    </row>
    <row r="207" spans="1:23" ht="11.25" customHeight="1" x14ac:dyDescent="0.3">
      <c r="A207" s="3" t="s">
        <v>27</v>
      </c>
      <c r="B207" s="3" t="s">
        <v>34</v>
      </c>
      <c r="C207" s="3" t="s">
        <v>38</v>
      </c>
      <c r="D207" s="3" t="s">
        <v>41</v>
      </c>
      <c r="E207" s="3" t="s">
        <v>25</v>
      </c>
      <c r="F207" s="3" t="s">
        <v>25</v>
      </c>
      <c r="G207" s="3" t="s">
        <v>25</v>
      </c>
      <c r="H207" s="3" t="s">
        <v>25</v>
      </c>
      <c r="I207" s="6">
        <v>44593</v>
      </c>
      <c r="J207" s="4">
        <v>50</v>
      </c>
      <c r="K207" s="4">
        <v>48</v>
      </c>
      <c r="L207" s="4">
        <v>0</v>
      </c>
      <c r="M207" s="4">
        <v>0</v>
      </c>
      <c r="N207" s="4">
        <v>0</v>
      </c>
      <c r="O207" s="4">
        <v>0</v>
      </c>
      <c r="P207" s="4">
        <v>1</v>
      </c>
      <c r="Q207" s="3" t="s">
        <v>26</v>
      </c>
      <c r="R207" s="3">
        <v>0</v>
      </c>
      <c r="S207" s="3" t="s">
        <v>152</v>
      </c>
      <c r="U207" s="3">
        <v>5</v>
      </c>
      <c r="V207" s="3">
        <v>0</v>
      </c>
      <c r="W207" s="3">
        <v>0</v>
      </c>
    </row>
    <row r="208" spans="1:23" ht="11.25" customHeight="1" x14ac:dyDescent="0.3">
      <c r="A208" s="3" t="s">
        <v>27</v>
      </c>
      <c r="B208" s="3" t="s">
        <v>34</v>
      </c>
      <c r="C208" s="3" t="s">
        <v>38</v>
      </c>
      <c r="D208" s="3" t="s">
        <v>41</v>
      </c>
      <c r="E208" s="3" t="s">
        <v>25</v>
      </c>
      <c r="F208" s="3" t="s">
        <v>25</v>
      </c>
      <c r="G208" s="3" t="s">
        <v>25</v>
      </c>
      <c r="H208" s="3" t="s">
        <v>25</v>
      </c>
      <c r="I208" s="6">
        <v>44621</v>
      </c>
      <c r="J208" s="4">
        <v>54</v>
      </c>
      <c r="K208" s="4">
        <v>51.839999999999996</v>
      </c>
      <c r="L208" s="4">
        <v>0</v>
      </c>
      <c r="M208" s="4">
        <v>0</v>
      </c>
      <c r="N208" s="4">
        <v>0</v>
      </c>
      <c r="O208" s="4">
        <v>0</v>
      </c>
      <c r="P208" s="4">
        <v>1</v>
      </c>
      <c r="Q208" s="3" t="s">
        <v>26</v>
      </c>
      <c r="R208" s="3">
        <v>0</v>
      </c>
      <c r="S208" s="3" t="s">
        <v>153</v>
      </c>
      <c r="U208" s="3">
        <v>5</v>
      </c>
      <c r="V208" s="3">
        <v>0</v>
      </c>
      <c r="W208" s="3">
        <v>0</v>
      </c>
    </row>
    <row r="209" spans="1:23" ht="11.25" customHeight="1" x14ac:dyDescent="0.3">
      <c r="A209" s="3" t="s">
        <v>27</v>
      </c>
      <c r="B209" s="3" t="s">
        <v>34</v>
      </c>
      <c r="C209" s="3" t="s">
        <v>38</v>
      </c>
      <c r="D209" s="3" t="s">
        <v>41</v>
      </c>
      <c r="E209" s="3" t="s">
        <v>25</v>
      </c>
      <c r="F209" s="3" t="s">
        <v>25</v>
      </c>
      <c r="G209" s="3" t="s">
        <v>25</v>
      </c>
      <c r="H209" s="3" t="s">
        <v>25</v>
      </c>
      <c r="I209" s="6">
        <v>44652</v>
      </c>
      <c r="J209" s="4">
        <v>52</v>
      </c>
      <c r="K209" s="4">
        <v>49.92</v>
      </c>
      <c r="L209" s="4">
        <v>0</v>
      </c>
      <c r="M209" s="4">
        <v>0</v>
      </c>
      <c r="N209" s="4">
        <v>0</v>
      </c>
      <c r="O209" s="4">
        <v>0</v>
      </c>
      <c r="P209" s="4">
        <v>1</v>
      </c>
      <c r="Q209" s="3" t="s">
        <v>26</v>
      </c>
      <c r="R209" s="3">
        <v>0</v>
      </c>
      <c r="S209" s="3" t="s">
        <v>154</v>
      </c>
      <c r="U209" s="3">
        <v>5</v>
      </c>
      <c r="V209" s="3">
        <v>0</v>
      </c>
      <c r="W209" s="3">
        <v>0</v>
      </c>
    </row>
    <row r="210" spans="1:23" ht="11.25" customHeight="1" x14ac:dyDescent="0.3">
      <c r="A210" s="3" t="s">
        <v>27</v>
      </c>
      <c r="B210" s="3" t="s">
        <v>34</v>
      </c>
      <c r="C210" s="3" t="s">
        <v>38</v>
      </c>
      <c r="D210" s="3" t="s">
        <v>41</v>
      </c>
      <c r="E210" s="3" t="s">
        <v>25</v>
      </c>
      <c r="F210" s="3" t="s">
        <v>25</v>
      </c>
      <c r="G210" s="3" t="s">
        <v>25</v>
      </c>
      <c r="H210" s="3" t="s">
        <v>25</v>
      </c>
      <c r="I210" s="6">
        <v>44682</v>
      </c>
      <c r="J210" s="4">
        <v>50</v>
      </c>
      <c r="K210" s="4">
        <v>48</v>
      </c>
      <c r="L210" s="4">
        <v>0</v>
      </c>
      <c r="M210" s="4">
        <v>0</v>
      </c>
      <c r="N210" s="4">
        <v>0</v>
      </c>
      <c r="O210" s="4">
        <v>0</v>
      </c>
      <c r="P210" s="4">
        <v>1</v>
      </c>
      <c r="Q210" s="3" t="s">
        <v>26</v>
      </c>
      <c r="R210" s="3">
        <v>0</v>
      </c>
      <c r="S210" s="3" t="s">
        <v>155</v>
      </c>
      <c r="U210" s="3">
        <v>5</v>
      </c>
      <c r="V210" s="3">
        <v>0</v>
      </c>
      <c r="W210" s="3">
        <v>0</v>
      </c>
    </row>
    <row r="211" spans="1:23" ht="11.25" customHeight="1" x14ac:dyDescent="0.3">
      <c r="A211" s="3" t="s">
        <v>27</v>
      </c>
      <c r="B211" s="3" t="s">
        <v>34</v>
      </c>
      <c r="C211" s="3" t="s">
        <v>38</v>
      </c>
      <c r="D211" s="3" t="s">
        <v>41</v>
      </c>
      <c r="E211" s="3" t="s">
        <v>25</v>
      </c>
      <c r="F211" s="3" t="s">
        <v>25</v>
      </c>
      <c r="G211" s="3" t="s">
        <v>25</v>
      </c>
      <c r="H211" s="3" t="s">
        <v>25</v>
      </c>
      <c r="I211" s="6">
        <v>44713</v>
      </c>
      <c r="J211" s="4">
        <v>50</v>
      </c>
      <c r="K211" s="4">
        <v>48</v>
      </c>
      <c r="L211" s="4">
        <v>0</v>
      </c>
      <c r="M211" s="4">
        <v>0</v>
      </c>
      <c r="N211" s="4">
        <v>0</v>
      </c>
      <c r="O211" s="4">
        <v>0</v>
      </c>
      <c r="P211" s="4">
        <v>1</v>
      </c>
      <c r="Q211" s="3" t="s">
        <v>26</v>
      </c>
      <c r="R211" s="3">
        <v>0</v>
      </c>
      <c r="S211" s="3" t="s">
        <v>156</v>
      </c>
      <c r="U211" s="3">
        <v>5</v>
      </c>
      <c r="V211" s="3">
        <v>0</v>
      </c>
      <c r="W211" s="3">
        <v>0</v>
      </c>
    </row>
    <row r="212" spans="1:23" ht="11.25" customHeight="1" x14ac:dyDescent="0.3">
      <c r="A212" s="3" t="s">
        <v>27</v>
      </c>
      <c r="B212" s="3" t="s">
        <v>34</v>
      </c>
      <c r="C212" s="3" t="s">
        <v>38</v>
      </c>
      <c r="D212" s="3" t="s">
        <v>41</v>
      </c>
      <c r="E212" s="3" t="s">
        <v>25</v>
      </c>
      <c r="F212" s="3" t="s">
        <v>25</v>
      </c>
      <c r="G212" s="3" t="s">
        <v>25</v>
      </c>
      <c r="H212" s="3" t="s">
        <v>25</v>
      </c>
      <c r="I212" s="6">
        <v>44743</v>
      </c>
      <c r="J212" s="4">
        <v>50</v>
      </c>
      <c r="K212" s="4">
        <v>48</v>
      </c>
      <c r="L212" s="4">
        <v>0</v>
      </c>
      <c r="M212" s="4">
        <v>0</v>
      </c>
      <c r="N212" s="4">
        <v>0</v>
      </c>
      <c r="O212" s="4">
        <v>0</v>
      </c>
      <c r="P212" s="4">
        <v>1</v>
      </c>
      <c r="Q212" s="3" t="s">
        <v>26</v>
      </c>
      <c r="R212" s="3">
        <v>0</v>
      </c>
      <c r="S212" s="3" t="s">
        <v>157</v>
      </c>
      <c r="U212" s="3">
        <v>5</v>
      </c>
      <c r="V212" s="3">
        <v>0</v>
      </c>
      <c r="W212" s="3">
        <v>0</v>
      </c>
    </row>
    <row r="213" spans="1:23" ht="11.25" customHeight="1" x14ac:dyDescent="0.3">
      <c r="A213" s="3" t="s">
        <v>53</v>
      </c>
      <c r="B213" s="3" t="s">
        <v>34</v>
      </c>
      <c r="C213" s="3" t="s">
        <v>38</v>
      </c>
      <c r="D213" s="3" t="s">
        <v>41</v>
      </c>
      <c r="E213" s="3" t="s">
        <v>25</v>
      </c>
      <c r="F213" s="3" t="s">
        <v>25</v>
      </c>
      <c r="G213" s="3" t="s">
        <v>25</v>
      </c>
      <c r="H213" s="3" t="s">
        <v>25</v>
      </c>
      <c r="I213" s="6">
        <v>44774</v>
      </c>
      <c r="J213" s="4">
        <v>50</v>
      </c>
      <c r="K213" s="4">
        <v>48</v>
      </c>
      <c r="L213" s="4">
        <v>0</v>
      </c>
      <c r="M213" s="4">
        <v>0</v>
      </c>
      <c r="N213" s="4">
        <v>0</v>
      </c>
      <c r="O213" s="4">
        <v>0</v>
      </c>
      <c r="P213" s="4">
        <v>1</v>
      </c>
      <c r="Q213" s="3" t="s">
        <v>26</v>
      </c>
      <c r="R213" s="3">
        <v>0</v>
      </c>
      <c r="S213" s="3" t="s">
        <v>158</v>
      </c>
      <c r="U213" s="3">
        <v>5</v>
      </c>
      <c r="V213" s="3">
        <v>0</v>
      </c>
      <c r="W213" s="3">
        <v>0</v>
      </c>
    </row>
    <row r="214" spans="1:23" ht="11.25" customHeight="1" x14ac:dyDescent="0.3">
      <c r="A214" s="3" t="s">
        <v>27</v>
      </c>
      <c r="B214" s="3" t="s">
        <v>34</v>
      </c>
      <c r="C214" s="3" t="s">
        <v>38</v>
      </c>
      <c r="D214" s="3" t="s">
        <v>41</v>
      </c>
      <c r="E214" s="3" t="s">
        <v>25</v>
      </c>
      <c r="F214" s="3" t="s">
        <v>25</v>
      </c>
      <c r="G214" s="3" t="s">
        <v>25</v>
      </c>
      <c r="H214" s="3" t="s">
        <v>36</v>
      </c>
      <c r="I214" s="6">
        <v>44501</v>
      </c>
      <c r="J214" s="4">
        <v>0</v>
      </c>
      <c r="K214" s="4">
        <v>0</v>
      </c>
      <c r="L214" s="4">
        <v>0.70199999999999996</v>
      </c>
      <c r="M214" s="4">
        <v>0.67391999999999996</v>
      </c>
      <c r="N214" s="4">
        <v>0.70199999999999996</v>
      </c>
      <c r="O214" s="4">
        <v>0.67391999999999996</v>
      </c>
      <c r="P214" s="4">
        <v>0</v>
      </c>
      <c r="Q214" s="3" t="s">
        <v>26</v>
      </c>
      <c r="R214" s="3">
        <v>0</v>
      </c>
      <c r="S214" s="3" t="s">
        <v>161</v>
      </c>
      <c r="T214" s="3" t="s">
        <v>282</v>
      </c>
      <c r="U214" s="3">
        <v>0</v>
      </c>
      <c r="V214" s="3">
        <v>13</v>
      </c>
      <c r="W214" s="3">
        <v>22</v>
      </c>
    </row>
    <row r="215" spans="1:23" ht="11.25" customHeight="1" x14ac:dyDescent="0.3">
      <c r="A215" s="3" t="s">
        <v>27</v>
      </c>
      <c r="B215" s="3" t="s">
        <v>34</v>
      </c>
      <c r="C215" s="3" t="s">
        <v>38</v>
      </c>
      <c r="D215" s="3" t="s">
        <v>41</v>
      </c>
      <c r="E215" s="3" t="s">
        <v>25</v>
      </c>
      <c r="F215" s="3" t="s">
        <v>25</v>
      </c>
      <c r="G215" s="3" t="s">
        <v>25</v>
      </c>
      <c r="H215" s="3" t="s">
        <v>36</v>
      </c>
      <c r="I215" s="6">
        <v>44531</v>
      </c>
      <c r="J215" s="4">
        <v>0</v>
      </c>
      <c r="K215" s="4">
        <v>0</v>
      </c>
      <c r="L215" s="4">
        <v>0.8</v>
      </c>
      <c r="M215" s="4">
        <v>0.76800000000000002</v>
      </c>
      <c r="N215" s="4">
        <v>0.8</v>
      </c>
      <c r="O215" s="4">
        <v>0.76800000000000002</v>
      </c>
      <c r="P215" s="4">
        <v>0</v>
      </c>
      <c r="Q215" s="3" t="s">
        <v>26</v>
      </c>
      <c r="R215" s="3">
        <v>0</v>
      </c>
      <c r="S215" s="3" t="s">
        <v>162</v>
      </c>
      <c r="T215" s="3" t="s">
        <v>283</v>
      </c>
      <c r="U215" s="3">
        <v>0</v>
      </c>
      <c r="V215" s="3">
        <v>13</v>
      </c>
      <c r="W215" s="3">
        <v>22</v>
      </c>
    </row>
    <row r="216" spans="1:23" ht="11.25" customHeight="1" x14ac:dyDescent="0.3">
      <c r="A216" s="3" t="s">
        <v>27</v>
      </c>
      <c r="B216" s="3" t="s">
        <v>34</v>
      </c>
      <c r="C216" s="3" t="s">
        <v>38</v>
      </c>
      <c r="D216" s="3" t="s">
        <v>41</v>
      </c>
      <c r="E216" s="3" t="s">
        <v>25</v>
      </c>
      <c r="F216" s="3" t="s">
        <v>25</v>
      </c>
      <c r="G216" s="3" t="s">
        <v>25</v>
      </c>
      <c r="H216" s="3" t="s">
        <v>36</v>
      </c>
      <c r="I216" s="6">
        <v>44562</v>
      </c>
      <c r="J216" s="4">
        <v>0</v>
      </c>
      <c r="K216" s="4">
        <v>0</v>
      </c>
      <c r="L216" s="4">
        <v>0.871</v>
      </c>
      <c r="M216" s="4">
        <v>0.83616000000000001</v>
      </c>
      <c r="N216" s="4">
        <v>0.871</v>
      </c>
      <c r="O216" s="4">
        <v>0.83616000000000001</v>
      </c>
      <c r="P216" s="4">
        <v>0</v>
      </c>
      <c r="Q216" s="3" t="s">
        <v>26</v>
      </c>
      <c r="R216" s="3">
        <v>0</v>
      </c>
      <c r="S216" s="3" t="s">
        <v>163</v>
      </c>
      <c r="T216" s="3" t="s">
        <v>284</v>
      </c>
      <c r="U216" s="3">
        <v>0</v>
      </c>
      <c r="V216" s="3">
        <v>13</v>
      </c>
      <c r="W216" s="3">
        <v>22</v>
      </c>
    </row>
    <row r="217" spans="1:23" ht="11.25" customHeight="1" x14ac:dyDescent="0.3">
      <c r="A217" s="3" t="s">
        <v>27</v>
      </c>
      <c r="B217" s="3" t="s">
        <v>34</v>
      </c>
      <c r="C217" s="3" t="s">
        <v>38</v>
      </c>
      <c r="D217" s="3" t="s">
        <v>41</v>
      </c>
      <c r="E217" s="3" t="s">
        <v>25</v>
      </c>
      <c r="F217" s="3" t="s">
        <v>25</v>
      </c>
      <c r="G217" s="3" t="s">
        <v>25</v>
      </c>
      <c r="H217" s="3" t="s">
        <v>36</v>
      </c>
      <c r="I217" s="6">
        <v>44593</v>
      </c>
      <c r="J217" s="4">
        <v>0</v>
      </c>
      <c r="K217" s="4">
        <v>0</v>
      </c>
      <c r="L217" s="4">
        <v>0.68500000000000005</v>
      </c>
      <c r="M217" s="4">
        <v>0.65760000000000007</v>
      </c>
      <c r="N217" s="4">
        <v>0.68500000000000005</v>
      </c>
      <c r="O217" s="4">
        <v>0.65760000000000007</v>
      </c>
      <c r="P217" s="4">
        <v>0</v>
      </c>
      <c r="Q217" s="3" t="s">
        <v>26</v>
      </c>
      <c r="R217" s="3">
        <v>0</v>
      </c>
      <c r="S217" s="3" t="s">
        <v>164</v>
      </c>
      <c r="T217" s="3" t="s">
        <v>285</v>
      </c>
      <c r="U217" s="3">
        <v>0</v>
      </c>
      <c r="V217" s="3">
        <v>13</v>
      </c>
      <c r="W217" s="3">
        <v>22</v>
      </c>
    </row>
    <row r="218" spans="1:23" ht="11.25" customHeight="1" x14ac:dyDescent="0.3">
      <c r="A218" s="3" t="s">
        <v>27</v>
      </c>
      <c r="B218" s="3" t="s">
        <v>34</v>
      </c>
      <c r="C218" s="3" t="s">
        <v>38</v>
      </c>
      <c r="D218" s="3" t="s">
        <v>41</v>
      </c>
      <c r="E218" s="3" t="s">
        <v>25</v>
      </c>
      <c r="F218" s="3" t="s">
        <v>25</v>
      </c>
      <c r="G218" s="3" t="s">
        <v>25</v>
      </c>
      <c r="H218" s="3" t="s">
        <v>36</v>
      </c>
      <c r="I218" s="6">
        <v>44621</v>
      </c>
      <c r="J218" s="4">
        <v>0</v>
      </c>
      <c r="K218" s="4">
        <v>0</v>
      </c>
      <c r="L218" s="4">
        <v>0.48299999999999998</v>
      </c>
      <c r="M218" s="4">
        <v>0.46367999999999998</v>
      </c>
      <c r="N218" s="4">
        <v>0.48299999999999998</v>
      </c>
      <c r="O218" s="4">
        <v>0.46367999999999998</v>
      </c>
      <c r="P218" s="4">
        <v>0</v>
      </c>
      <c r="Q218" s="3" t="s">
        <v>26</v>
      </c>
      <c r="R218" s="3">
        <v>0</v>
      </c>
      <c r="S218" s="3" t="s">
        <v>165</v>
      </c>
      <c r="T218" s="3" t="s">
        <v>286</v>
      </c>
      <c r="U218" s="3">
        <v>0</v>
      </c>
      <c r="V218" s="3">
        <v>13</v>
      </c>
      <c r="W218" s="3">
        <v>22</v>
      </c>
    </row>
    <row r="219" spans="1:23" ht="11.25" customHeight="1" x14ac:dyDescent="0.3">
      <c r="A219" s="3" t="s">
        <v>27</v>
      </c>
      <c r="B219" s="3" t="s">
        <v>34</v>
      </c>
      <c r="C219" s="3" t="s">
        <v>38</v>
      </c>
      <c r="D219" s="3" t="s">
        <v>41</v>
      </c>
      <c r="E219" s="3" t="s">
        <v>25</v>
      </c>
      <c r="F219" s="3" t="s">
        <v>25</v>
      </c>
      <c r="G219" s="3" t="s">
        <v>25</v>
      </c>
      <c r="H219" s="3" t="s">
        <v>36</v>
      </c>
      <c r="I219" s="6">
        <v>44652</v>
      </c>
      <c r="J219" s="4">
        <v>0</v>
      </c>
      <c r="K219" s="4">
        <v>0</v>
      </c>
      <c r="L219" s="4">
        <v>0.35099999999999998</v>
      </c>
      <c r="M219" s="4">
        <v>0.33695999999999998</v>
      </c>
      <c r="N219" s="4">
        <v>0.35099999999999998</v>
      </c>
      <c r="O219" s="4">
        <v>0.33695999999999998</v>
      </c>
      <c r="P219" s="4">
        <v>0</v>
      </c>
      <c r="Q219" s="3" t="s">
        <v>26</v>
      </c>
      <c r="R219" s="3">
        <v>0</v>
      </c>
      <c r="S219" s="3" t="s">
        <v>166</v>
      </c>
      <c r="T219" s="3" t="s">
        <v>287</v>
      </c>
      <c r="U219" s="3">
        <v>0</v>
      </c>
      <c r="V219" s="3">
        <v>13</v>
      </c>
      <c r="W219" s="3">
        <v>22</v>
      </c>
    </row>
    <row r="220" spans="1:23" ht="11.25" customHeight="1" x14ac:dyDescent="0.3">
      <c r="A220" s="3" t="s">
        <v>27</v>
      </c>
      <c r="B220" s="3" t="s">
        <v>34</v>
      </c>
      <c r="C220" s="3" t="s">
        <v>38</v>
      </c>
      <c r="D220" s="3" t="s">
        <v>41</v>
      </c>
      <c r="E220" s="3" t="s">
        <v>25</v>
      </c>
      <c r="F220" s="3" t="s">
        <v>25</v>
      </c>
      <c r="G220" s="3" t="s">
        <v>25</v>
      </c>
      <c r="H220" s="3" t="s">
        <v>36</v>
      </c>
      <c r="I220" s="6">
        <v>44682</v>
      </c>
      <c r="J220" s="4">
        <v>0</v>
      </c>
      <c r="K220" s="4">
        <v>0</v>
      </c>
      <c r="L220" s="4">
        <v>0.40200000000000002</v>
      </c>
      <c r="M220" s="4">
        <v>0.38591999999999999</v>
      </c>
      <c r="N220" s="4">
        <v>0.40200000000000002</v>
      </c>
      <c r="O220" s="4">
        <v>0.38591999999999999</v>
      </c>
      <c r="P220" s="4">
        <v>0</v>
      </c>
      <c r="Q220" s="3" t="s">
        <v>26</v>
      </c>
      <c r="R220" s="3">
        <v>0</v>
      </c>
      <c r="S220" s="3" t="s">
        <v>167</v>
      </c>
      <c r="T220" s="3" t="s">
        <v>288</v>
      </c>
      <c r="U220" s="3">
        <v>0</v>
      </c>
      <c r="V220" s="3">
        <v>13</v>
      </c>
      <c r="W220" s="3">
        <v>22</v>
      </c>
    </row>
    <row r="221" spans="1:23" ht="11.25" customHeight="1" x14ac:dyDescent="0.3">
      <c r="A221" s="3" t="s">
        <v>27</v>
      </c>
      <c r="B221" s="3" t="s">
        <v>34</v>
      </c>
      <c r="C221" s="3" t="s">
        <v>38</v>
      </c>
      <c r="D221" s="3" t="s">
        <v>41</v>
      </c>
      <c r="E221" s="3" t="s">
        <v>25</v>
      </c>
      <c r="F221" s="3" t="s">
        <v>25</v>
      </c>
      <c r="G221" s="3" t="s">
        <v>25</v>
      </c>
      <c r="H221" s="3" t="s">
        <v>36</v>
      </c>
      <c r="I221" s="6">
        <v>44713</v>
      </c>
      <c r="J221" s="4">
        <v>0</v>
      </c>
      <c r="K221" s="4">
        <v>0</v>
      </c>
      <c r="L221" s="4">
        <v>0.50800000000000001</v>
      </c>
      <c r="M221" s="4">
        <v>0.48768</v>
      </c>
      <c r="N221" s="4">
        <v>0.50800000000000001</v>
      </c>
      <c r="O221" s="4">
        <v>0.48768</v>
      </c>
      <c r="P221" s="4">
        <v>0</v>
      </c>
      <c r="Q221" s="3" t="s">
        <v>26</v>
      </c>
      <c r="R221" s="3">
        <v>0</v>
      </c>
      <c r="S221" s="3" t="s">
        <v>168</v>
      </c>
      <c r="T221" s="3" t="s">
        <v>289</v>
      </c>
      <c r="U221" s="3">
        <v>0</v>
      </c>
      <c r="V221" s="3">
        <v>13</v>
      </c>
      <c r="W221" s="3">
        <v>22</v>
      </c>
    </row>
    <row r="222" spans="1:23" ht="11.25" customHeight="1" x14ac:dyDescent="0.3">
      <c r="A222" s="3" t="s">
        <v>27</v>
      </c>
      <c r="B222" s="3" t="s">
        <v>34</v>
      </c>
      <c r="C222" s="3" t="s">
        <v>38</v>
      </c>
      <c r="D222" s="3" t="s">
        <v>41</v>
      </c>
      <c r="E222" s="3" t="s">
        <v>25</v>
      </c>
      <c r="F222" s="3" t="s">
        <v>25</v>
      </c>
      <c r="G222" s="3" t="s">
        <v>25</v>
      </c>
      <c r="H222" s="3" t="s">
        <v>36</v>
      </c>
      <c r="I222" s="6">
        <v>44743</v>
      </c>
      <c r="J222" s="4">
        <v>0</v>
      </c>
      <c r="K222" s="4">
        <v>0</v>
      </c>
      <c r="L222" s="4">
        <v>0.435</v>
      </c>
      <c r="M222" s="4">
        <v>0.41759999999999997</v>
      </c>
      <c r="N222" s="4">
        <v>0.435</v>
      </c>
      <c r="O222" s="4">
        <v>0.41759999999999997</v>
      </c>
      <c r="P222" s="4">
        <v>0</v>
      </c>
      <c r="Q222" s="3" t="s">
        <v>26</v>
      </c>
      <c r="R222" s="3">
        <v>0</v>
      </c>
      <c r="S222" s="3" t="s">
        <v>169</v>
      </c>
      <c r="T222" s="3" t="s">
        <v>290</v>
      </c>
      <c r="U222" s="3">
        <v>0</v>
      </c>
      <c r="V222" s="3">
        <v>13</v>
      </c>
      <c r="W222" s="3">
        <v>22</v>
      </c>
    </row>
    <row r="223" spans="1:23" ht="11.25" customHeight="1" x14ac:dyDescent="0.3">
      <c r="A223" s="3" t="s">
        <v>53</v>
      </c>
      <c r="B223" s="3" t="s">
        <v>34</v>
      </c>
      <c r="C223" s="3" t="s">
        <v>38</v>
      </c>
      <c r="D223" s="3" t="s">
        <v>41</v>
      </c>
      <c r="E223" s="3" t="s">
        <v>25</v>
      </c>
      <c r="F223" s="3" t="s">
        <v>25</v>
      </c>
      <c r="G223" s="3" t="s">
        <v>25</v>
      </c>
      <c r="H223" s="3" t="s">
        <v>36</v>
      </c>
      <c r="I223" s="6">
        <v>44774</v>
      </c>
      <c r="J223" s="4">
        <v>0</v>
      </c>
      <c r="K223" s="4">
        <v>0</v>
      </c>
      <c r="L223" s="4">
        <v>0.435</v>
      </c>
      <c r="M223" s="4">
        <v>0.41759999999999997</v>
      </c>
      <c r="N223" s="4">
        <v>0.435</v>
      </c>
      <c r="O223" s="4">
        <v>0.41759999999999997</v>
      </c>
      <c r="P223" s="4">
        <v>0</v>
      </c>
      <c r="Q223" s="3" t="s">
        <v>26</v>
      </c>
      <c r="R223" s="3">
        <v>0</v>
      </c>
      <c r="S223" s="3" t="s">
        <v>170</v>
      </c>
      <c r="T223" s="3" t="s">
        <v>291</v>
      </c>
      <c r="U223" s="3">
        <v>0</v>
      </c>
      <c r="V223" s="3">
        <v>13</v>
      </c>
      <c r="W223" s="3">
        <v>22</v>
      </c>
    </row>
    <row r="224" spans="1:23" ht="11.25" customHeight="1" x14ac:dyDescent="0.3">
      <c r="A224" s="3" t="s">
        <v>21</v>
      </c>
      <c r="B224" s="3" t="s">
        <v>22</v>
      </c>
      <c r="C224" s="3" t="s">
        <v>23</v>
      </c>
      <c r="D224" s="3" t="s">
        <v>24</v>
      </c>
      <c r="E224" s="3" t="s">
        <v>24</v>
      </c>
      <c r="F224" s="3" t="s">
        <v>25</v>
      </c>
      <c r="G224" s="3" t="s">
        <v>25</v>
      </c>
      <c r="H224" s="3" t="s">
        <v>25</v>
      </c>
      <c r="I224" s="6">
        <v>44440</v>
      </c>
      <c r="J224" s="4">
        <v>0</v>
      </c>
      <c r="K224" s="4">
        <v>0</v>
      </c>
      <c r="L224" s="4">
        <v>862.51199999999994</v>
      </c>
      <c r="M224" s="4">
        <v>862.51199999999994</v>
      </c>
      <c r="N224" s="4">
        <v>862.51199999999994</v>
      </c>
      <c r="O224" s="4">
        <v>862.51199999999994</v>
      </c>
      <c r="P224" s="4">
        <v>4573</v>
      </c>
      <c r="Q224" s="3" t="s">
        <v>26</v>
      </c>
      <c r="R224" s="3">
        <v>0</v>
      </c>
      <c r="S224" s="3" t="s">
        <v>171</v>
      </c>
      <c r="T224" s="3" t="s">
        <v>296</v>
      </c>
      <c r="U224" s="3">
        <v>0</v>
      </c>
      <c r="V224" s="3">
        <v>16</v>
      </c>
      <c r="W224" s="3">
        <v>53</v>
      </c>
    </row>
    <row r="225" spans="1:23" ht="11.25" customHeight="1" x14ac:dyDescent="0.3">
      <c r="A225" s="3" t="s">
        <v>27</v>
      </c>
      <c r="B225" s="3" t="s">
        <v>22</v>
      </c>
      <c r="C225" s="3" t="s">
        <v>23</v>
      </c>
      <c r="D225" s="3" t="s">
        <v>24</v>
      </c>
      <c r="E225" s="3" t="s">
        <v>24</v>
      </c>
      <c r="F225" s="3" t="s">
        <v>25</v>
      </c>
      <c r="G225" s="3" t="s">
        <v>25</v>
      </c>
      <c r="H225" s="3" t="s">
        <v>25</v>
      </c>
      <c r="I225" s="6">
        <v>44440</v>
      </c>
      <c r="J225" s="4">
        <v>0</v>
      </c>
      <c r="K225" s="4">
        <v>0</v>
      </c>
      <c r="L225" s="4">
        <v>23.428999999999998</v>
      </c>
      <c r="M225" s="4">
        <v>23.428999999999998</v>
      </c>
      <c r="N225" s="4">
        <v>23.428999999999998</v>
      </c>
      <c r="O225" s="4">
        <v>23.428999999999998</v>
      </c>
      <c r="P225" s="4">
        <v>124</v>
      </c>
      <c r="Q225" s="3" t="s">
        <v>26</v>
      </c>
      <c r="R225" s="3">
        <v>0</v>
      </c>
      <c r="S225" s="3" t="s">
        <v>171</v>
      </c>
      <c r="T225" s="3" t="s">
        <v>296</v>
      </c>
      <c r="U225" s="3">
        <v>0</v>
      </c>
      <c r="V225" s="3">
        <v>16</v>
      </c>
      <c r="W225" s="3">
        <v>53</v>
      </c>
    </row>
    <row r="226" spans="1:23" ht="11.25" customHeight="1" x14ac:dyDescent="0.3">
      <c r="A226" s="3" t="s">
        <v>21</v>
      </c>
      <c r="B226" s="3" t="s">
        <v>22</v>
      </c>
      <c r="C226" s="3" t="s">
        <v>23</v>
      </c>
      <c r="D226" s="3" t="s">
        <v>24</v>
      </c>
      <c r="E226" s="3" t="s">
        <v>24</v>
      </c>
      <c r="F226" s="3" t="s">
        <v>25</v>
      </c>
      <c r="G226" s="3" t="s">
        <v>25</v>
      </c>
      <c r="H226" s="3" t="s">
        <v>25</v>
      </c>
      <c r="I226" s="6">
        <v>44470</v>
      </c>
      <c r="J226" s="4">
        <v>0</v>
      </c>
      <c r="K226" s="4">
        <v>0</v>
      </c>
      <c r="L226" s="4">
        <v>844.38800000000003</v>
      </c>
      <c r="M226" s="4">
        <v>844.38800000000003</v>
      </c>
      <c r="N226" s="4">
        <v>844.38800000000003</v>
      </c>
      <c r="O226" s="4">
        <v>844.38800000000003</v>
      </c>
      <c r="P226" s="4">
        <v>4584</v>
      </c>
      <c r="Q226" s="3" t="s">
        <v>26</v>
      </c>
      <c r="R226" s="3">
        <v>0</v>
      </c>
      <c r="S226" s="3" t="s">
        <v>172</v>
      </c>
      <c r="T226" s="3" t="s">
        <v>297</v>
      </c>
      <c r="U226" s="3">
        <v>0</v>
      </c>
      <c r="V226" s="3">
        <v>16</v>
      </c>
      <c r="W226" s="3">
        <v>53</v>
      </c>
    </row>
    <row r="227" spans="1:23" ht="11.25" customHeight="1" x14ac:dyDescent="0.3">
      <c r="A227" s="3" t="s">
        <v>27</v>
      </c>
      <c r="B227" s="3" t="s">
        <v>22</v>
      </c>
      <c r="C227" s="3" t="s">
        <v>23</v>
      </c>
      <c r="D227" s="3" t="s">
        <v>24</v>
      </c>
      <c r="E227" s="3" t="s">
        <v>24</v>
      </c>
      <c r="F227" s="3" t="s">
        <v>25</v>
      </c>
      <c r="G227" s="3" t="s">
        <v>25</v>
      </c>
      <c r="H227" s="3" t="s">
        <v>25</v>
      </c>
      <c r="I227" s="6">
        <v>44470</v>
      </c>
      <c r="J227" s="4">
        <v>0</v>
      </c>
      <c r="K227" s="4">
        <v>0</v>
      </c>
      <c r="L227" s="4">
        <v>24.843</v>
      </c>
      <c r="M227" s="4">
        <v>24.843</v>
      </c>
      <c r="N227" s="4">
        <v>24.843</v>
      </c>
      <c r="O227" s="4">
        <v>24.843</v>
      </c>
      <c r="P227" s="4">
        <v>128</v>
      </c>
      <c r="Q227" s="3" t="s">
        <v>26</v>
      </c>
      <c r="R227" s="3">
        <v>0</v>
      </c>
      <c r="S227" s="3" t="s">
        <v>172</v>
      </c>
      <c r="T227" s="3" t="s">
        <v>297</v>
      </c>
      <c r="U227" s="3">
        <v>0</v>
      </c>
      <c r="V227" s="3">
        <v>16</v>
      </c>
      <c r="W227" s="3">
        <v>53</v>
      </c>
    </row>
    <row r="228" spans="1:23" ht="11.25" customHeight="1" x14ac:dyDescent="0.3">
      <c r="A228" s="3" t="s">
        <v>21</v>
      </c>
      <c r="B228" s="3" t="s">
        <v>22</v>
      </c>
      <c r="C228" s="3" t="s">
        <v>23</v>
      </c>
      <c r="D228" s="3" t="s">
        <v>24</v>
      </c>
      <c r="E228" s="3" t="s">
        <v>24</v>
      </c>
      <c r="F228" s="3" t="s">
        <v>25</v>
      </c>
      <c r="G228" s="3" t="s">
        <v>25</v>
      </c>
      <c r="H228" s="3" t="s">
        <v>25</v>
      </c>
      <c r="I228" s="6">
        <v>44501</v>
      </c>
      <c r="J228" s="4">
        <v>0</v>
      </c>
      <c r="K228" s="4">
        <v>0</v>
      </c>
      <c r="L228" s="4">
        <v>898.28300000000002</v>
      </c>
      <c r="M228" s="4">
        <v>898.28300000000002</v>
      </c>
      <c r="N228" s="4">
        <v>898.28300000000002</v>
      </c>
      <c r="O228" s="4">
        <v>898.28300000000002</v>
      </c>
      <c r="P228" s="4">
        <v>4589</v>
      </c>
      <c r="Q228" s="3" t="s">
        <v>26</v>
      </c>
      <c r="R228" s="3">
        <v>0</v>
      </c>
      <c r="S228" s="3" t="s">
        <v>173</v>
      </c>
      <c r="T228" s="3" t="s">
        <v>298</v>
      </c>
      <c r="U228" s="3">
        <v>0</v>
      </c>
      <c r="V228" s="3">
        <v>16</v>
      </c>
      <c r="W228" s="3">
        <v>53</v>
      </c>
    </row>
    <row r="229" spans="1:23" ht="11.25" customHeight="1" x14ac:dyDescent="0.3">
      <c r="A229" s="3" t="s">
        <v>48</v>
      </c>
      <c r="B229" s="3" t="s">
        <v>22</v>
      </c>
      <c r="C229" s="3" t="s">
        <v>23</v>
      </c>
      <c r="D229" s="3" t="s">
        <v>24</v>
      </c>
      <c r="E229" s="3" t="s">
        <v>24</v>
      </c>
      <c r="F229" s="3" t="s">
        <v>25</v>
      </c>
      <c r="G229" s="3" t="s">
        <v>25</v>
      </c>
      <c r="H229" s="3" t="s">
        <v>25</v>
      </c>
      <c r="I229" s="6">
        <v>44501</v>
      </c>
      <c r="J229" s="4">
        <v>0</v>
      </c>
      <c r="K229" s="4">
        <v>0</v>
      </c>
      <c r="L229" s="4">
        <v>-0.10299999999999999</v>
      </c>
      <c r="M229" s="4">
        <v>-0.10299999999999999</v>
      </c>
      <c r="N229" s="4">
        <v>-0.10299999999999999</v>
      </c>
      <c r="O229" s="4">
        <v>-0.10299999999999999</v>
      </c>
      <c r="P229" s="4">
        <v>0</v>
      </c>
      <c r="Q229" s="3" t="s">
        <v>26</v>
      </c>
      <c r="R229" s="3">
        <v>0</v>
      </c>
      <c r="S229" s="3" t="s">
        <v>173</v>
      </c>
      <c r="T229" s="3" t="s">
        <v>298</v>
      </c>
      <c r="U229" s="3">
        <v>0</v>
      </c>
      <c r="V229" s="3">
        <v>16</v>
      </c>
      <c r="W229" s="3">
        <v>53</v>
      </c>
    </row>
    <row r="230" spans="1:23" ht="11.25" customHeight="1" x14ac:dyDescent="0.3">
      <c r="A230" s="3" t="s">
        <v>27</v>
      </c>
      <c r="B230" s="3" t="s">
        <v>22</v>
      </c>
      <c r="C230" s="3" t="s">
        <v>23</v>
      </c>
      <c r="D230" s="3" t="s">
        <v>24</v>
      </c>
      <c r="E230" s="3" t="s">
        <v>24</v>
      </c>
      <c r="F230" s="3" t="s">
        <v>25</v>
      </c>
      <c r="G230" s="3" t="s">
        <v>25</v>
      </c>
      <c r="H230" s="3" t="s">
        <v>25</v>
      </c>
      <c r="I230" s="6">
        <v>44501</v>
      </c>
      <c r="J230" s="4">
        <v>0</v>
      </c>
      <c r="K230" s="4">
        <v>0</v>
      </c>
      <c r="L230" s="4">
        <v>16.356000000000002</v>
      </c>
      <c r="M230" s="4">
        <v>16.356000000000002</v>
      </c>
      <c r="N230" s="4">
        <v>16.356000000000002</v>
      </c>
      <c r="O230" s="4">
        <v>16.356000000000002</v>
      </c>
      <c r="P230" s="4">
        <v>144</v>
      </c>
      <c r="Q230" s="3" t="s">
        <v>26</v>
      </c>
      <c r="R230" s="3">
        <v>0</v>
      </c>
      <c r="S230" s="3" t="s">
        <v>173</v>
      </c>
      <c r="T230" s="3" t="s">
        <v>298</v>
      </c>
      <c r="U230" s="3">
        <v>0</v>
      </c>
      <c r="V230" s="3">
        <v>16</v>
      </c>
      <c r="W230" s="3">
        <v>53</v>
      </c>
    </row>
    <row r="231" spans="1:23" ht="11.25" customHeight="1" x14ac:dyDescent="0.3">
      <c r="A231" s="3" t="s">
        <v>21</v>
      </c>
      <c r="B231" s="3" t="s">
        <v>22</v>
      </c>
      <c r="C231" s="3" t="s">
        <v>23</v>
      </c>
      <c r="D231" s="3" t="s">
        <v>24</v>
      </c>
      <c r="E231" s="3" t="s">
        <v>24</v>
      </c>
      <c r="F231" s="3" t="s">
        <v>25</v>
      </c>
      <c r="G231" s="3" t="s">
        <v>25</v>
      </c>
      <c r="H231" s="3" t="s">
        <v>25</v>
      </c>
      <c r="I231" s="6">
        <v>44531</v>
      </c>
      <c r="J231" s="4">
        <v>0</v>
      </c>
      <c r="K231" s="4">
        <v>0</v>
      </c>
      <c r="L231" s="4">
        <v>833.47400000000005</v>
      </c>
      <c r="M231" s="4">
        <v>833.47400000000005</v>
      </c>
      <c r="N231" s="4">
        <v>833.47400000000005</v>
      </c>
      <c r="O231" s="4">
        <v>833.47400000000005</v>
      </c>
      <c r="P231" s="4">
        <v>4594</v>
      </c>
      <c r="Q231" s="3" t="s">
        <v>26</v>
      </c>
      <c r="R231" s="3">
        <v>0</v>
      </c>
      <c r="S231" s="3" t="s">
        <v>174</v>
      </c>
      <c r="T231" s="3" t="s">
        <v>299</v>
      </c>
      <c r="U231" s="3">
        <v>0</v>
      </c>
      <c r="V231" s="3">
        <v>16</v>
      </c>
      <c r="W231" s="3">
        <v>53</v>
      </c>
    </row>
    <row r="232" spans="1:23" ht="11.25" customHeight="1" x14ac:dyDescent="0.3">
      <c r="A232" s="3" t="s">
        <v>27</v>
      </c>
      <c r="B232" s="3" t="s">
        <v>22</v>
      </c>
      <c r="C232" s="3" t="s">
        <v>23</v>
      </c>
      <c r="D232" s="3" t="s">
        <v>24</v>
      </c>
      <c r="E232" s="3" t="s">
        <v>24</v>
      </c>
      <c r="F232" s="3" t="s">
        <v>25</v>
      </c>
      <c r="G232" s="3" t="s">
        <v>25</v>
      </c>
      <c r="H232" s="3" t="s">
        <v>25</v>
      </c>
      <c r="I232" s="6">
        <v>44531</v>
      </c>
      <c r="J232" s="4">
        <v>0</v>
      </c>
      <c r="K232" s="4">
        <v>0</v>
      </c>
      <c r="L232" s="4">
        <v>15.928000000000001</v>
      </c>
      <c r="M232" s="4">
        <v>15.928000000000001</v>
      </c>
      <c r="N232" s="4">
        <v>15.928000000000001</v>
      </c>
      <c r="O232" s="4">
        <v>15.928000000000001</v>
      </c>
      <c r="P232" s="4">
        <v>153</v>
      </c>
      <c r="Q232" s="3" t="s">
        <v>26</v>
      </c>
      <c r="R232" s="3">
        <v>0</v>
      </c>
      <c r="S232" s="3" t="s">
        <v>174</v>
      </c>
      <c r="T232" s="3" t="s">
        <v>299</v>
      </c>
      <c r="U232" s="3">
        <v>0</v>
      </c>
      <c r="V232" s="3">
        <v>16</v>
      </c>
      <c r="W232" s="3">
        <v>53</v>
      </c>
    </row>
    <row r="233" spans="1:23" ht="11.25" customHeight="1" x14ac:dyDescent="0.3">
      <c r="A233" s="3" t="s">
        <v>21</v>
      </c>
      <c r="B233" s="3" t="s">
        <v>22</v>
      </c>
      <c r="C233" s="3" t="s">
        <v>23</v>
      </c>
      <c r="D233" s="3" t="s">
        <v>24</v>
      </c>
      <c r="E233" s="3" t="s">
        <v>24</v>
      </c>
      <c r="F233" s="3" t="s">
        <v>25</v>
      </c>
      <c r="G233" s="3" t="s">
        <v>25</v>
      </c>
      <c r="H233" s="3" t="s">
        <v>25</v>
      </c>
      <c r="I233" s="6">
        <v>44562</v>
      </c>
      <c r="J233" s="4">
        <v>0</v>
      </c>
      <c r="K233" s="4">
        <v>0</v>
      </c>
      <c r="L233" s="4">
        <v>971.65700000000004</v>
      </c>
      <c r="M233" s="4">
        <v>971.65700000000004</v>
      </c>
      <c r="N233" s="4">
        <v>971.65700000000004</v>
      </c>
      <c r="O233" s="4">
        <v>971.65700000000004</v>
      </c>
      <c r="P233" s="4">
        <v>4598</v>
      </c>
      <c r="Q233" s="3" t="s">
        <v>26</v>
      </c>
      <c r="R233" s="3">
        <v>0</v>
      </c>
      <c r="S233" s="3" t="s">
        <v>175</v>
      </c>
      <c r="T233" s="3" t="s">
        <v>300</v>
      </c>
      <c r="U233" s="3">
        <v>0</v>
      </c>
      <c r="V233" s="3">
        <v>16</v>
      </c>
      <c r="W233" s="3">
        <v>53</v>
      </c>
    </row>
    <row r="234" spans="1:23" ht="11.25" customHeight="1" x14ac:dyDescent="0.3">
      <c r="A234" s="3" t="s">
        <v>27</v>
      </c>
      <c r="B234" s="3" t="s">
        <v>22</v>
      </c>
      <c r="C234" s="3" t="s">
        <v>23</v>
      </c>
      <c r="D234" s="3" t="s">
        <v>24</v>
      </c>
      <c r="E234" s="3" t="s">
        <v>24</v>
      </c>
      <c r="F234" s="3" t="s">
        <v>25</v>
      </c>
      <c r="G234" s="3" t="s">
        <v>25</v>
      </c>
      <c r="H234" s="3" t="s">
        <v>25</v>
      </c>
      <c r="I234" s="6">
        <v>44562</v>
      </c>
      <c r="J234" s="4">
        <v>0</v>
      </c>
      <c r="K234" s="4">
        <v>0</v>
      </c>
      <c r="L234" s="4">
        <v>21.492999999999999</v>
      </c>
      <c r="M234" s="4">
        <v>21.492999999999999</v>
      </c>
      <c r="N234" s="4">
        <v>21.492999999999999</v>
      </c>
      <c r="O234" s="4">
        <v>21.492999999999999</v>
      </c>
      <c r="P234" s="4">
        <v>162</v>
      </c>
      <c r="Q234" s="3" t="s">
        <v>26</v>
      </c>
      <c r="R234" s="3">
        <v>0</v>
      </c>
      <c r="S234" s="3" t="s">
        <v>175</v>
      </c>
      <c r="T234" s="3" t="s">
        <v>300</v>
      </c>
      <c r="U234" s="3">
        <v>0</v>
      </c>
      <c r="V234" s="3">
        <v>16</v>
      </c>
      <c r="W234" s="3">
        <v>53</v>
      </c>
    </row>
    <row r="235" spans="1:23" ht="11.25" customHeight="1" x14ac:dyDescent="0.3">
      <c r="A235" s="3" t="s">
        <v>21</v>
      </c>
      <c r="B235" s="3" t="s">
        <v>22</v>
      </c>
      <c r="C235" s="3" t="s">
        <v>23</v>
      </c>
      <c r="D235" s="3" t="s">
        <v>24</v>
      </c>
      <c r="E235" s="3" t="s">
        <v>24</v>
      </c>
      <c r="F235" s="3" t="s">
        <v>25</v>
      </c>
      <c r="G235" s="3" t="s">
        <v>25</v>
      </c>
      <c r="H235" s="3" t="s">
        <v>25</v>
      </c>
      <c r="I235" s="6">
        <v>44593</v>
      </c>
      <c r="J235" s="4">
        <v>0</v>
      </c>
      <c r="K235" s="4">
        <v>0</v>
      </c>
      <c r="L235" s="4">
        <v>1195.203</v>
      </c>
      <c r="M235" s="4">
        <v>1195.203</v>
      </c>
      <c r="N235" s="4">
        <v>1195.203</v>
      </c>
      <c r="O235" s="4">
        <v>1195.203</v>
      </c>
      <c r="P235" s="4">
        <v>4511</v>
      </c>
      <c r="Q235" s="3" t="s">
        <v>26</v>
      </c>
      <c r="R235" s="3">
        <v>0</v>
      </c>
      <c r="S235" s="3" t="s">
        <v>176</v>
      </c>
      <c r="T235" s="3" t="s">
        <v>301</v>
      </c>
      <c r="U235" s="3">
        <v>0</v>
      </c>
      <c r="V235" s="3">
        <v>16</v>
      </c>
      <c r="W235" s="3">
        <v>53</v>
      </c>
    </row>
    <row r="236" spans="1:23" ht="11.25" customHeight="1" x14ac:dyDescent="0.3">
      <c r="A236" s="3" t="s">
        <v>27</v>
      </c>
      <c r="B236" s="3" t="s">
        <v>22</v>
      </c>
      <c r="C236" s="3" t="s">
        <v>23</v>
      </c>
      <c r="D236" s="3" t="s">
        <v>24</v>
      </c>
      <c r="E236" s="3" t="s">
        <v>24</v>
      </c>
      <c r="F236" s="3" t="s">
        <v>25</v>
      </c>
      <c r="G236" s="3" t="s">
        <v>25</v>
      </c>
      <c r="H236" s="3" t="s">
        <v>25</v>
      </c>
      <c r="I236" s="6">
        <v>44593</v>
      </c>
      <c r="J236" s="4">
        <v>0</v>
      </c>
      <c r="K236" s="4">
        <v>0</v>
      </c>
      <c r="L236" s="4">
        <v>25.963000000000001</v>
      </c>
      <c r="M236" s="4">
        <v>25.963000000000001</v>
      </c>
      <c r="N236" s="4">
        <v>25.963000000000001</v>
      </c>
      <c r="O236" s="4">
        <v>25.963000000000001</v>
      </c>
      <c r="P236" s="4">
        <v>170</v>
      </c>
      <c r="Q236" s="3" t="s">
        <v>26</v>
      </c>
      <c r="R236" s="3">
        <v>0</v>
      </c>
      <c r="S236" s="3" t="s">
        <v>176</v>
      </c>
      <c r="T236" s="3" t="s">
        <v>301</v>
      </c>
      <c r="U236" s="3">
        <v>0</v>
      </c>
      <c r="V236" s="3">
        <v>16</v>
      </c>
      <c r="W236" s="3">
        <v>53</v>
      </c>
    </row>
    <row r="237" spans="1:23" ht="11.25" customHeight="1" x14ac:dyDescent="0.3">
      <c r="A237" s="3" t="s">
        <v>21</v>
      </c>
      <c r="B237" s="3" t="s">
        <v>22</v>
      </c>
      <c r="C237" s="3" t="s">
        <v>23</v>
      </c>
      <c r="D237" s="3" t="s">
        <v>24</v>
      </c>
      <c r="E237" s="3" t="s">
        <v>24</v>
      </c>
      <c r="F237" s="3" t="s">
        <v>25</v>
      </c>
      <c r="G237" s="3" t="s">
        <v>25</v>
      </c>
      <c r="H237" s="3" t="s">
        <v>25</v>
      </c>
      <c r="I237" s="6">
        <v>44621</v>
      </c>
      <c r="J237" s="4">
        <v>0</v>
      </c>
      <c r="K237" s="4">
        <v>0</v>
      </c>
      <c r="L237" s="4">
        <v>1109.6759999999999</v>
      </c>
      <c r="M237" s="4">
        <v>1109.6759999999999</v>
      </c>
      <c r="N237" s="4">
        <v>1109.6759999999999</v>
      </c>
      <c r="O237" s="4">
        <v>1109.6759999999999</v>
      </c>
      <c r="P237" s="4">
        <v>4508</v>
      </c>
      <c r="Q237" s="3" t="s">
        <v>26</v>
      </c>
      <c r="R237" s="3">
        <v>0</v>
      </c>
      <c r="S237" s="3" t="s">
        <v>177</v>
      </c>
      <c r="T237" s="3" t="s">
        <v>302</v>
      </c>
      <c r="U237" s="3">
        <v>0</v>
      </c>
      <c r="V237" s="3">
        <v>16</v>
      </c>
      <c r="W237" s="3">
        <v>53</v>
      </c>
    </row>
    <row r="238" spans="1:23" ht="11.25" customHeight="1" x14ac:dyDescent="0.3">
      <c r="A238" s="3" t="s">
        <v>48</v>
      </c>
      <c r="B238" s="3" t="s">
        <v>22</v>
      </c>
      <c r="C238" s="3" t="s">
        <v>23</v>
      </c>
      <c r="D238" s="3" t="s">
        <v>24</v>
      </c>
      <c r="E238" s="3" t="s">
        <v>24</v>
      </c>
      <c r="F238" s="3" t="s">
        <v>25</v>
      </c>
      <c r="G238" s="3" t="s">
        <v>25</v>
      </c>
      <c r="H238" s="3" t="s">
        <v>25</v>
      </c>
      <c r="I238" s="6">
        <v>44621</v>
      </c>
      <c r="J238" s="4">
        <v>0</v>
      </c>
      <c r="K238" s="4">
        <v>0</v>
      </c>
      <c r="L238" s="4">
        <v>-0.311</v>
      </c>
      <c r="M238" s="4">
        <v>-0.311</v>
      </c>
      <c r="N238" s="4">
        <v>-0.311</v>
      </c>
      <c r="O238" s="4">
        <v>-0.311</v>
      </c>
      <c r="P238" s="4">
        <v>0</v>
      </c>
      <c r="Q238" s="3" t="s">
        <v>26</v>
      </c>
      <c r="R238" s="3">
        <v>0</v>
      </c>
      <c r="S238" s="3" t="s">
        <v>177</v>
      </c>
      <c r="T238" s="3" t="s">
        <v>302</v>
      </c>
      <c r="U238" s="3">
        <v>0</v>
      </c>
      <c r="V238" s="3">
        <v>16</v>
      </c>
      <c r="W238" s="3">
        <v>53</v>
      </c>
    </row>
    <row r="239" spans="1:23" ht="11.25" customHeight="1" x14ac:dyDescent="0.3">
      <c r="A239" s="3" t="s">
        <v>27</v>
      </c>
      <c r="B239" s="3" t="s">
        <v>22</v>
      </c>
      <c r="C239" s="3" t="s">
        <v>23</v>
      </c>
      <c r="D239" s="3" t="s">
        <v>24</v>
      </c>
      <c r="E239" s="3" t="s">
        <v>24</v>
      </c>
      <c r="F239" s="3" t="s">
        <v>25</v>
      </c>
      <c r="G239" s="3" t="s">
        <v>25</v>
      </c>
      <c r="H239" s="3" t="s">
        <v>25</v>
      </c>
      <c r="I239" s="6">
        <v>44621</v>
      </c>
      <c r="J239" s="4">
        <v>0</v>
      </c>
      <c r="K239" s="4">
        <v>0</v>
      </c>
      <c r="L239" s="4">
        <v>29.984999999999999</v>
      </c>
      <c r="M239" s="4">
        <v>29.984999999999999</v>
      </c>
      <c r="N239" s="4">
        <v>29.984999999999999</v>
      </c>
      <c r="O239" s="4">
        <v>29.984999999999999</v>
      </c>
      <c r="P239" s="4">
        <v>176</v>
      </c>
      <c r="Q239" s="3" t="s">
        <v>26</v>
      </c>
      <c r="R239" s="3">
        <v>0</v>
      </c>
      <c r="S239" s="3" t="s">
        <v>177</v>
      </c>
      <c r="T239" s="3" t="s">
        <v>302</v>
      </c>
      <c r="U239" s="3">
        <v>0</v>
      </c>
      <c r="V239" s="3">
        <v>16</v>
      </c>
      <c r="W239" s="3">
        <v>53</v>
      </c>
    </row>
    <row r="240" spans="1:23" ht="11.25" customHeight="1" x14ac:dyDescent="0.3">
      <c r="A240" s="3" t="s">
        <v>21</v>
      </c>
      <c r="B240" s="3" t="s">
        <v>22</v>
      </c>
      <c r="C240" s="3" t="s">
        <v>23</v>
      </c>
      <c r="D240" s="3" t="s">
        <v>24</v>
      </c>
      <c r="E240" s="3" t="s">
        <v>24</v>
      </c>
      <c r="F240" s="3" t="s">
        <v>25</v>
      </c>
      <c r="G240" s="3" t="s">
        <v>25</v>
      </c>
      <c r="H240" s="3" t="s">
        <v>25</v>
      </c>
      <c r="I240" s="6">
        <v>44652</v>
      </c>
      <c r="J240" s="4">
        <v>0</v>
      </c>
      <c r="K240" s="4">
        <v>0</v>
      </c>
      <c r="L240" s="4">
        <v>793.52200000000005</v>
      </c>
      <c r="M240" s="4">
        <v>793.52200000000005</v>
      </c>
      <c r="N240" s="4">
        <v>793.52200000000005</v>
      </c>
      <c r="O240" s="4">
        <v>793.52200000000005</v>
      </c>
      <c r="P240" s="4">
        <v>4498</v>
      </c>
      <c r="Q240" s="3" t="s">
        <v>26</v>
      </c>
      <c r="R240" s="3">
        <v>0</v>
      </c>
      <c r="S240" s="3" t="s">
        <v>178</v>
      </c>
      <c r="T240" s="3" t="s">
        <v>303</v>
      </c>
      <c r="U240" s="3">
        <v>0</v>
      </c>
      <c r="V240" s="3">
        <v>16</v>
      </c>
      <c r="W240" s="3">
        <v>53</v>
      </c>
    </row>
    <row r="241" spans="1:23" ht="11.25" customHeight="1" x14ac:dyDescent="0.3">
      <c r="A241" s="3" t="s">
        <v>48</v>
      </c>
      <c r="B241" s="3" t="s">
        <v>22</v>
      </c>
      <c r="C241" s="3" t="s">
        <v>23</v>
      </c>
      <c r="D241" s="3" t="s">
        <v>24</v>
      </c>
      <c r="E241" s="3" t="s">
        <v>24</v>
      </c>
      <c r="F241" s="3" t="s">
        <v>25</v>
      </c>
      <c r="G241" s="3" t="s">
        <v>25</v>
      </c>
      <c r="H241" s="3" t="s">
        <v>25</v>
      </c>
      <c r="I241" s="6">
        <v>44652</v>
      </c>
      <c r="J241" s="4">
        <v>0</v>
      </c>
      <c r="K241" s="4">
        <v>0</v>
      </c>
      <c r="L241" s="4">
        <v>-100.259</v>
      </c>
      <c r="M241" s="4">
        <v>-100.259</v>
      </c>
      <c r="N241" s="4">
        <v>-100.259</v>
      </c>
      <c r="O241" s="4">
        <v>-100.259</v>
      </c>
      <c r="P241" s="4">
        <v>0</v>
      </c>
      <c r="Q241" s="3" t="s">
        <v>26</v>
      </c>
      <c r="R241" s="3">
        <v>0</v>
      </c>
      <c r="S241" s="3" t="s">
        <v>178</v>
      </c>
      <c r="T241" s="3" t="s">
        <v>303</v>
      </c>
      <c r="U241" s="3">
        <v>0</v>
      </c>
      <c r="V241" s="3">
        <v>16</v>
      </c>
      <c r="W241" s="3">
        <v>53</v>
      </c>
    </row>
    <row r="242" spans="1:23" ht="11.25" customHeight="1" x14ac:dyDescent="0.3">
      <c r="A242" s="3" t="s">
        <v>27</v>
      </c>
      <c r="B242" s="3" t="s">
        <v>22</v>
      </c>
      <c r="C242" s="3" t="s">
        <v>23</v>
      </c>
      <c r="D242" s="3" t="s">
        <v>24</v>
      </c>
      <c r="E242" s="3" t="s">
        <v>24</v>
      </c>
      <c r="F242" s="3" t="s">
        <v>25</v>
      </c>
      <c r="G242" s="3" t="s">
        <v>25</v>
      </c>
      <c r="H242" s="3" t="s">
        <v>25</v>
      </c>
      <c r="I242" s="6">
        <v>44652</v>
      </c>
      <c r="J242" s="4">
        <v>0</v>
      </c>
      <c r="K242" s="4">
        <v>0</v>
      </c>
      <c r="L242" s="4">
        <v>24.300999999999998</v>
      </c>
      <c r="M242" s="4">
        <v>24.300999999999998</v>
      </c>
      <c r="N242" s="4">
        <v>24.300999999999998</v>
      </c>
      <c r="O242" s="4">
        <v>24.300999999999998</v>
      </c>
      <c r="P242" s="4">
        <v>192</v>
      </c>
      <c r="Q242" s="3" t="s">
        <v>26</v>
      </c>
      <c r="R242" s="3">
        <v>0</v>
      </c>
      <c r="S242" s="3" t="s">
        <v>178</v>
      </c>
      <c r="T242" s="3" t="s">
        <v>303</v>
      </c>
      <c r="U242" s="3">
        <v>0</v>
      </c>
      <c r="V242" s="3">
        <v>16</v>
      </c>
      <c r="W242" s="3">
        <v>53</v>
      </c>
    </row>
    <row r="243" spans="1:23" ht="11.25" customHeight="1" x14ac:dyDescent="0.3">
      <c r="A243" s="3" t="s">
        <v>27</v>
      </c>
      <c r="B243" s="3" t="s">
        <v>22</v>
      </c>
      <c r="C243" s="3" t="s">
        <v>23</v>
      </c>
      <c r="D243" s="3" t="s">
        <v>24</v>
      </c>
      <c r="E243" s="3" t="s">
        <v>24</v>
      </c>
      <c r="F243" s="3" t="s">
        <v>25</v>
      </c>
      <c r="G243" s="3" t="s">
        <v>25</v>
      </c>
      <c r="H243" s="3" t="s">
        <v>25</v>
      </c>
      <c r="I243" s="6">
        <v>44652</v>
      </c>
      <c r="J243" s="4">
        <v>0</v>
      </c>
      <c r="K243" s="4">
        <v>0</v>
      </c>
      <c r="L243" s="4">
        <v>-0.36199999999999999</v>
      </c>
      <c r="M243" s="4">
        <v>-0.36199999999999999</v>
      </c>
      <c r="N243" s="4">
        <v>-0.36199999999999999</v>
      </c>
      <c r="O243" s="4">
        <v>-0.36199999999999999</v>
      </c>
      <c r="P243" s="4">
        <v>2</v>
      </c>
      <c r="Q243" s="3" t="s">
        <v>26</v>
      </c>
      <c r="R243" s="3">
        <v>0</v>
      </c>
      <c r="S243" s="3" t="s">
        <v>178</v>
      </c>
      <c r="T243" s="3" t="s">
        <v>303</v>
      </c>
      <c r="U243" s="3">
        <v>0</v>
      </c>
      <c r="V243" s="3">
        <v>16</v>
      </c>
      <c r="W243" s="3">
        <v>53</v>
      </c>
    </row>
    <row r="244" spans="1:23" ht="11.25" customHeight="1" x14ac:dyDescent="0.3">
      <c r="A244" s="3" t="s">
        <v>21</v>
      </c>
      <c r="B244" s="3" t="s">
        <v>22</v>
      </c>
      <c r="C244" s="3" t="s">
        <v>23</v>
      </c>
      <c r="D244" s="3" t="s">
        <v>24</v>
      </c>
      <c r="E244" s="3" t="s">
        <v>24</v>
      </c>
      <c r="F244" s="3" t="s">
        <v>25</v>
      </c>
      <c r="G244" s="3" t="s">
        <v>25</v>
      </c>
      <c r="H244" s="3" t="s">
        <v>25</v>
      </c>
      <c r="I244" s="6">
        <v>44682</v>
      </c>
      <c r="J244" s="4">
        <v>0</v>
      </c>
      <c r="K244" s="4">
        <v>0</v>
      </c>
      <c r="L244" s="4">
        <v>777.67899999999997</v>
      </c>
      <c r="M244" s="4">
        <v>777.67899999999997</v>
      </c>
      <c r="N244" s="4">
        <v>777.67899999999997</v>
      </c>
      <c r="O244" s="4">
        <v>777.67899999999997</v>
      </c>
      <c r="P244" s="4">
        <v>4481</v>
      </c>
      <c r="Q244" s="3" t="s">
        <v>26</v>
      </c>
      <c r="R244" s="3">
        <v>0</v>
      </c>
      <c r="S244" s="3" t="s">
        <v>179</v>
      </c>
      <c r="T244" s="3" t="s">
        <v>304</v>
      </c>
      <c r="U244" s="3">
        <v>0</v>
      </c>
      <c r="V244" s="3">
        <v>16</v>
      </c>
      <c r="W244" s="3">
        <v>53</v>
      </c>
    </row>
    <row r="245" spans="1:23" ht="11.25" customHeight="1" x14ac:dyDescent="0.3">
      <c r="A245" s="3" t="s">
        <v>27</v>
      </c>
      <c r="B245" s="3" t="s">
        <v>22</v>
      </c>
      <c r="C245" s="3" t="s">
        <v>23</v>
      </c>
      <c r="D245" s="3" t="s">
        <v>24</v>
      </c>
      <c r="E245" s="3" t="s">
        <v>24</v>
      </c>
      <c r="F245" s="3" t="s">
        <v>25</v>
      </c>
      <c r="G245" s="3" t="s">
        <v>25</v>
      </c>
      <c r="H245" s="3" t="s">
        <v>25</v>
      </c>
      <c r="I245" s="6">
        <v>44682</v>
      </c>
      <c r="J245" s="4">
        <v>0</v>
      </c>
      <c r="K245" s="4">
        <v>0</v>
      </c>
      <c r="L245" s="4">
        <v>27.635000000000002</v>
      </c>
      <c r="M245" s="4">
        <v>27.635000000000002</v>
      </c>
      <c r="N245" s="4">
        <v>27.635000000000002</v>
      </c>
      <c r="O245" s="4">
        <v>27.635000000000002</v>
      </c>
      <c r="P245" s="4">
        <v>212</v>
      </c>
      <c r="Q245" s="3" t="s">
        <v>26</v>
      </c>
      <c r="R245" s="3">
        <v>0</v>
      </c>
      <c r="S245" s="3" t="s">
        <v>179</v>
      </c>
      <c r="T245" s="3" t="s">
        <v>304</v>
      </c>
      <c r="U245" s="3">
        <v>0</v>
      </c>
      <c r="V245" s="3">
        <v>16</v>
      </c>
      <c r="W245" s="3">
        <v>53</v>
      </c>
    </row>
    <row r="246" spans="1:23" ht="11.25" customHeight="1" x14ac:dyDescent="0.3">
      <c r="A246" s="3" t="s">
        <v>21</v>
      </c>
      <c r="B246" s="3" t="s">
        <v>22</v>
      </c>
      <c r="C246" s="3" t="s">
        <v>23</v>
      </c>
      <c r="D246" s="3" t="s">
        <v>24</v>
      </c>
      <c r="E246" s="3" t="s">
        <v>24</v>
      </c>
      <c r="F246" s="3" t="s">
        <v>25</v>
      </c>
      <c r="G246" s="3" t="s">
        <v>25</v>
      </c>
      <c r="H246" s="3" t="s">
        <v>25</v>
      </c>
      <c r="I246" s="6">
        <v>44713</v>
      </c>
      <c r="J246" s="4">
        <v>0</v>
      </c>
      <c r="K246" s="4">
        <v>0</v>
      </c>
      <c r="L246" s="4">
        <v>839.471</v>
      </c>
      <c r="M246" s="4">
        <v>839.471</v>
      </c>
      <c r="N246" s="4">
        <v>839.471</v>
      </c>
      <c r="O246" s="4">
        <v>839.471</v>
      </c>
      <c r="P246" s="4">
        <v>4495</v>
      </c>
      <c r="Q246" s="3" t="s">
        <v>26</v>
      </c>
      <c r="R246" s="3">
        <v>0</v>
      </c>
      <c r="S246" s="3" t="s">
        <v>180</v>
      </c>
      <c r="T246" s="3" t="s">
        <v>305</v>
      </c>
      <c r="U246" s="3">
        <v>0</v>
      </c>
      <c r="V246" s="3">
        <v>16</v>
      </c>
      <c r="W246" s="3">
        <v>53</v>
      </c>
    </row>
    <row r="247" spans="1:23" ht="11.25" customHeight="1" x14ac:dyDescent="0.3">
      <c r="A247" s="3" t="s">
        <v>48</v>
      </c>
      <c r="B247" s="3" t="s">
        <v>22</v>
      </c>
      <c r="C247" s="3" t="s">
        <v>23</v>
      </c>
      <c r="D247" s="3" t="s">
        <v>24</v>
      </c>
      <c r="E247" s="3" t="s">
        <v>24</v>
      </c>
      <c r="F247" s="3" t="s">
        <v>25</v>
      </c>
      <c r="G247" s="3" t="s">
        <v>25</v>
      </c>
      <c r="H247" s="3" t="s">
        <v>25</v>
      </c>
      <c r="I247" s="6">
        <v>44713</v>
      </c>
      <c r="J247" s="4">
        <v>0</v>
      </c>
      <c r="K247" s="4">
        <v>0</v>
      </c>
      <c r="L247" s="4">
        <v>0.224</v>
      </c>
      <c r="M247" s="4">
        <v>0.224</v>
      </c>
      <c r="N247" s="4">
        <v>0.224</v>
      </c>
      <c r="O247" s="4">
        <v>0.224</v>
      </c>
      <c r="P247" s="4">
        <v>0</v>
      </c>
      <c r="Q247" s="3" t="s">
        <v>26</v>
      </c>
      <c r="R247" s="3">
        <v>0</v>
      </c>
      <c r="S247" s="3" t="s">
        <v>180</v>
      </c>
      <c r="T247" s="3" t="s">
        <v>305</v>
      </c>
      <c r="U247" s="3">
        <v>0</v>
      </c>
      <c r="V247" s="3">
        <v>16</v>
      </c>
      <c r="W247" s="3">
        <v>53</v>
      </c>
    </row>
    <row r="248" spans="1:23" ht="11.25" customHeight="1" x14ac:dyDescent="0.3">
      <c r="A248" s="3" t="s">
        <v>27</v>
      </c>
      <c r="B248" s="3" t="s">
        <v>22</v>
      </c>
      <c r="C248" s="3" t="s">
        <v>23</v>
      </c>
      <c r="D248" s="3" t="s">
        <v>24</v>
      </c>
      <c r="E248" s="3" t="s">
        <v>24</v>
      </c>
      <c r="F248" s="3" t="s">
        <v>25</v>
      </c>
      <c r="G248" s="3" t="s">
        <v>25</v>
      </c>
      <c r="H248" s="3" t="s">
        <v>25</v>
      </c>
      <c r="I248" s="6">
        <v>44713</v>
      </c>
      <c r="J248" s="4">
        <v>0</v>
      </c>
      <c r="K248" s="4">
        <v>0</v>
      </c>
      <c r="L248" s="4">
        <v>33.921999999999997</v>
      </c>
      <c r="M248" s="4">
        <v>33.921999999999997</v>
      </c>
      <c r="N248" s="4">
        <v>33.921999999999997</v>
      </c>
      <c r="O248" s="4">
        <v>33.921999999999997</v>
      </c>
      <c r="P248" s="4">
        <v>217</v>
      </c>
      <c r="Q248" s="3" t="s">
        <v>26</v>
      </c>
      <c r="R248" s="3">
        <v>0</v>
      </c>
      <c r="S248" s="3" t="s">
        <v>180</v>
      </c>
      <c r="T248" s="3" t="s">
        <v>305</v>
      </c>
      <c r="U248" s="3">
        <v>0</v>
      </c>
      <c r="V248" s="3">
        <v>16</v>
      </c>
      <c r="W248" s="3">
        <v>53</v>
      </c>
    </row>
    <row r="249" spans="1:23" ht="11.25" customHeight="1" x14ac:dyDescent="0.3">
      <c r="A249" s="3" t="s">
        <v>21</v>
      </c>
      <c r="B249" s="3" t="s">
        <v>22</v>
      </c>
      <c r="C249" s="3" t="s">
        <v>23</v>
      </c>
      <c r="D249" s="3" t="s">
        <v>24</v>
      </c>
      <c r="E249" s="3" t="s">
        <v>24</v>
      </c>
      <c r="F249" s="3" t="s">
        <v>25</v>
      </c>
      <c r="G249" s="3" t="s">
        <v>25</v>
      </c>
      <c r="H249" s="3" t="s">
        <v>25</v>
      </c>
      <c r="I249" s="6">
        <v>44743</v>
      </c>
      <c r="J249" s="4">
        <v>0</v>
      </c>
      <c r="K249" s="4">
        <v>0</v>
      </c>
      <c r="L249" s="4">
        <v>816.24300000000005</v>
      </c>
      <c r="M249" s="4">
        <v>816.24300000000005</v>
      </c>
      <c r="N249" s="4">
        <v>816.24300000000005</v>
      </c>
      <c r="O249" s="4">
        <v>816.24300000000005</v>
      </c>
      <c r="P249" s="4">
        <v>4541</v>
      </c>
      <c r="Q249" s="3" t="s">
        <v>26</v>
      </c>
      <c r="R249" s="3">
        <v>0</v>
      </c>
      <c r="S249" s="3" t="s">
        <v>181</v>
      </c>
      <c r="T249" s="3" t="s">
        <v>306</v>
      </c>
      <c r="U249" s="3">
        <v>0</v>
      </c>
      <c r="V249" s="3">
        <v>16</v>
      </c>
      <c r="W249" s="3">
        <v>53</v>
      </c>
    </row>
    <row r="250" spans="1:23" ht="11.25" customHeight="1" x14ac:dyDescent="0.3">
      <c r="A250" s="3" t="s">
        <v>27</v>
      </c>
      <c r="B250" s="3" t="s">
        <v>22</v>
      </c>
      <c r="C250" s="3" t="s">
        <v>23</v>
      </c>
      <c r="D250" s="3" t="s">
        <v>24</v>
      </c>
      <c r="E250" s="3" t="s">
        <v>24</v>
      </c>
      <c r="F250" s="3" t="s">
        <v>25</v>
      </c>
      <c r="G250" s="3" t="s">
        <v>25</v>
      </c>
      <c r="H250" s="3" t="s">
        <v>25</v>
      </c>
      <c r="I250" s="6">
        <v>44743</v>
      </c>
      <c r="J250" s="4">
        <v>0</v>
      </c>
      <c r="K250" s="4">
        <v>0</v>
      </c>
      <c r="L250" s="4">
        <v>34.292999999999999</v>
      </c>
      <c r="M250" s="4">
        <v>34.292999999999999</v>
      </c>
      <c r="N250" s="4">
        <v>34.292999999999999</v>
      </c>
      <c r="O250" s="4">
        <v>34.292999999999999</v>
      </c>
      <c r="P250" s="4">
        <v>216</v>
      </c>
      <c r="Q250" s="3" t="s">
        <v>26</v>
      </c>
      <c r="R250" s="3">
        <v>0</v>
      </c>
      <c r="S250" s="3" t="s">
        <v>181</v>
      </c>
      <c r="T250" s="3" t="s">
        <v>306</v>
      </c>
      <c r="U250" s="3">
        <v>0</v>
      </c>
      <c r="V250" s="3">
        <v>16</v>
      </c>
      <c r="W250" s="3">
        <v>53</v>
      </c>
    </row>
    <row r="251" spans="1:23" ht="11.25" customHeight="1" x14ac:dyDescent="0.3">
      <c r="A251" s="3" t="s">
        <v>53</v>
      </c>
      <c r="B251" s="3" t="s">
        <v>22</v>
      </c>
      <c r="C251" s="3" t="s">
        <v>23</v>
      </c>
      <c r="D251" s="3" t="s">
        <v>24</v>
      </c>
      <c r="E251" s="3" t="s">
        <v>24</v>
      </c>
      <c r="F251" s="3" t="s">
        <v>25</v>
      </c>
      <c r="G251" s="3" t="s">
        <v>25</v>
      </c>
      <c r="H251" s="3" t="s">
        <v>25</v>
      </c>
      <c r="I251" s="6">
        <v>44774</v>
      </c>
      <c r="J251" s="4">
        <v>0</v>
      </c>
      <c r="K251" s="4">
        <v>0</v>
      </c>
      <c r="L251" s="4">
        <v>816.24300000000005</v>
      </c>
      <c r="M251" s="4">
        <v>816.24300000000005</v>
      </c>
      <c r="N251" s="4">
        <v>816.24300000000005</v>
      </c>
      <c r="O251" s="4">
        <v>816.24300000000005</v>
      </c>
      <c r="P251" s="4">
        <v>4541</v>
      </c>
      <c r="Q251" s="3" t="s">
        <v>26</v>
      </c>
      <c r="R251" s="3">
        <v>0</v>
      </c>
      <c r="S251" s="3" t="s">
        <v>182</v>
      </c>
      <c r="T251" s="3" t="s">
        <v>307</v>
      </c>
      <c r="U251" s="3">
        <v>0</v>
      </c>
      <c r="V251" s="3">
        <v>16</v>
      </c>
      <c r="W251" s="3">
        <v>53</v>
      </c>
    </row>
    <row r="252" spans="1:23" ht="11.25" customHeight="1" x14ac:dyDescent="0.3">
      <c r="A252" s="3" t="s">
        <v>53</v>
      </c>
      <c r="B252" s="3" t="s">
        <v>22</v>
      </c>
      <c r="C252" s="3" t="s">
        <v>23</v>
      </c>
      <c r="D252" s="3" t="s">
        <v>24</v>
      </c>
      <c r="E252" s="3" t="s">
        <v>24</v>
      </c>
      <c r="F252" s="3" t="s">
        <v>25</v>
      </c>
      <c r="G252" s="3" t="s">
        <v>25</v>
      </c>
      <c r="H252" s="3" t="s">
        <v>25</v>
      </c>
      <c r="I252" s="6">
        <v>44774</v>
      </c>
      <c r="J252" s="4">
        <v>0</v>
      </c>
      <c r="K252" s="4">
        <v>0</v>
      </c>
      <c r="L252" s="4">
        <v>34.292999999999999</v>
      </c>
      <c r="M252" s="4">
        <v>34.292999999999999</v>
      </c>
      <c r="N252" s="4">
        <v>34.292999999999999</v>
      </c>
      <c r="O252" s="4">
        <v>34.292999999999999</v>
      </c>
      <c r="P252" s="4">
        <v>216</v>
      </c>
      <c r="Q252" s="3" t="s">
        <v>26</v>
      </c>
      <c r="R252" s="3">
        <v>0</v>
      </c>
      <c r="S252" s="3" t="s">
        <v>182</v>
      </c>
      <c r="T252" s="3" t="s">
        <v>307</v>
      </c>
      <c r="U252" s="3">
        <v>0</v>
      </c>
      <c r="V252" s="3">
        <v>16</v>
      </c>
      <c r="W252" s="3">
        <v>53</v>
      </c>
    </row>
    <row r="253" spans="1:23" ht="11.25" customHeight="1" x14ac:dyDescent="0.3">
      <c r="A253" s="3" t="s">
        <v>21</v>
      </c>
      <c r="B253" s="3" t="s">
        <v>22</v>
      </c>
      <c r="C253" s="3" t="s">
        <v>23</v>
      </c>
      <c r="D253" s="3" t="s">
        <v>24</v>
      </c>
      <c r="E253" s="3" t="s">
        <v>28</v>
      </c>
      <c r="F253" s="3" t="s">
        <v>25</v>
      </c>
      <c r="G253" s="3" t="s">
        <v>25</v>
      </c>
      <c r="H253" s="3" t="s">
        <v>25</v>
      </c>
      <c r="I253" s="6">
        <v>44440</v>
      </c>
      <c r="J253" s="4">
        <v>0</v>
      </c>
      <c r="K253" s="4">
        <v>0</v>
      </c>
      <c r="L253" s="4">
        <v>5.58</v>
      </c>
      <c r="M253" s="4">
        <v>5.58</v>
      </c>
      <c r="N253" s="4">
        <v>5.58</v>
      </c>
      <c r="O253" s="4">
        <v>5.58</v>
      </c>
      <c r="P253" s="4">
        <v>7</v>
      </c>
      <c r="Q253" s="3" t="s">
        <v>26</v>
      </c>
      <c r="R253" s="3">
        <v>0</v>
      </c>
      <c r="S253" s="3" t="s">
        <v>183</v>
      </c>
      <c r="T253" s="3" t="s">
        <v>308</v>
      </c>
      <c r="U253" s="3">
        <v>0</v>
      </c>
      <c r="V253" s="3">
        <v>14</v>
      </c>
      <c r="W253" s="3">
        <v>52</v>
      </c>
    </row>
    <row r="254" spans="1:23" ht="11.25" customHeight="1" x14ac:dyDescent="0.3">
      <c r="A254" s="3" t="s">
        <v>21</v>
      </c>
      <c r="B254" s="3" t="s">
        <v>22</v>
      </c>
      <c r="C254" s="3" t="s">
        <v>23</v>
      </c>
      <c r="D254" s="3" t="s">
        <v>24</v>
      </c>
      <c r="E254" s="3" t="s">
        <v>28</v>
      </c>
      <c r="F254" s="3" t="s">
        <v>25</v>
      </c>
      <c r="G254" s="3" t="s">
        <v>25</v>
      </c>
      <c r="H254" s="3" t="s">
        <v>25</v>
      </c>
      <c r="I254" s="6">
        <v>44470</v>
      </c>
      <c r="J254" s="4">
        <v>0</v>
      </c>
      <c r="K254" s="4">
        <v>0</v>
      </c>
      <c r="L254" s="4">
        <v>5.6550000000000002</v>
      </c>
      <c r="M254" s="4">
        <v>5.6550000000000002</v>
      </c>
      <c r="N254" s="4">
        <v>5.6550000000000002</v>
      </c>
      <c r="O254" s="4">
        <v>5.6550000000000002</v>
      </c>
      <c r="P254" s="4">
        <v>9</v>
      </c>
      <c r="Q254" s="3" t="s">
        <v>26</v>
      </c>
      <c r="R254" s="3">
        <v>0</v>
      </c>
      <c r="S254" s="3" t="s">
        <v>184</v>
      </c>
      <c r="T254" s="3" t="s">
        <v>309</v>
      </c>
      <c r="U254" s="3">
        <v>0</v>
      </c>
      <c r="V254" s="3">
        <v>14</v>
      </c>
      <c r="W254" s="3">
        <v>52</v>
      </c>
    </row>
    <row r="255" spans="1:23" ht="11.25" customHeight="1" x14ac:dyDescent="0.3">
      <c r="A255" s="3" t="s">
        <v>21</v>
      </c>
      <c r="B255" s="3" t="s">
        <v>22</v>
      </c>
      <c r="C255" s="3" t="s">
        <v>23</v>
      </c>
      <c r="D255" s="3" t="s">
        <v>24</v>
      </c>
      <c r="E255" s="3" t="s">
        <v>28</v>
      </c>
      <c r="F255" s="3" t="s">
        <v>25</v>
      </c>
      <c r="G255" s="3" t="s">
        <v>25</v>
      </c>
      <c r="H255" s="3" t="s">
        <v>25</v>
      </c>
      <c r="I255" s="6">
        <v>44501</v>
      </c>
      <c r="J255" s="4">
        <v>0</v>
      </c>
      <c r="K255" s="4">
        <v>0</v>
      </c>
      <c r="L255" s="4">
        <v>5.55</v>
      </c>
      <c r="M255" s="4">
        <v>5.55</v>
      </c>
      <c r="N255" s="4">
        <v>5.55</v>
      </c>
      <c r="O255" s="4">
        <v>5.55</v>
      </c>
      <c r="P255" s="4">
        <v>4</v>
      </c>
      <c r="Q255" s="3" t="s">
        <v>26</v>
      </c>
      <c r="R255" s="3">
        <v>0</v>
      </c>
      <c r="S255" s="3" t="s">
        <v>185</v>
      </c>
      <c r="T255" s="3" t="s">
        <v>310</v>
      </c>
      <c r="U255" s="3">
        <v>0</v>
      </c>
      <c r="V255" s="3">
        <v>14</v>
      </c>
      <c r="W255" s="3">
        <v>52</v>
      </c>
    </row>
    <row r="256" spans="1:23" ht="11.25" customHeight="1" x14ac:dyDescent="0.3">
      <c r="A256" s="3" t="s">
        <v>21</v>
      </c>
      <c r="B256" s="3" t="s">
        <v>22</v>
      </c>
      <c r="C256" s="3" t="s">
        <v>23</v>
      </c>
      <c r="D256" s="3" t="s">
        <v>24</v>
      </c>
      <c r="E256" s="3" t="s">
        <v>28</v>
      </c>
      <c r="F256" s="3" t="s">
        <v>25</v>
      </c>
      <c r="G256" s="3" t="s">
        <v>25</v>
      </c>
      <c r="H256" s="3" t="s">
        <v>25</v>
      </c>
      <c r="I256" s="6">
        <v>44531</v>
      </c>
      <c r="J256" s="4">
        <v>0</v>
      </c>
      <c r="K256" s="4">
        <v>0</v>
      </c>
      <c r="L256" s="4">
        <v>5.58</v>
      </c>
      <c r="M256" s="4">
        <v>5.58</v>
      </c>
      <c r="N256" s="4">
        <v>5.58</v>
      </c>
      <c r="O256" s="4">
        <v>5.58</v>
      </c>
      <c r="P256" s="4">
        <v>8</v>
      </c>
      <c r="Q256" s="3" t="s">
        <v>26</v>
      </c>
      <c r="R256" s="3">
        <v>0</v>
      </c>
      <c r="S256" s="3" t="s">
        <v>186</v>
      </c>
      <c r="T256" s="3" t="s">
        <v>311</v>
      </c>
      <c r="U256" s="3">
        <v>0</v>
      </c>
      <c r="V256" s="3">
        <v>14</v>
      </c>
      <c r="W256" s="3">
        <v>52</v>
      </c>
    </row>
    <row r="257" spans="1:23" ht="11.25" customHeight="1" x14ac:dyDescent="0.3">
      <c r="A257" s="3" t="s">
        <v>21</v>
      </c>
      <c r="B257" s="3" t="s">
        <v>22</v>
      </c>
      <c r="C257" s="3" t="s">
        <v>23</v>
      </c>
      <c r="D257" s="3" t="s">
        <v>24</v>
      </c>
      <c r="E257" s="3" t="s">
        <v>28</v>
      </c>
      <c r="F257" s="3" t="s">
        <v>25</v>
      </c>
      <c r="G257" s="3" t="s">
        <v>25</v>
      </c>
      <c r="H257" s="3" t="s">
        <v>25</v>
      </c>
      <c r="I257" s="6">
        <v>44562</v>
      </c>
      <c r="J257" s="4">
        <v>0</v>
      </c>
      <c r="K257" s="4">
        <v>0</v>
      </c>
      <c r="L257" s="4">
        <v>5.61</v>
      </c>
      <c r="M257" s="4">
        <v>5.61</v>
      </c>
      <c r="N257" s="4">
        <v>5.61</v>
      </c>
      <c r="O257" s="4">
        <v>5.61</v>
      </c>
      <c r="P257" s="4">
        <v>10</v>
      </c>
      <c r="Q257" s="3" t="s">
        <v>26</v>
      </c>
      <c r="R257" s="3">
        <v>0</v>
      </c>
      <c r="S257" s="3" t="s">
        <v>187</v>
      </c>
      <c r="T257" s="3" t="s">
        <v>312</v>
      </c>
      <c r="U257" s="3">
        <v>0</v>
      </c>
      <c r="V257" s="3">
        <v>14</v>
      </c>
      <c r="W257" s="3">
        <v>52</v>
      </c>
    </row>
    <row r="258" spans="1:23" ht="11.25" customHeight="1" x14ac:dyDescent="0.3">
      <c r="A258" s="3" t="s">
        <v>21</v>
      </c>
      <c r="B258" s="3" t="s">
        <v>22</v>
      </c>
      <c r="C258" s="3" t="s">
        <v>23</v>
      </c>
      <c r="D258" s="3" t="s">
        <v>24</v>
      </c>
      <c r="E258" s="3" t="s">
        <v>28</v>
      </c>
      <c r="F258" s="3" t="s">
        <v>25</v>
      </c>
      <c r="G258" s="3" t="s">
        <v>25</v>
      </c>
      <c r="H258" s="3" t="s">
        <v>25</v>
      </c>
      <c r="I258" s="6">
        <v>44593</v>
      </c>
      <c r="J258" s="4">
        <v>0</v>
      </c>
      <c r="K258" s="4">
        <v>0</v>
      </c>
      <c r="L258" s="4">
        <v>8.19</v>
      </c>
      <c r="M258" s="4">
        <v>8.19</v>
      </c>
      <c r="N258" s="4">
        <v>8.19</v>
      </c>
      <c r="O258" s="4">
        <v>8.19</v>
      </c>
      <c r="P258" s="4">
        <v>16</v>
      </c>
      <c r="Q258" s="3" t="s">
        <v>26</v>
      </c>
      <c r="R258" s="3">
        <v>0</v>
      </c>
      <c r="S258" s="3" t="s">
        <v>188</v>
      </c>
      <c r="T258" s="3" t="s">
        <v>313</v>
      </c>
      <c r="U258" s="3">
        <v>0</v>
      </c>
      <c r="V258" s="3">
        <v>14</v>
      </c>
      <c r="W258" s="3">
        <v>52</v>
      </c>
    </row>
    <row r="259" spans="1:23" ht="11.25" customHeight="1" x14ac:dyDescent="0.3">
      <c r="A259" s="3" t="s">
        <v>21</v>
      </c>
      <c r="B259" s="3" t="s">
        <v>22</v>
      </c>
      <c r="C259" s="3" t="s">
        <v>23</v>
      </c>
      <c r="D259" s="3" t="s">
        <v>24</v>
      </c>
      <c r="E259" s="3" t="s">
        <v>28</v>
      </c>
      <c r="F259" s="3" t="s">
        <v>25</v>
      </c>
      <c r="G259" s="3" t="s">
        <v>25</v>
      </c>
      <c r="H259" s="3" t="s">
        <v>25</v>
      </c>
      <c r="I259" s="6">
        <v>44621</v>
      </c>
      <c r="J259" s="4">
        <v>0</v>
      </c>
      <c r="K259" s="4">
        <v>0</v>
      </c>
      <c r="L259" s="4">
        <v>8.43</v>
      </c>
      <c r="M259" s="4">
        <v>8.43</v>
      </c>
      <c r="N259" s="4">
        <v>8.43</v>
      </c>
      <c r="O259" s="4">
        <v>8.43</v>
      </c>
      <c r="P259" s="4">
        <v>13</v>
      </c>
      <c r="Q259" s="3" t="s">
        <v>26</v>
      </c>
      <c r="R259" s="3">
        <v>0</v>
      </c>
      <c r="S259" s="3" t="s">
        <v>189</v>
      </c>
      <c r="T259" s="3" t="s">
        <v>314</v>
      </c>
      <c r="U259" s="3">
        <v>0</v>
      </c>
      <c r="V259" s="3">
        <v>14</v>
      </c>
      <c r="W259" s="3">
        <v>52</v>
      </c>
    </row>
    <row r="260" spans="1:23" ht="11.25" customHeight="1" x14ac:dyDescent="0.3">
      <c r="A260" s="3" t="s">
        <v>21</v>
      </c>
      <c r="B260" s="3" t="s">
        <v>22</v>
      </c>
      <c r="C260" s="3" t="s">
        <v>23</v>
      </c>
      <c r="D260" s="3" t="s">
        <v>24</v>
      </c>
      <c r="E260" s="3" t="s">
        <v>28</v>
      </c>
      <c r="F260" s="3" t="s">
        <v>25</v>
      </c>
      <c r="G260" s="3" t="s">
        <v>25</v>
      </c>
      <c r="H260" s="3" t="s">
        <v>25</v>
      </c>
      <c r="I260" s="6">
        <v>44652</v>
      </c>
      <c r="J260" s="4">
        <v>0</v>
      </c>
      <c r="K260" s="4">
        <v>0</v>
      </c>
      <c r="L260" s="4">
        <v>8.64</v>
      </c>
      <c r="M260" s="4">
        <v>8.64</v>
      </c>
      <c r="N260" s="4">
        <v>8.64</v>
      </c>
      <c r="O260" s="4">
        <v>8.64</v>
      </c>
      <c r="P260" s="4">
        <v>15</v>
      </c>
      <c r="Q260" s="3" t="s">
        <v>26</v>
      </c>
      <c r="R260" s="3">
        <v>0</v>
      </c>
      <c r="S260" s="3" t="s">
        <v>190</v>
      </c>
      <c r="T260" s="3" t="s">
        <v>315</v>
      </c>
      <c r="U260" s="3">
        <v>0</v>
      </c>
      <c r="V260" s="3">
        <v>14</v>
      </c>
      <c r="W260" s="3">
        <v>52</v>
      </c>
    </row>
    <row r="261" spans="1:23" ht="11.25" customHeight="1" x14ac:dyDescent="0.3">
      <c r="A261" s="3" t="s">
        <v>21</v>
      </c>
      <c r="B261" s="3" t="s">
        <v>22</v>
      </c>
      <c r="C261" s="3" t="s">
        <v>23</v>
      </c>
      <c r="D261" s="3" t="s">
        <v>24</v>
      </c>
      <c r="E261" s="3" t="s">
        <v>28</v>
      </c>
      <c r="F261" s="3" t="s">
        <v>25</v>
      </c>
      <c r="G261" s="3" t="s">
        <v>25</v>
      </c>
      <c r="H261" s="3" t="s">
        <v>25</v>
      </c>
      <c r="I261" s="6">
        <v>44682</v>
      </c>
      <c r="J261" s="4">
        <v>0</v>
      </c>
      <c r="K261" s="4">
        <v>0</v>
      </c>
      <c r="L261" s="4">
        <v>9.39</v>
      </c>
      <c r="M261" s="4">
        <v>9.39</v>
      </c>
      <c r="N261" s="4">
        <v>9.39</v>
      </c>
      <c r="O261" s="4">
        <v>9.39</v>
      </c>
      <c r="P261" s="4">
        <v>14</v>
      </c>
      <c r="Q261" s="3" t="s">
        <v>26</v>
      </c>
      <c r="R261" s="3">
        <v>0</v>
      </c>
      <c r="S261" s="3" t="s">
        <v>191</v>
      </c>
      <c r="T261" s="3" t="s">
        <v>316</v>
      </c>
      <c r="U261" s="3">
        <v>0</v>
      </c>
      <c r="V261" s="3">
        <v>14</v>
      </c>
      <c r="W261" s="3">
        <v>52</v>
      </c>
    </row>
    <row r="262" spans="1:23" ht="11.25" customHeight="1" x14ac:dyDescent="0.3">
      <c r="A262" s="3" t="s">
        <v>21</v>
      </c>
      <c r="B262" s="3" t="s">
        <v>22</v>
      </c>
      <c r="C262" s="3" t="s">
        <v>23</v>
      </c>
      <c r="D262" s="3" t="s">
        <v>24</v>
      </c>
      <c r="E262" s="3" t="s">
        <v>28</v>
      </c>
      <c r="F262" s="3" t="s">
        <v>25</v>
      </c>
      <c r="G262" s="3" t="s">
        <v>25</v>
      </c>
      <c r="H262" s="3" t="s">
        <v>25</v>
      </c>
      <c r="I262" s="6">
        <v>44713</v>
      </c>
      <c r="J262" s="4">
        <v>0</v>
      </c>
      <c r="K262" s="4">
        <v>0</v>
      </c>
      <c r="L262" s="4">
        <v>9</v>
      </c>
      <c r="M262" s="4">
        <v>9</v>
      </c>
      <c r="N262" s="4">
        <v>9</v>
      </c>
      <c r="O262" s="4">
        <v>9</v>
      </c>
      <c r="P262" s="4">
        <v>14</v>
      </c>
      <c r="Q262" s="3" t="s">
        <v>26</v>
      </c>
      <c r="R262" s="3">
        <v>0</v>
      </c>
      <c r="S262" s="3" t="s">
        <v>192</v>
      </c>
      <c r="T262" s="3" t="s">
        <v>317</v>
      </c>
      <c r="U262" s="3">
        <v>0</v>
      </c>
      <c r="V262" s="3">
        <v>14</v>
      </c>
      <c r="W262" s="3">
        <v>52</v>
      </c>
    </row>
    <row r="263" spans="1:23" ht="11.25" customHeight="1" x14ac:dyDescent="0.3">
      <c r="A263" s="3" t="s">
        <v>21</v>
      </c>
      <c r="B263" s="3" t="s">
        <v>22</v>
      </c>
      <c r="C263" s="3" t="s">
        <v>23</v>
      </c>
      <c r="D263" s="3" t="s">
        <v>24</v>
      </c>
      <c r="E263" s="3" t="s">
        <v>28</v>
      </c>
      <c r="F263" s="3" t="s">
        <v>25</v>
      </c>
      <c r="G263" s="3" t="s">
        <v>25</v>
      </c>
      <c r="H263" s="3" t="s">
        <v>25</v>
      </c>
      <c r="I263" s="6">
        <v>44743</v>
      </c>
      <c r="J263" s="4">
        <v>0</v>
      </c>
      <c r="K263" s="4">
        <v>0</v>
      </c>
      <c r="L263" s="4">
        <v>7.83</v>
      </c>
      <c r="M263" s="4">
        <v>7.83</v>
      </c>
      <c r="N263" s="4">
        <v>7.83</v>
      </c>
      <c r="O263" s="4">
        <v>7.83</v>
      </c>
      <c r="P263" s="4">
        <v>10</v>
      </c>
      <c r="Q263" s="3" t="s">
        <v>26</v>
      </c>
      <c r="R263" s="3">
        <v>0</v>
      </c>
      <c r="S263" s="3" t="s">
        <v>193</v>
      </c>
      <c r="T263" s="3" t="s">
        <v>318</v>
      </c>
      <c r="U263" s="3">
        <v>0</v>
      </c>
      <c r="V263" s="3">
        <v>14</v>
      </c>
      <c r="W263" s="3">
        <v>52</v>
      </c>
    </row>
    <row r="264" spans="1:23" ht="11.25" customHeight="1" x14ac:dyDescent="0.3">
      <c r="A264" s="3" t="s">
        <v>53</v>
      </c>
      <c r="B264" s="3" t="s">
        <v>22</v>
      </c>
      <c r="C264" s="3" t="s">
        <v>23</v>
      </c>
      <c r="D264" s="3" t="s">
        <v>24</v>
      </c>
      <c r="E264" s="3" t="s">
        <v>28</v>
      </c>
      <c r="F264" s="3" t="s">
        <v>25</v>
      </c>
      <c r="G264" s="3" t="s">
        <v>25</v>
      </c>
      <c r="H264" s="3" t="s">
        <v>25</v>
      </c>
      <c r="I264" s="6">
        <v>44774</v>
      </c>
      <c r="J264" s="4">
        <v>0</v>
      </c>
      <c r="K264" s="4">
        <v>0</v>
      </c>
      <c r="L264" s="4">
        <v>7.83</v>
      </c>
      <c r="M264" s="4">
        <v>7.83</v>
      </c>
      <c r="N264" s="4">
        <v>7.83</v>
      </c>
      <c r="O264" s="4">
        <v>7.83</v>
      </c>
      <c r="P264" s="4">
        <v>10</v>
      </c>
      <c r="Q264" s="3" t="s">
        <v>26</v>
      </c>
      <c r="R264" s="3">
        <v>0</v>
      </c>
      <c r="S264" s="3" t="s">
        <v>194</v>
      </c>
      <c r="T264" s="3" t="s">
        <v>319</v>
      </c>
      <c r="U264" s="3">
        <v>0</v>
      </c>
      <c r="V264" s="3">
        <v>14</v>
      </c>
      <c r="W264" s="3">
        <v>52</v>
      </c>
    </row>
    <row r="265" spans="1:23" ht="11.25" customHeight="1" x14ac:dyDescent="0.3">
      <c r="A265" s="3" t="s">
        <v>21</v>
      </c>
      <c r="B265" s="3" t="s">
        <v>22</v>
      </c>
      <c r="C265" s="3" t="s">
        <v>23</v>
      </c>
      <c r="D265" s="3" t="s">
        <v>24</v>
      </c>
      <c r="E265" s="3" t="s">
        <v>29</v>
      </c>
      <c r="F265" s="3" t="s">
        <v>25</v>
      </c>
      <c r="G265" s="3" t="s">
        <v>25</v>
      </c>
      <c r="H265" s="3" t="s">
        <v>25</v>
      </c>
      <c r="I265" s="6">
        <v>44440</v>
      </c>
      <c r="J265" s="4">
        <v>0</v>
      </c>
      <c r="K265" s="4">
        <v>0</v>
      </c>
      <c r="L265" s="4">
        <v>11.752000000000001</v>
      </c>
      <c r="M265" s="4">
        <v>11.752000000000001</v>
      </c>
      <c r="N265" s="4">
        <v>11.752000000000001</v>
      </c>
      <c r="O265" s="4">
        <v>11.752000000000001</v>
      </c>
      <c r="P265" s="4">
        <v>28</v>
      </c>
      <c r="Q265" s="3" t="s">
        <v>26</v>
      </c>
      <c r="R265" s="3">
        <v>0</v>
      </c>
      <c r="S265" s="3" t="s">
        <v>195</v>
      </c>
      <c r="T265" s="3" t="s">
        <v>320</v>
      </c>
      <c r="U265" s="3">
        <v>0</v>
      </c>
      <c r="V265" s="3">
        <v>12</v>
      </c>
      <c r="W265" s="3">
        <v>63</v>
      </c>
    </row>
    <row r="266" spans="1:23" ht="11.25" customHeight="1" x14ac:dyDescent="0.3">
      <c r="A266" s="3" t="s">
        <v>21</v>
      </c>
      <c r="B266" s="3" t="s">
        <v>22</v>
      </c>
      <c r="C266" s="3" t="s">
        <v>23</v>
      </c>
      <c r="D266" s="3" t="s">
        <v>24</v>
      </c>
      <c r="E266" s="3" t="s">
        <v>29</v>
      </c>
      <c r="F266" s="3" t="s">
        <v>25</v>
      </c>
      <c r="G266" s="3" t="s">
        <v>25</v>
      </c>
      <c r="H266" s="3" t="s">
        <v>25</v>
      </c>
      <c r="I266" s="6">
        <v>44470</v>
      </c>
      <c r="J266" s="4">
        <v>0</v>
      </c>
      <c r="K266" s="4">
        <v>0</v>
      </c>
      <c r="L266" s="4">
        <v>11.974</v>
      </c>
      <c r="M266" s="4">
        <v>11.974</v>
      </c>
      <c r="N266" s="4">
        <v>11.974</v>
      </c>
      <c r="O266" s="4">
        <v>11.974</v>
      </c>
      <c r="P266" s="4">
        <v>24</v>
      </c>
      <c r="Q266" s="3" t="s">
        <v>26</v>
      </c>
      <c r="R266" s="3">
        <v>0</v>
      </c>
      <c r="S266" s="3" t="s">
        <v>196</v>
      </c>
      <c r="T266" s="3" t="s">
        <v>321</v>
      </c>
      <c r="U266" s="3">
        <v>0</v>
      </c>
      <c r="V266" s="3">
        <v>12</v>
      </c>
      <c r="W266" s="3">
        <v>63</v>
      </c>
    </row>
    <row r="267" spans="1:23" ht="11.25" customHeight="1" x14ac:dyDescent="0.3">
      <c r="A267" s="3" t="s">
        <v>21</v>
      </c>
      <c r="B267" s="3" t="s">
        <v>22</v>
      </c>
      <c r="C267" s="3" t="s">
        <v>23</v>
      </c>
      <c r="D267" s="3" t="s">
        <v>24</v>
      </c>
      <c r="E267" s="3" t="s">
        <v>29</v>
      </c>
      <c r="F267" s="3" t="s">
        <v>25</v>
      </c>
      <c r="G267" s="3" t="s">
        <v>25</v>
      </c>
      <c r="H267" s="3" t="s">
        <v>25</v>
      </c>
      <c r="I267" s="6">
        <v>44501</v>
      </c>
      <c r="J267" s="4">
        <v>0</v>
      </c>
      <c r="K267" s="4">
        <v>0</v>
      </c>
      <c r="L267" s="4">
        <v>12.063000000000001</v>
      </c>
      <c r="M267" s="4">
        <v>12.063000000000001</v>
      </c>
      <c r="N267" s="4">
        <v>12.063000000000001</v>
      </c>
      <c r="O267" s="4">
        <v>12.063000000000001</v>
      </c>
      <c r="P267" s="4">
        <v>21</v>
      </c>
      <c r="Q267" s="3" t="s">
        <v>26</v>
      </c>
      <c r="R267" s="3">
        <v>0</v>
      </c>
      <c r="S267" s="3" t="s">
        <v>197</v>
      </c>
      <c r="T267" s="3" t="s">
        <v>322</v>
      </c>
      <c r="U267" s="3">
        <v>0</v>
      </c>
      <c r="V267" s="3">
        <v>12</v>
      </c>
      <c r="W267" s="3">
        <v>63</v>
      </c>
    </row>
    <row r="268" spans="1:23" ht="11.25" customHeight="1" x14ac:dyDescent="0.3">
      <c r="A268" s="3" t="s">
        <v>21</v>
      </c>
      <c r="B268" s="3" t="s">
        <v>22</v>
      </c>
      <c r="C268" s="3" t="s">
        <v>23</v>
      </c>
      <c r="D268" s="3" t="s">
        <v>24</v>
      </c>
      <c r="E268" s="3" t="s">
        <v>29</v>
      </c>
      <c r="F268" s="3" t="s">
        <v>25</v>
      </c>
      <c r="G268" s="3" t="s">
        <v>25</v>
      </c>
      <c r="H268" s="3" t="s">
        <v>25</v>
      </c>
      <c r="I268" s="6">
        <v>44531</v>
      </c>
      <c r="J268" s="4">
        <v>0</v>
      </c>
      <c r="K268" s="4">
        <v>0</v>
      </c>
      <c r="L268" s="4">
        <v>11.632</v>
      </c>
      <c r="M268" s="4">
        <v>11.632</v>
      </c>
      <c r="N268" s="4">
        <v>11.632</v>
      </c>
      <c r="O268" s="4">
        <v>11.632</v>
      </c>
      <c r="P268" s="4">
        <v>33</v>
      </c>
      <c r="Q268" s="3" t="s">
        <v>26</v>
      </c>
      <c r="R268" s="3">
        <v>0</v>
      </c>
      <c r="S268" s="3" t="s">
        <v>198</v>
      </c>
      <c r="T268" s="3" t="s">
        <v>323</v>
      </c>
      <c r="U268" s="3">
        <v>0</v>
      </c>
      <c r="V268" s="3">
        <v>12</v>
      </c>
      <c r="W268" s="3">
        <v>63</v>
      </c>
    </row>
    <row r="269" spans="1:23" ht="11.25" customHeight="1" x14ac:dyDescent="0.3">
      <c r="A269" s="3" t="s">
        <v>21</v>
      </c>
      <c r="B269" s="3" t="s">
        <v>22</v>
      </c>
      <c r="C269" s="3" t="s">
        <v>23</v>
      </c>
      <c r="D269" s="3" t="s">
        <v>24</v>
      </c>
      <c r="E269" s="3" t="s">
        <v>29</v>
      </c>
      <c r="F269" s="3" t="s">
        <v>25</v>
      </c>
      <c r="G269" s="3" t="s">
        <v>25</v>
      </c>
      <c r="H269" s="3" t="s">
        <v>25</v>
      </c>
      <c r="I269" s="6">
        <v>44562</v>
      </c>
      <c r="J269" s="4">
        <v>0</v>
      </c>
      <c r="K269" s="4">
        <v>0</v>
      </c>
      <c r="L269" s="4">
        <v>11.725</v>
      </c>
      <c r="M269" s="4">
        <v>11.725</v>
      </c>
      <c r="N269" s="4">
        <v>11.725</v>
      </c>
      <c r="O269" s="4">
        <v>11.725</v>
      </c>
      <c r="P269" s="4">
        <v>23</v>
      </c>
      <c r="Q269" s="3" t="s">
        <v>26</v>
      </c>
      <c r="R269" s="3">
        <v>0</v>
      </c>
      <c r="S269" s="3" t="s">
        <v>199</v>
      </c>
      <c r="T269" s="3" t="s">
        <v>324</v>
      </c>
      <c r="U269" s="3">
        <v>0</v>
      </c>
      <c r="V269" s="3">
        <v>12</v>
      </c>
      <c r="W269" s="3">
        <v>63</v>
      </c>
    </row>
    <row r="270" spans="1:23" ht="11.25" customHeight="1" x14ac:dyDescent="0.3">
      <c r="A270" s="3" t="s">
        <v>21</v>
      </c>
      <c r="B270" s="3" t="s">
        <v>22</v>
      </c>
      <c r="C270" s="3" t="s">
        <v>23</v>
      </c>
      <c r="D270" s="3" t="s">
        <v>24</v>
      </c>
      <c r="E270" s="3" t="s">
        <v>29</v>
      </c>
      <c r="F270" s="3" t="s">
        <v>25</v>
      </c>
      <c r="G270" s="3" t="s">
        <v>25</v>
      </c>
      <c r="H270" s="3" t="s">
        <v>25</v>
      </c>
      <c r="I270" s="6">
        <v>44593</v>
      </c>
      <c r="J270" s="4">
        <v>0</v>
      </c>
      <c r="K270" s="4">
        <v>0</v>
      </c>
      <c r="L270" s="4">
        <v>17.297000000000001</v>
      </c>
      <c r="M270" s="4">
        <v>17.297000000000001</v>
      </c>
      <c r="N270" s="4">
        <v>17.297000000000001</v>
      </c>
      <c r="O270" s="4">
        <v>17.297000000000001</v>
      </c>
      <c r="P270" s="4">
        <v>27</v>
      </c>
      <c r="Q270" s="3" t="s">
        <v>26</v>
      </c>
      <c r="R270" s="3">
        <v>0</v>
      </c>
      <c r="S270" s="3" t="s">
        <v>200</v>
      </c>
      <c r="T270" s="3" t="s">
        <v>325</v>
      </c>
      <c r="U270" s="3">
        <v>0</v>
      </c>
      <c r="V270" s="3">
        <v>12</v>
      </c>
      <c r="W270" s="3">
        <v>63</v>
      </c>
    </row>
    <row r="271" spans="1:23" ht="11.25" customHeight="1" x14ac:dyDescent="0.3">
      <c r="A271" s="3" t="s">
        <v>21</v>
      </c>
      <c r="B271" s="3" t="s">
        <v>22</v>
      </c>
      <c r="C271" s="3" t="s">
        <v>23</v>
      </c>
      <c r="D271" s="3" t="s">
        <v>24</v>
      </c>
      <c r="E271" s="3" t="s">
        <v>29</v>
      </c>
      <c r="F271" s="3" t="s">
        <v>25</v>
      </c>
      <c r="G271" s="3" t="s">
        <v>25</v>
      </c>
      <c r="H271" s="3" t="s">
        <v>25</v>
      </c>
      <c r="I271" s="6">
        <v>44621</v>
      </c>
      <c r="J271" s="4">
        <v>0</v>
      </c>
      <c r="K271" s="4">
        <v>0</v>
      </c>
      <c r="L271" s="4">
        <v>17.948</v>
      </c>
      <c r="M271" s="4">
        <v>17.948</v>
      </c>
      <c r="N271" s="4">
        <v>17.948</v>
      </c>
      <c r="O271" s="4">
        <v>17.948</v>
      </c>
      <c r="P271" s="4">
        <v>32</v>
      </c>
      <c r="Q271" s="3" t="s">
        <v>26</v>
      </c>
      <c r="R271" s="3">
        <v>0</v>
      </c>
      <c r="S271" s="3" t="s">
        <v>201</v>
      </c>
      <c r="T271" s="3" t="s">
        <v>326</v>
      </c>
      <c r="U271" s="3">
        <v>0</v>
      </c>
      <c r="V271" s="3">
        <v>12</v>
      </c>
      <c r="W271" s="3">
        <v>63</v>
      </c>
    </row>
    <row r="272" spans="1:23" ht="11.25" customHeight="1" x14ac:dyDescent="0.3">
      <c r="A272" s="3" t="s">
        <v>21</v>
      </c>
      <c r="B272" s="3" t="s">
        <v>22</v>
      </c>
      <c r="C272" s="3" t="s">
        <v>23</v>
      </c>
      <c r="D272" s="3" t="s">
        <v>24</v>
      </c>
      <c r="E272" s="3" t="s">
        <v>29</v>
      </c>
      <c r="F272" s="3" t="s">
        <v>25</v>
      </c>
      <c r="G272" s="3" t="s">
        <v>25</v>
      </c>
      <c r="H272" s="3" t="s">
        <v>25</v>
      </c>
      <c r="I272" s="6">
        <v>44652</v>
      </c>
      <c r="J272" s="4">
        <v>0</v>
      </c>
      <c r="K272" s="4">
        <v>0</v>
      </c>
      <c r="L272" s="4">
        <v>18.116</v>
      </c>
      <c r="M272" s="4">
        <v>18.116</v>
      </c>
      <c r="N272" s="4">
        <v>18.116</v>
      </c>
      <c r="O272" s="4">
        <v>18.116</v>
      </c>
      <c r="P272" s="4">
        <v>38</v>
      </c>
      <c r="Q272" s="3" t="s">
        <v>26</v>
      </c>
      <c r="R272" s="3">
        <v>0</v>
      </c>
      <c r="S272" s="3" t="s">
        <v>202</v>
      </c>
      <c r="T272" s="3" t="s">
        <v>327</v>
      </c>
      <c r="U272" s="3">
        <v>0</v>
      </c>
      <c r="V272" s="3">
        <v>12</v>
      </c>
      <c r="W272" s="3">
        <v>63</v>
      </c>
    </row>
    <row r="273" spans="1:23" ht="11.25" customHeight="1" x14ac:dyDescent="0.3">
      <c r="A273" s="3" t="s">
        <v>21</v>
      </c>
      <c r="B273" s="3" t="s">
        <v>22</v>
      </c>
      <c r="C273" s="3" t="s">
        <v>23</v>
      </c>
      <c r="D273" s="3" t="s">
        <v>24</v>
      </c>
      <c r="E273" s="3" t="s">
        <v>29</v>
      </c>
      <c r="F273" s="3" t="s">
        <v>25</v>
      </c>
      <c r="G273" s="3" t="s">
        <v>25</v>
      </c>
      <c r="H273" s="3" t="s">
        <v>25</v>
      </c>
      <c r="I273" s="6">
        <v>44682</v>
      </c>
      <c r="J273" s="4">
        <v>0</v>
      </c>
      <c r="K273" s="4">
        <v>0</v>
      </c>
      <c r="L273" s="4">
        <v>19.456</v>
      </c>
      <c r="M273" s="4">
        <v>19.456</v>
      </c>
      <c r="N273" s="4">
        <v>19.456</v>
      </c>
      <c r="O273" s="4">
        <v>19.456</v>
      </c>
      <c r="P273" s="4">
        <v>50</v>
      </c>
      <c r="Q273" s="3" t="s">
        <v>26</v>
      </c>
      <c r="R273" s="3">
        <v>0</v>
      </c>
      <c r="S273" s="3" t="s">
        <v>203</v>
      </c>
      <c r="T273" s="3" t="s">
        <v>328</v>
      </c>
      <c r="U273" s="3">
        <v>0</v>
      </c>
      <c r="V273" s="3">
        <v>12</v>
      </c>
      <c r="W273" s="3">
        <v>63</v>
      </c>
    </row>
    <row r="274" spans="1:23" ht="11.25" customHeight="1" x14ac:dyDescent="0.3">
      <c r="A274" s="3" t="s">
        <v>21</v>
      </c>
      <c r="B274" s="3" t="s">
        <v>22</v>
      </c>
      <c r="C274" s="3" t="s">
        <v>23</v>
      </c>
      <c r="D274" s="3" t="s">
        <v>24</v>
      </c>
      <c r="E274" s="3" t="s">
        <v>29</v>
      </c>
      <c r="F274" s="3" t="s">
        <v>25</v>
      </c>
      <c r="G274" s="3" t="s">
        <v>25</v>
      </c>
      <c r="H274" s="3" t="s">
        <v>25</v>
      </c>
      <c r="I274" s="6">
        <v>44713</v>
      </c>
      <c r="J274" s="4">
        <v>0</v>
      </c>
      <c r="K274" s="4">
        <v>0</v>
      </c>
      <c r="L274" s="4">
        <v>18.814</v>
      </c>
      <c r="M274" s="4">
        <v>18.814</v>
      </c>
      <c r="N274" s="4">
        <v>18.814</v>
      </c>
      <c r="O274" s="4">
        <v>18.814</v>
      </c>
      <c r="P274" s="4">
        <v>41</v>
      </c>
      <c r="Q274" s="3" t="s">
        <v>26</v>
      </c>
      <c r="R274" s="3">
        <v>0</v>
      </c>
      <c r="S274" s="3" t="s">
        <v>204</v>
      </c>
      <c r="T274" s="3" t="s">
        <v>329</v>
      </c>
      <c r="U274" s="3">
        <v>0</v>
      </c>
      <c r="V274" s="3">
        <v>12</v>
      </c>
      <c r="W274" s="3">
        <v>63</v>
      </c>
    </row>
    <row r="275" spans="1:23" ht="11.25" customHeight="1" x14ac:dyDescent="0.3">
      <c r="A275" s="3" t="s">
        <v>21</v>
      </c>
      <c r="B275" s="3" t="s">
        <v>22</v>
      </c>
      <c r="C275" s="3" t="s">
        <v>23</v>
      </c>
      <c r="D275" s="3" t="s">
        <v>24</v>
      </c>
      <c r="E275" s="3" t="s">
        <v>29</v>
      </c>
      <c r="F275" s="3" t="s">
        <v>25</v>
      </c>
      <c r="G275" s="3" t="s">
        <v>25</v>
      </c>
      <c r="H275" s="3" t="s">
        <v>25</v>
      </c>
      <c r="I275" s="6">
        <v>44743</v>
      </c>
      <c r="J275" s="4">
        <v>0</v>
      </c>
      <c r="K275" s="4">
        <v>0</v>
      </c>
      <c r="L275" s="4">
        <v>16.195</v>
      </c>
      <c r="M275" s="4">
        <v>16.195</v>
      </c>
      <c r="N275" s="4">
        <v>16.195</v>
      </c>
      <c r="O275" s="4">
        <v>16.195</v>
      </c>
      <c r="P275" s="4">
        <v>47</v>
      </c>
      <c r="Q275" s="3" t="s">
        <v>26</v>
      </c>
      <c r="R275" s="3">
        <v>0</v>
      </c>
      <c r="S275" s="3" t="s">
        <v>205</v>
      </c>
      <c r="T275" s="3" t="s">
        <v>330</v>
      </c>
      <c r="U275" s="3">
        <v>0</v>
      </c>
      <c r="V275" s="3">
        <v>12</v>
      </c>
      <c r="W275" s="3">
        <v>63</v>
      </c>
    </row>
    <row r="276" spans="1:23" ht="11.25" customHeight="1" x14ac:dyDescent="0.3">
      <c r="A276" s="3" t="s">
        <v>53</v>
      </c>
      <c r="B276" s="3" t="s">
        <v>22</v>
      </c>
      <c r="C276" s="3" t="s">
        <v>23</v>
      </c>
      <c r="D276" s="3" t="s">
        <v>24</v>
      </c>
      <c r="E276" s="3" t="s">
        <v>29</v>
      </c>
      <c r="F276" s="3" t="s">
        <v>25</v>
      </c>
      <c r="G276" s="3" t="s">
        <v>25</v>
      </c>
      <c r="H276" s="3" t="s">
        <v>25</v>
      </c>
      <c r="I276" s="6">
        <v>44774</v>
      </c>
      <c r="J276" s="4">
        <v>0</v>
      </c>
      <c r="K276" s="4">
        <v>0</v>
      </c>
      <c r="L276" s="4">
        <v>16.195</v>
      </c>
      <c r="M276" s="4">
        <v>16.195</v>
      </c>
      <c r="N276" s="4">
        <v>16.195</v>
      </c>
      <c r="O276" s="4">
        <v>16.195</v>
      </c>
      <c r="P276" s="4">
        <v>47</v>
      </c>
      <c r="Q276" s="3" t="s">
        <v>26</v>
      </c>
      <c r="R276" s="3">
        <v>0</v>
      </c>
      <c r="S276" s="3" t="s">
        <v>206</v>
      </c>
      <c r="T276" s="3" t="s">
        <v>331</v>
      </c>
      <c r="U276" s="3">
        <v>0</v>
      </c>
      <c r="V276" s="3">
        <v>12</v>
      </c>
      <c r="W276" s="3">
        <v>63</v>
      </c>
    </row>
    <row r="277" spans="1:23" ht="11.25" customHeight="1" x14ac:dyDescent="0.3">
      <c r="A277" s="3" t="s">
        <v>21</v>
      </c>
      <c r="B277" s="3" t="s">
        <v>22</v>
      </c>
      <c r="C277" s="3" t="s">
        <v>23</v>
      </c>
      <c r="D277" s="3" t="s">
        <v>24</v>
      </c>
      <c r="E277" s="3" t="s">
        <v>30</v>
      </c>
      <c r="F277" s="3" t="s">
        <v>25</v>
      </c>
      <c r="G277" s="3" t="s">
        <v>25</v>
      </c>
      <c r="H277" s="3" t="s">
        <v>25</v>
      </c>
      <c r="I277" s="6">
        <v>44440</v>
      </c>
      <c r="J277" s="4">
        <v>0</v>
      </c>
      <c r="K277" s="4">
        <v>0</v>
      </c>
      <c r="L277" s="4">
        <v>12.407999999999999</v>
      </c>
      <c r="M277" s="4">
        <v>12.407999999999999</v>
      </c>
      <c r="N277" s="4">
        <v>12.407999999999999</v>
      </c>
      <c r="O277" s="4">
        <v>12.407999999999999</v>
      </c>
      <c r="P277" s="4">
        <v>98</v>
      </c>
      <c r="Q277" s="3" t="s">
        <v>26</v>
      </c>
      <c r="R277" s="3">
        <v>0</v>
      </c>
      <c r="S277" s="3" t="s">
        <v>207</v>
      </c>
      <c r="T277" s="3" t="s">
        <v>332</v>
      </c>
      <c r="U277" s="3">
        <v>0</v>
      </c>
      <c r="V277" s="3">
        <v>2</v>
      </c>
      <c r="W277" s="3">
        <v>60</v>
      </c>
    </row>
    <row r="278" spans="1:23" ht="11.25" customHeight="1" x14ac:dyDescent="0.3">
      <c r="A278" s="3" t="s">
        <v>21</v>
      </c>
      <c r="B278" s="3" t="s">
        <v>22</v>
      </c>
      <c r="C278" s="3" t="s">
        <v>23</v>
      </c>
      <c r="D278" s="3" t="s">
        <v>24</v>
      </c>
      <c r="E278" s="3" t="s">
        <v>30</v>
      </c>
      <c r="F278" s="3" t="s">
        <v>25</v>
      </c>
      <c r="G278" s="3" t="s">
        <v>25</v>
      </c>
      <c r="H278" s="3" t="s">
        <v>25</v>
      </c>
      <c r="I278" s="6">
        <v>44470</v>
      </c>
      <c r="J278" s="4">
        <v>0</v>
      </c>
      <c r="K278" s="4">
        <v>0</v>
      </c>
      <c r="L278" s="4">
        <v>12.455</v>
      </c>
      <c r="M278" s="4">
        <v>12.455</v>
      </c>
      <c r="N278" s="4">
        <v>12.455</v>
      </c>
      <c r="O278" s="4">
        <v>12.455</v>
      </c>
      <c r="P278" s="4">
        <v>98</v>
      </c>
      <c r="Q278" s="3" t="s">
        <v>26</v>
      </c>
      <c r="R278" s="3">
        <v>0</v>
      </c>
      <c r="S278" s="3" t="s">
        <v>208</v>
      </c>
      <c r="T278" s="3" t="s">
        <v>333</v>
      </c>
      <c r="U278" s="3">
        <v>0</v>
      </c>
      <c r="V278" s="3">
        <v>2</v>
      </c>
      <c r="W278" s="3">
        <v>60</v>
      </c>
    </row>
    <row r="279" spans="1:23" ht="11.25" customHeight="1" x14ac:dyDescent="0.3">
      <c r="A279" s="3" t="s">
        <v>21</v>
      </c>
      <c r="B279" s="3" t="s">
        <v>22</v>
      </c>
      <c r="C279" s="3" t="s">
        <v>23</v>
      </c>
      <c r="D279" s="3" t="s">
        <v>24</v>
      </c>
      <c r="E279" s="3" t="s">
        <v>30</v>
      </c>
      <c r="F279" s="3" t="s">
        <v>25</v>
      </c>
      <c r="G279" s="3" t="s">
        <v>25</v>
      </c>
      <c r="H279" s="3" t="s">
        <v>25</v>
      </c>
      <c r="I279" s="6">
        <v>44501</v>
      </c>
      <c r="J279" s="4">
        <v>0</v>
      </c>
      <c r="K279" s="4">
        <v>0</v>
      </c>
      <c r="L279" s="4">
        <v>13.506</v>
      </c>
      <c r="M279" s="4">
        <v>13.506</v>
      </c>
      <c r="N279" s="4">
        <v>13.506</v>
      </c>
      <c r="O279" s="4">
        <v>13.506</v>
      </c>
      <c r="P279" s="4">
        <v>101</v>
      </c>
      <c r="Q279" s="3" t="s">
        <v>26</v>
      </c>
      <c r="R279" s="3">
        <v>0</v>
      </c>
      <c r="S279" s="3" t="s">
        <v>209</v>
      </c>
      <c r="T279" s="3" t="s">
        <v>334</v>
      </c>
      <c r="U279" s="3">
        <v>0</v>
      </c>
      <c r="V279" s="3">
        <v>2</v>
      </c>
      <c r="W279" s="3">
        <v>60</v>
      </c>
    </row>
    <row r="280" spans="1:23" ht="11.25" customHeight="1" x14ac:dyDescent="0.3">
      <c r="A280" s="3" t="s">
        <v>21</v>
      </c>
      <c r="B280" s="3" t="s">
        <v>22</v>
      </c>
      <c r="C280" s="3" t="s">
        <v>23</v>
      </c>
      <c r="D280" s="3" t="s">
        <v>24</v>
      </c>
      <c r="E280" s="3" t="s">
        <v>30</v>
      </c>
      <c r="F280" s="3" t="s">
        <v>25</v>
      </c>
      <c r="G280" s="3" t="s">
        <v>25</v>
      </c>
      <c r="H280" s="3" t="s">
        <v>25</v>
      </c>
      <c r="I280" s="6">
        <v>44531</v>
      </c>
      <c r="J280" s="4">
        <v>0</v>
      </c>
      <c r="K280" s="4">
        <v>0</v>
      </c>
      <c r="L280" s="4">
        <v>11.481999999999999</v>
      </c>
      <c r="M280" s="4">
        <v>11.481999999999999</v>
      </c>
      <c r="N280" s="4">
        <v>11.481999999999999</v>
      </c>
      <c r="O280" s="4">
        <v>11.481999999999999</v>
      </c>
      <c r="P280" s="4">
        <v>97</v>
      </c>
      <c r="Q280" s="3" t="s">
        <v>26</v>
      </c>
      <c r="R280" s="3">
        <v>0</v>
      </c>
      <c r="S280" s="3" t="s">
        <v>210</v>
      </c>
      <c r="T280" s="3" t="s">
        <v>335</v>
      </c>
      <c r="U280" s="3">
        <v>0</v>
      </c>
      <c r="V280" s="3">
        <v>2</v>
      </c>
      <c r="W280" s="3">
        <v>60</v>
      </c>
    </row>
    <row r="281" spans="1:23" ht="11.25" customHeight="1" x14ac:dyDescent="0.3">
      <c r="A281" s="3" t="s">
        <v>21</v>
      </c>
      <c r="B281" s="3" t="s">
        <v>22</v>
      </c>
      <c r="C281" s="3" t="s">
        <v>23</v>
      </c>
      <c r="D281" s="3" t="s">
        <v>24</v>
      </c>
      <c r="E281" s="3" t="s">
        <v>30</v>
      </c>
      <c r="F281" s="3" t="s">
        <v>25</v>
      </c>
      <c r="G281" s="3" t="s">
        <v>25</v>
      </c>
      <c r="H281" s="3" t="s">
        <v>25</v>
      </c>
      <c r="I281" s="6">
        <v>44562</v>
      </c>
      <c r="J281" s="4">
        <v>0</v>
      </c>
      <c r="K281" s="4">
        <v>0</v>
      </c>
      <c r="L281" s="4">
        <v>13.247999999999999</v>
      </c>
      <c r="M281" s="4">
        <v>13.247999999999999</v>
      </c>
      <c r="N281" s="4">
        <v>13.247999999999999</v>
      </c>
      <c r="O281" s="4">
        <v>13.247999999999999</v>
      </c>
      <c r="P281" s="4">
        <v>93</v>
      </c>
      <c r="Q281" s="3" t="s">
        <v>26</v>
      </c>
      <c r="R281" s="3">
        <v>0</v>
      </c>
      <c r="S281" s="3" t="s">
        <v>211</v>
      </c>
      <c r="T281" s="3" t="s">
        <v>336</v>
      </c>
      <c r="U281" s="3">
        <v>0</v>
      </c>
      <c r="V281" s="3">
        <v>2</v>
      </c>
      <c r="W281" s="3">
        <v>60</v>
      </c>
    </row>
    <row r="282" spans="1:23" ht="11.25" customHeight="1" x14ac:dyDescent="0.3">
      <c r="A282" s="3" t="s">
        <v>21</v>
      </c>
      <c r="B282" s="3" t="s">
        <v>22</v>
      </c>
      <c r="C282" s="3" t="s">
        <v>23</v>
      </c>
      <c r="D282" s="3" t="s">
        <v>24</v>
      </c>
      <c r="E282" s="3" t="s">
        <v>30</v>
      </c>
      <c r="F282" s="3" t="s">
        <v>25</v>
      </c>
      <c r="G282" s="3" t="s">
        <v>25</v>
      </c>
      <c r="H282" s="3" t="s">
        <v>25</v>
      </c>
      <c r="I282" s="6">
        <v>44593</v>
      </c>
      <c r="J282" s="4">
        <v>0</v>
      </c>
      <c r="K282" s="4">
        <v>0</v>
      </c>
      <c r="L282" s="4">
        <v>22.48</v>
      </c>
      <c r="M282" s="4">
        <v>22.48</v>
      </c>
      <c r="N282" s="4">
        <v>22.48</v>
      </c>
      <c r="O282" s="4">
        <v>22.48</v>
      </c>
      <c r="P282" s="4">
        <v>100</v>
      </c>
      <c r="Q282" s="3" t="s">
        <v>26</v>
      </c>
      <c r="R282" s="3">
        <v>0</v>
      </c>
      <c r="S282" s="3" t="s">
        <v>212</v>
      </c>
      <c r="T282" s="3" t="s">
        <v>337</v>
      </c>
      <c r="U282" s="3">
        <v>0</v>
      </c>
      <c r="V282" s="3">
        <v>2</v>
      </c>
      <c r="W282" s="3">
        <v>60</v>
      </c>
    </row>
    <row r="283" spans="1:23" ht="11.25" customHeight="1" x14ac:dyDescent="0.3">
      <c r="A283" s="3" t="s">
        <v>21</v>
      </c>
      <c r="B283" s="3" t="s">
        <v>22</v>
      </c>
      <c r="C283" s="3" t="s">
        <v>23</v>
      </c>
      <c r="D283" s="3" t="s">
        <v>24</v>
      </c>
      <c r="E283" s="3" t="s">
        <v>30</v>
      </c>
      <c r="F283" s="3" t="s">
        <v>25</v>
      </c>
      <c r="G283" s="3" t="s">
        <v>25</v>
      </c>
      <c r="H283" s="3" t="s">
        <v>25</v>
      </c>
      <c r="I283" s="6">
        <v>44621</v>
      </c>
      <c r="J283" s="4">
        <v>0</v>
      </c>
      <c r="K283" s="4">
        <v>0</v>
      </c>
      <c r="L283" s="4">
        <v>21.47</v>
      </c>
      <c r="M283" s="4">
        <v>21.47</v>
      </c>
      <c r="N283" s="4">
        <v>21.47</v>
      </c>
      <c r="O283" s="4">
        <v>21.47</v>
      </c>
      <c r="P283" s="4">
        <v>126</v>
      </c>
      <c r="Q283" s="3" t="s">
        <v>26</v>
      </c>
      <c r="R283" s="3">
        <v>0</v>
      </c>
      <c r="S283" s="3" t="s">
        <v>213</v>
      </c>
      <c r="T283" s="3" t="s">
        <v>338</v>
      </c>
      <c r="U283" s="3">
        <v>0</v>
      </c>
      <c r="V283" s="3">
        <v>2</v>
      </c>
      <c r="W283" s="3">
        <v>60</v>
      </c>
    </row>
    <row r="284" spans="1:23" ht="11.25" customHeight="1" x14ac:dyDescent="0.3">
      <c r="A284" s="3" t="s">
        <v>21</v>
      </c>
      <c r="B284" s="3" t="s">
        <v>22</v>
      </c>
      <c r="C284" s="3" t="s">
        <v>23</v>
      </c>
      <c r="D284" s="3" t="s">
        <v>24</v>
      </c>
      <c r="E284" s="3" t="s">
        <v>30</v>
      </c>
      <c r="F284" s="3" t="s">
        <v>25</v>
      </c>
      <c r="G284" s="3" t="s">
        <v>25</v>
      </c>
      <c r="H284" s="3" t="s">
        <v>25</v>
      </c>
      <c r="I284" s="6">
        <v>44652</v>
      </c>
      <c r="J284" s="4">
        <v>0</v>
      </c>
      <c r="K284" s="4">
        <v>0</v>
      </c>
      <c r="L284" s="4">
        <v>18.599</v>
      </c>
      <c r="M284" s="4">
        <v>18.599</v>
      </c>
      <c r="N284" s="4">
        <v>18.599</v>
      </c>
      <c r="O284" s="4">
        <v>18.599</v>
      </c>
      <c r="P284" s="4">
        <v>161</v>
      </c>
      <c r="Q284" s="3" t="s">
        <v>26</v>
      </c>
      <c r="R284" s="3">
        <v>0</v>
      </c>
      <c r="S284" s="3" t="s">
        <v>214</v>
      </c>
      <c r="T284" s="3" t="s">
        <v>339</v>
      </c>
      <c r="U284" s="3">
        <v>0</v>
      </c>
      <c r="V284" s="3">
        <v>2</v>
      </c>
      <c r="W284" s="3">
        <v>60</v>
      </c>
    </row>
    <row r="285" spans="1:23" ht="11.25" customHeight="1" x14ac:dyDescent="0.3">
      <c r="A285" s="3" t="s">
        <v>21</v>
      </c>
      <c r="B285" s="3" t="s">
        <v>22</v>
      </c>
      <c r="C285" s="3" t="s">
        <v>23</v>
      </c>
      <c r="D285" s="3" t="s">
        <v>24</v>
      </c>
      <c r="E285" s="3" t="s">
        <v>30</v>
      </c>
      <c r="F285" s="3" t="s">
        <v>25</v>
      </c>
      <c r="G285" s="3" t="s">
        <v>25</v>
      </c>
      <c r="H285" s="3" t="s">
        <v>25</v>
      </c>
      <c r="I285" s="6">
        <v>44682</v>
      </c>
      <c r="J285" s="4">
        <v>0</v>
      </c>
      <c r="K285" s="4">
        <v>0</v>
      </c>
      <c r="L285" s="4">
        <v>19.41</v>
      </c>
      <c r="M285" s="4">
        <v>19.41</v>
      </c>
      <c r="N285" s="4">
        <v>19.41</v>
      </c>
      <c r="O285" s="4">
        <v>19.41</v>
      </c>
      <c r="P285" s="4">
        <v>170</v>
      </c>
      <c r="Q285" s="3" t="s">
        <v>26</v>
      </c>
      <c r="R285" s="3">
        <v>0</v>
      </c>
      <c r="S285" s="3" t="s">
        <v>215</v>
      </c>
      <c r="T285" s="3" t="s">
        <v>340</v>
      </c>
      <c r="U285" s="3">
        <v>0</v>
      </c>
      <c r="V285" s="3">
        <v>2</v>
      </c>
      <c r="W285" s="3">
        <v>60</v>
      </c>
    </row>
    <row r="286" spans="1:23" ht="11.25" customHeight="1" x14ac:dyDescent="0.3">
      <c r="A286" s="3" t="s">
        <v>21</v>
      </c>
      <c r="B286" s="3" t="s">
        <v>22</v>
      </c>
      <c r="C286" s="3" t="s">
        <v>23</v>
      </c>
      <c r="D286" s="3" t="s">
        <v>24</v>
      </c>
      <c r="E286" s="3" t="s">
        <v>30</v>
      </c>
      <c r="F286" s="3" t="s">
        <v>25</v>
      </c>
      <c r="G286" s="3" t="s">
        <v>25</v>
      </c>
      <c r="H286" s="3" t="s">
        <v>25</v>
      </c>
      <c r="I286" s="6">
        <v>44713</v>
      </c>
      <c r="J286" s="4">
        <v>0</v>
      </c>
      <c r="K286" s="4">
        <v>0</v>
      </c>
      <c r="L286" s="4">
        <v>20.244</v>
      </c>
      <c r="M286" s="4">
        <v>20.244</v>
      </c>
      <c r="N286" s="4">
        <v>20.244</v>
      </c>
      <c r="O286" s="4">
        <v>20.244</v>
      </c>
      <c r="P286" s="4">
        <v>153</v>
      </c>
      <c r="Q286" s="3" t="s">
        <v>26</v>
      </c>
      <c r="R286" s="3">
        <v>0</v>
      </c>
      <c r="S286" s="3" t="s">
        <v>216</v>
      </c>
      <c r="T286" s="3" t="s">
        <v>341</v>
      </c>
      <c r="U286" s="3">
        <v>0</v>
      </c>
      <c r="V286" s="3">
        <v>2</v>
      </c>
      <c r="W286" s="3">
        <v>60</v>
      </c>
    </row>
    <row r="287" spans="1:23" ht="11.25" customHeight="1" x14ac:dyDescent="0.3">
      <c r="A287" s="3" t="s">
        <v>21</v>
      </c>
      <c r="B287" s="3" t="s">
        <v>22</v>
      </c>
      <c r="C287" s="3" t="s">
        <v>23</v>
      </c>
      <c r="D287" s="3" t="s">
        <v>24</v>
      </c>
      <c r="E287" s="3" t="s">
        <v>30</v>
      </c>
      <c r="F287" s="3" t="s">
        <v>25</v>
      </c>
      <c r="G287" s="3" t="s">
        <v>25</v>
      </c>
      <c r="H287" s="3" t="s">
        <v>25</v>
      </c>
      <c r="I287" s="6">
        <v>44743</v>
      </c>
      <c r="J287" s="4">
        <v>0</v>
      </c>
      <c r="K287" s="4">
        <v>0</v>
      </c>
      <c r="L287" s="4">
        <v>17.539000000000001</v>
      </c>
      <c r="M287" s="4">
        <v>17.539000000000001</v>
      </c>
      <c r="N287" s="4">
        <v>17.539000000000001</v>
      </c>
      <c r="O287" s="4">
        <v>17.539000000000001</v>
      </c>
      <c r="P287" s="4">
        <v>123</v>
      </c>
      <c r="Q287" s="3" t="s">
        <v>26</v>
      </c>
      <c r="R287" s="3">
        <v>0</v>
      </c>
      <c r="S287" s="3" t="s">
        <v>217</v>
      </c>
      <c r="T287" s="3" t="s">
        <v>342</v>
      </c>
      <c r="U287" s="3">
        <v>0</v>
      </c>
      <c r="V287" s="3">
        <v>2</v>
      </c>
      <c r="W287" s="3">
        <v>60</v>
      </c>
    </row>
    <row r="288" spans="1:23" ht="11.25" customHeight="1" x14ac:dyDescent="0.3">
      <c r="A288" s="3" t="s">
        <v>53</v>
      </c>
      <c r="B288" s="3" t="s">
        <v>22</v>
      </c>
      <c r="C288" s="3" t="s">
        <v>23</v>
      </c>
      <c r="D288" s="3" t="s">
        <v>24</v>
      </c>
      <c r="E288" s="3" t="s">
        <v>30</v>
      </c>
      <c r="F288" s="3" t="s">
        <v>25</v>
      </c>
      <c r="G288" s="3" t="s">
        <v>25</v>
      </c>
      <c r="H288" s="3" t="s">
        <v>25</v>
      </c>
      <c r="I288" s="6">
        <v>44774</v>
      </c>
      <c r="J288" s="4">
        <v>0</v>
      </c>
      <c r="K288" s="4">
        <v>0</v>
      </c>
      <c r="L288" s="4">
        <v>17.539000000000001</v>
      </c>
      <c r="M288" s="4">
        <v>17.539000000000001</v>
      </c>
      <c r="N288" s="4">
        <v>17.539000000000001</v>
      </c>
      <c r="O288" s="4">
        <v>17.539000000000001</v>
      </c>
      <c r="P288" s="4">
        <v>123</v>
      </c>
      <c r="Q288" s="3" t="s">
        <v>26</v>
      </c>
      <c r="R288" s="3">
        <v>0</v>
      </c>
      <c r="S288" s="3" t="s">
        <v>218</v>
      </c>
      <c r="T288" s="3" t="s">
        <v>343</v>
      </c>
      <c r="U288" s="3">
        <v>0</v>
      </c>
      <c r="V288" s="3">
        <v>2</v>
      </c>
      <c r="W288" s="3">
        <v>60</v>
      </c>
    </row>
    <row r="289" spans="1:23" ht="11.25" customHeight="1" x14ac:dyDescent="0.3">
      <c r="A289" s="3" t="s">
        <v>21</v>
      </c>
      <c r="B289" s="3" t="s">
        <v>22</v>
      </c>
      <c r="C289" s="3" t="s">
        <v>23</v>
      </c>
      <c r="D289" s="3" t="s">
        <v>24</v>
      </c>
      <c r="E289" s="3" t="s">
        <v>31</v>
      </c>
      <c r="F289" s="3" t="s">
        <v>25</v>
      </c>
      <c r="G289" s="3" t="s">
        <v>25</v>
      </c>
      <c r="H289" s="3" t="s">
        <v>25</v>
      </c>
      <c r="I289" s="6">
        <v>44440</v>
      </c>
      <c r="J289" s="4">
        <v>0</v>
      </c>
      <c r="K289" s="4">
        <v>0</v>
      </c>
      <c r="L289" s="4">
        <v>3.452</v>
      </c>
      <c r="M289" s="4">
        <v>3.452</v>
      </c>
      <c r="N289" s="4">
        <v>3.452</v>
      </c>
      <c r="O289" s="4">
        <v>3.452</v>
      </c>
      <c r="P289" s="4">
        <v>53</v>
      </c>
      <c r="Q289" s="3" t="s">
        <v>26</v>
      </c>
      <c r="R289" s="3">
        <v>0</v>
      </c>
      <c r="S289" s="3" t="s">
        <v>219</v>
      </c>
      <c r="T289" s="3" t="s">
        <v>344</v>
      </c>
      <c r="U289" s="3">
        <v>0</v>
      </c>
      <c r="V289" s="3">
        <v>6</v>
      </c>
      <c r="W289" s="3">
        <v>54</v>
      </c>
    </row>
    <row r="290" spans="1:23" ht="11.25" customHeight="1" x14ac:dyDescent="0.3">
      <c r="A290" s="3" t="s">
        <v>21</v>
      </c>
      <c r="B290" s="3" t="s">
        <v>22</v>
      </c>
      <c r="C290" s="3" t="s">
        <v>23</v>
      </c>
      <c r="D290" s="3" t="s">
        <v>24</v>
      </c>
      <c r="E290" s="3" t="s">
        <v>31</v>
      </c>
      <c r="F290" s="3" t="s">
        <v>25</v>
      </c>
      <c r="G290" s="3" t="s">
        <v>25</v>
      </c>
      <c r="H290" s="3" t="s">
        <v>25</v>
      </c>
      <c r="I290" s="6">
        <v>44470</v>
      </c>
      <c r="J290" s="4">
        <v>0</v>
      </c>
      <c r="K290" s="4">
        <v>0</v>
      </c>
      <c r="L290" s="4">
        <v>4.0410000000000004</v>
      </c>
      <c r="M290" s="4">
        <v>4.0410000000000004</v>
      </c>
      <c r="N290" s="4">
        <v>4.0410000000000004</v>
      </c>
      <c r="O290" s="4">
        <v>4.0410000000000004</v>
      </c>
      <c r="P290" s="4">
        <v>57</v>
      </c>
      <c r="Q290" s="3" t="s">
        <v>26</v>
      </c>
      <c r="R290" s="3">
        <v>0</v>
      </c>
      <c r="S290" s="3" t="s">
        <v>220</v>
      </c>
      <c r="T290" s="3" t="s">
        <v>345</v>
      </c>
      <c r="U290" s="3">
        <v>0</v>
      </c>
      <c r="V290" s="3">
        <v>6</v>
      </c>
      <c r="W290" s="3">
        <v>54</v>
      </c>
    </row>
    <row r="291" spans="1:23" ht="11.25" customHeight="1" x14ac:dyDescent="0.3">
      <c r="A291" s="3" t="s">
        <v>21</v>
      </c>
      <c r="B291" s="3" t="s">
        <v>22</v>
      </c>
      <c r="C291" s="3" t="s">
        <v>23</v>
      </c>
      <c r="D291" s="3" t="s">
        <v>24</v>
      </c>
      <c r="E291" s="3" t="s">
        <v>31</v>
      </c>
      <c r="F291" s="3" t="s">
        <v>25</v>
      </c>
      <c r="G291" s="3" t="s">
        <v>25</v>
      </c>
      <c r="H291" s="3" t="s">
        <v>25</v>
      </c>
      <c r="I291" s="6">
        <v>44501</v>
      </c>
      <c r="J291" s="4">
        <v>0</v>
      </c>
      <c r="K291" s="4">
        <v>0</v>
      </c>
      <c r="L291" s="4">
        <v>4.5439999999999996</v>
      </c>
      <c r="M291" s="4">
        <v>4.5439999999999996</v>
      </c>
      <c r="N291" s="4">
        <v>4.5439999999999996</v>
      </c>
      <c r="O291" s="4">
        <v>4.5439999999999996</v>
      </c>
      <c r="P291" s="4">
        <v>59</v>
      </c>
      <c r="Q291" s="3" t="s">
        <v>26</v>
      </c>
      <c r="R291" s="3">
        <v>0</v>
      </c>
      <c r="S291" s="3" t="s">
        <v>221</v>
      </c>
      <c r="T291" s="3" t="s">
        <v>346</v>
      </c>
      <c r="U291" s="3">
        <v>0</v>
      </c>
      <c r="V291" s="3">
        <v>6</v>
      </c>
      <c r="W291" s="3">
        <v>54</v>
      </c>
    </row>
    <row r="292" spans="1:23" ht="11.25" customHeight="1" x14ac:dyDescent="0.3">
      <c r="A292" s="3" t="s">
        <v>21</v>
      </c>
      <c r="B292" s="3" t="s">
        <v>22</v>
      </c>
      <c r="C292" s="3" t="s">
        <v>23</v>
      </c>
      <c r="D292" s="3" t="s">
        <v>24</v>
      </c>
      <c r="E292" s="3" t="s">
        <v>31</v>
      </c>
      <c r="F292" s="3" t="s">
        <v>25</v>
      </c>
      <c r="G292" s="3" t="s">
        <v>25</v>
      </c>
      <c r="H292" s="3" t="s">
        <v>25</v>
      </c>
      <c r="I292" s="6">
        <v>44531</v>
      </c>
      <c r="J292" s="4">
        <v>0</v>
      </c>
      <c r="K292" s="4">
        <v>0</v>
      </c>
      <c r="L292" s="4">
        <v>2.8109999999999999</v>
      </c>
      <c r="M292" s="4">
        <v>2.8109999999999999</v>
      </c>
      <c r="N292" s="4">
        <v>2.8109999999999999</v>
      </c>
      <c r="O292" s="4">
        <v>2.8109999999999999</v>
      </c>
      <c r="P292" s="4">
        <v>48</v>
      </c>
      <c r="Q292" s="3" t="s">
        <v>26</v>
      </c>
      <c r="R292" s="3">
        <v>0</v>
      </c>
      <c r="S292" s="3" t="s">
        <v>222</v>
      </c>
      <c r="T292" s="3" t="s">
        <v>347</v>
      </c>
      <c r="U292" s="3">
        <v>0</v>
      </c>
      <c r="V292" s="3">
        <v>6</v>
      </c>
      <c r="W292" s="3">
        <v>54</v>
      </c>
    </row>
    <row r="293" spans="1:23" ht="11.25" customHeight="1" x14ac:dyDescent="0.3">
      <c r="A293" s="3" t="s">
        <v>21</v>
      </c>
      <c r="B293" s="3" t="s">
        <v>22</v>
      </c>
      <c r="C293" s="3" t="s">
        <v>23</v>
      </c>
      <c r="D293" s="3" t="s">
        <v>24</v>
      </c>
      <c r="E293" s="3" t="s">
        <v>31</v>
      </c>
      <c r="F293" s="3" t="s">
        <v>25</v>
      </c>
      <c r="G293" s="3" t="s">
        <v>25</v>
      </c>
      <c r="H293" s="3" t="s">
        <v>25</v>
      </c>
      <c r="I293" s="6">
        <v>44562</v>
      </c>
      <c r="J293" s="4">
        <v>0</v>
      </c>
      <c r="K293" s="4">
        <v>0</v>
      </c>
      <c r="L293" s="4">
        <v>4.9960000000000004</v>
      </c>
      <c r="M293" s="4">
        <v>4.9960000000000004</v>
      </c>
      <c r="N293" s="4">
        <v>4.9960000000000004</v>
      </c>
      <c r="O293" s="4">
        <v>4.9960000000000004</v>
      </c>
      <c r="P293" s="4">
        <v>61</v>
      </c>
      <c r="Q293" s="3" t="s">
        <v>26</v>
      </c>
      <c r="R293" s="3">
        <v>0</v>
      </c>
      <c r="S293" s="3" t="s">
        <v>223</v>
      </c>
      <c r="T293" s="3" t="s">
        <v>348</v>
      </c>
      <c r="U293" s="3">
        <v>0</v>
      </c>
      <c r="V293" s="3">
        <v>6</v>
      </c>
      <c r="W293" s="3">
        <v>54</v>
      </c>
    </row>
    <row r="294" spans="1:23" ht="11.25" customHeight="1" x14ac:dyDescent="0.3">
      <c r="A294" s="3" t="s">
        <v>21</v>
      </c>
      <c r="B294" s="3" t="s">
        <v>22</v>
      </c>
      <c r="C294" s="3" t="s">
        <v>23</v>
      </c>
      <c r="D294" s="3" t="s">
        <v>24</v>
      </c>
      <c r="E294" s="3" t="s">
        <v>31</v>
      </c>
      <c r="F294" s="3" t="s">
        <v>25</v>
      </c>
      <c r="G294" s="3" t="s">
        <v>25</v>
      </c>
      <c r="H294" s="3" t="s">
        <v>25</v>
      </c>
      <c r="I294" s="6">
        <v>44593</v>
      </c>
      <c r="J294" s="4">
        <v>0</v>
      </c>
      <c r="K294" s="4">
        <v>0</v>
      </c>
      <c r="L294" s="4">
        <v>16.841000000000001</v>
      </c>
      <c r="M294" s="4">
        <v>16.841000000000001</v>
      </c>
      <c r="N294" s="4">
        <v>16.841000000000001</v>
      </c>
      <c r="O294" s="4">
        <v>16.841000000000001</v>
      </c>
      <c r="P294" s="4">
        <v>130</v>
      </c>
      <c r="Q294" s="3" t="s">
        <v>26</v>
      </c>
      <c r="R294" s="3">
        <v>0</v>
      </c>
      <c r="S294" s="3" t="s">
        <v>224</v>
      </c>
      <c r="T294" s="3" t="s">
        <v>349</v>
      </c>
      <c r="U294" s="3">
        <v>0</v>
      </c>
      <c r="V294" s="3">
        <v>6</v>
      </c>
      <c r="W294" s="3">
        <v>54</v>
      </c>
    </row>
    <row r="295" spans="1:23" ht="11.25" customHeight="1" x14ac:dyDescent="0.3">
      <c r="A295" s="3" t="s">
        <v>21</v>
      </c>
      <c r="B295" s="3" t="s">
        <v>22</v>
      </c>
      <c r="C295" s="3" t="s">
        <v>23</v>
      </c>
      <c r="D295" s="3" t="s">
        <v>24</v>
      </c>
      <c r="E295" s="3" t="s">
        <v>31</v>
      </c>
      <c r="F295" s="3" t="s">
        <v>25</v>
      </c>
      <c r="G295" s="3" t="s">
        <v>25</v>
      </c>
      <c r="H295" s="3" t="s">
        <v>25</v>
      </c>
      <c r="I295" s="6">
        <v>44621</v>
      </c>
      <c r="J295" s="4">
        <v>0</v>
      </c>
      <c r="K295" s="4">
        <v>0</v>
      </c>
      <c r="L295" s="4">
        <v>11.708</v>
      </c>
      <c r="M295" s="4">
        <v>11.708</v>
      </c>
      <c r="N295" s="4">
        <v>11.708</v>
      </c>
      <c r="O295" s="4">
        <v>11.708</v>
      </c>
      <c r="P295" s="4">
        <v>110</v>
      </c>
      <c r="Q295" s="3" t="s">
        <v>26</v>
      </c>
      <c r="R295" s="3">
        <v>0</v>
      </c>
      <c r="S295" s="3" t="s">
        <v>225</v>
      </c>
      <c r="T295" s="3" t="s">
        <v>350</v>
      </c>
      <c r="U295" s="3">
        <v>0</v>
      </c>
      <c r="V295" s="3">
        <v>6</v>
      </c>
      <c r="W295" s="3">
        <v>54</v>
      </c>
    </row>
    <row r="296" spans="1:23" ht="11.25" customHeight="1" x14ac:dyDescent="0.3">
      <c r="A296" s="3" t="s">
        <v>21</v>
      </c>
      <c r="B296" s="3" t="s">
        <v>22</v>
      </c>
      <c r="C296" s="3" t="s">
        <v>23</v>
      </c>
      <c r="D296" s="3" t="s">
        <v>24</v>
      </c>
      <c r="E296" s="3" t="s">
        <v>31</v>
      </c>
      <c r="F296" s="3" t="s">
        <v>25</v>
      </c>
      <c r="G296" s="3" t="s">
        <v>25</v>
      </c>
      <c r="H296" s="3" t="s">
        <v>25</v>
      </c>
      <c r="I296" s="6">
        <v>44652</v>
      </c>
      <c r="J296" s="4">
        <v>0</v>
      </c>
      <c r="K296" s="4">
        <v>0</v>
      </c>
      <c r="L296" s="4">
        <v>5.2409999999999997</v>
      </c>
      <c r="M296" s="4">
        <v>5.2409999999999997</v>
      </c>
      <c r="N296" s="4">
        <v>5.2409999999999997</v>
      </c>
      <c r="O296" s="4">
        <v>5.2409999999999997</v>
      </c>
      <c r="P296" s="4">
        <v>74</v>
      </c>
      <c r="Q296" s="3" t="s">
        <v>26</v>
      </c>
      <c r="R296" s="3">
        <v>0</v>
      </c>
      <c r="S296" s="3" t="s">
        <v>226</v>
      </c>
      <c r="T296" s="3" t="s">
        <v>351</v>
      </c>
      <c r="U296" s="3">
        <v>0</v>
      </c>
      <c r="V296" s="3">
        <v>6</v>
      </c>
      <c r="W296" s="3">
        <v>54</v>
      </c>
    </row>
    <row r="297" spans="1:23" ht="11.25" customHeight="1" x14ac:dyDescent="0.3">
      <c r="A297" s="3" t="s">
        <v>21</v>
      </c>
      <c r="B297" s="3" t="s">
        <v>22</v>
      </c>
      <c r="C297" s="3" t="s">
        <v>23</v>
      </c>
      <c r="D297" s="3" t="s">
        <v>24</v>
      </c>
      <c r="E297" s="3" t="s">
        <v>31</v>
      </c>
      <c r="F297" s="3" t="s">
        <v>25</v>
      </c>
      <c r="G297" s="3" t="s">
        <v>25</v>
      </c>
      <c r="H297" s="3" t="s">
        <v>25</v>
      </c>
      <c r="I297" s="6">
        <v>44682</v>
      </c>
      <c r="J297" s="4">
        <v>0</v>
      </c>
      <c r="K297" s="4">
        <v>0</v>
      </c>
      <c r="L297" s="4">
        <v>5.3920000000000003</v>
      </c>
      <c r="M297" s="4">
        <v>5.3920000000000003</v>
      </c>
      <c r="N297" s="4">
        <v>5.3920000000000003</v>
      </c>
      <c r="O297" s="4">
        <v>5.3920000000000003</v>
      </c>
      <c r="P297" s="4">
        <v>79</v>
      </c>
      <c r="Q297" s="3" t="s">
        <v>26</v>
      </c>
      <c r="R297" s="3">
        <v>0</v>
      </c>
      <c r="S297" s="3" t="s">
        <v>227</v>
      </c>
      <c r="T297" s="3" t="s">
        <v>352</v>
      </c>
      <c r="U297" s="3">
        <v>0</v>
      </c>
      <c r="V297" s="3">
        <v>6</v>
      </c>
      <c r="W297" s="3">
        <v>54</v>
      </c>
    </row>
    <row r="298" spans="1:23" ht="11.25" customHeight="1" x14ac:dyDescent="0.3">
      <c r="A298" s="3" t="s">
        <v>21</v>
      </c>
      <c r="B298" s="3" t="s">
        <v>22</v>
      </c>
      <c r="C298" s="3" t="s">
        <v>23</v>
      </c>
      <c r="D298" s="3" t="s">
        <v>24</v>
      </c>
      <c r="E298" s="3" t="s">
        <v>31</v>
      </c>
      <c r="F298" s="3" t="s">
        <v>25</v>
      </c>
      <c r="G298" s="3" t="s">
        <v>25</v>
      </c>
      <c r="H298" s="3" t="s">
        <v>25</v>
      </c>
      <c r="I298" s="6">
        <v>44713</v>
      </c>
      <c r="J298" s="4">
        <v>0</v>
      </c>
      <c r="K298" s="4">
        <v>0</v>
      </c>
      <c r="L298" s="4">
        <v>8.2720000000000002</v>
      </c>
      <c r="M298" s="4">
        <v>8.2720000000000002</v>
      </c>
      <c r="N298" s="4">
        <v>8.2720000000000002</v>
      </c>
      <c r="O298" s="4">
        <v>8.2720000000000002</v>
      </c>
      <c r="P298" s="4">
        <v>92</v>
      </c>
      <c r="Q298" s="3" t="s">
        <v>26</v>
      </c>
      <c r="R298" s="3">
        <v>0</v>
      </c>
      <c r="S298" s="3" t="s">
        <v>228</v>
      </c>
      <c r="T298" s="3" t="s">
        <v>353</v>
      </c>
      <c r="U298" s="3">
        <v>0</v>
      </c>
      <c r="V298" s="3">
        <v>6</v>
      </c>
      <c r="W298" s="3">
        <v>54</v>
      </c>
    </row>
    <row r="299" spans="1:23" ht="11.25" customHeight="1" x14ac:dyDescent="0.3">
      <c r="A299" s="3" t="s">
        <v>21</v>
      </c>
      <c r="B299" s="3" t="s">
        <v>22</v>
      </c>
      <c r="C299" s="3" t="s">
        <v>23</v>
      </c>
      <c r="D299" s="3" t="s">
        <v>24</v>
      </c>
      <c r="E299" s="3" t="s">
        <v>31</v>
      </c>
      <c r="F299" s="3" t="s">
        <v>25</v>
      </c>
      <c r="G299" s="3" t="s">
        <v>25</v>
      </c>
      <c r="H299" s="3" t="s">
        <v>25</v>
      </c>
      <c r="I299" s="6">
        <v>44743</v>
      </c>
      <c r="J299" s="4">
        <v>0</v>
      </c>
      <c r="K299" s="4">
        <v>0</v>
      </c>
      <c r="L299" s="4">
        <v>6.8289999999999997</v>
      </c>
      <c r="M299" s="4">
        <v>6.8289999999999997</v>
      </c>
      <c r="N299" s="4">
        <v>6.8289999999999997</v>
      </c>
      <c r="O299" s="4">
        <v>6.8289999999999997</v>
      </c>
      <c r="P299" s="4">
        <v>81</v>
      </c>
      <c r="Q299" s="3" t="s">
        <v>26</v>
      </c>
      <c r="R299" s="3">
        <v>0</v>
      </c>
      <c r="S299" s="3" t="s">
        <v>229</v>
      </c>
      <c r="T299" s="3" t="s">
        <v>354</v>
      </c>
      <c r="U299" s="3">
        <v>0</v>
      </c>
      <c r="V299" s="3">
        <v>6</v>
      </c>
      <c r="W299" s="3">
        <v>54</v>
      </c>
    </row>
    <row r="300" spans="1:23" ht="11.25" customHeight="1" x14ac:dyDescent="0.3">
      <c r="A300" s="3" t="s">
        <v>53</v>
      </c>
      <c r="B300" s="3" t="s">
        <v>22</v>
      </c>
      <c r="C300" s="3" t="s">
        <v>23</v>
      </c>
      <c r="D300" s="3" t="s">
        <v>24</v>
      </c>
      <c r="E300" s="3" t="s">
        <v>31</v>
      </c>
      <c r="F300" s="3" t="s">
        <v>25</v>
      </c>
      <c r="G300" s="3" t="s">
        <v>25</v>
      </c>
      <c r="H300" s="3" t="s">
        <v>25</v>
      </c>
      <c r="I300" s="6">
        <v>44774</v>
      </c>
      <c r="J300" s="4">
        <v>0</v>
      </c>
      <c r="K300" s="4">
        <v>0</v>
      </c>
      <c r="L300" s="4">
        <v>6.8289999999999997</v>
      </c>
      <c r="M300" s="4">
        <v>6.8289999999999997</v>
      </c>
      <c r="N300" s="4">
        <v>6.8289999999999997</v>
      </c>
      <c r="O300" s="4">
        <v>6.8289999999999997</v>
      </c>
      <c r="P300" s="4">
        <v>81</v>
      </c>
      <c r="Q300" s="3" t="s">
        <v>26</v>
      </c>
      <c r="R300" s="3">
        <v>0</v>
      </c>
      <c r="S300" s="3" t="s">
        <v>230</v>
      </c>
      <c r="T300" s="3" t="s">
        <v>355</v>
      </c>
      <c r="U300" s="3">
        <v>0</v>
      </c>
      <c r="V300" s="3">
        <v>6</v>
      </c>
      <c r="W300" s="3">
        <v>54</v>
      </c>
    </row>
    <row r="301" spans="1:23" ht="11.25" customHeight="1" x14ac:dyDescent="0.3">
      <c r="A301" s="3" t="s">
        <v>21</v>
      </c>
      <c r="B301" s="3" t="s">
        <v>40</v>
      </c>
      <c r="C301" s="3" t="s">
        <v>23</v>
      </c>
      <c r="D301" s="3" t="s">
        <v>41</v>
      </c>
      <c r="E301" s="3" t="s">
        <v>50</v>
      </c>
      <c r="F301" s="3" t="s">
        <v>51</v>
      </c>
      <c r="G301" s="3" t="s">
        <v>25</v>
      </c>
      <c r="H301" s="3" t="s">
        <v>25</v>
      </c>
      <c r="I301" s="6">
        <v>44440</v>
      </c>
      <c r="J301" s="4">
        <v>0</v>
      </c>
      <c r="K301" s="4">
        <v>0</v>
      </c>
      <c r="L301" s="4">
        <v>133.84200000000001</v>
      </c>
      <c r="M301" s="4">
        <v>133.84200000000001</v>
      </c>
      <c r="N301" s="4">
        <v>133.84200000000001</v>
      </c>
      <c r="O301" s="4">
        <v>133.84200000000001</v>
      </c>
      <c r="P301" s="4">
        <v>0</v>
      </c>
      <c r="Q301" s="3" t="s">
        <v>26</v>
      </c>
      <c r="R301" s="3">
        <v>0</v>
      </c>
      <c r="S301" s="3" t="s">
        <v>231</v>
      </c>
      <c r="T301" s="3" t="s">
        <v>356</v>
      </c>
      <c r="U301" s="3">
        <v>0</v>
      </c>
      <c r="V301" s="3">
        <v>36</v>
      </c>
      <c r="W301" s="3">
        <v>80</v>
      </c>
    </row>
    <row r="302" spans="1:23" ht="11.25" customHeight="1" x14ac:dyDescent="0.3">
      <c r="A302" s="3" t="s">
        <v>27</v>
      </c>
      <c r="B302" s="3" t="s">
        <v>40</v>
      </c>
      <c r="C302" s="3" t="s">
        <v>23</v>
      </c>
      <c r="D302" s="3" t="s">
        <v>41</v>
      </c>
      <c r="E302" s="3" t="s">
        <v>50</v>
      </c>
      <c r="F302" s="3" t="s">
        <v>51</v>
      </c>
      <c r="G302" s="3" t="s">
        <v>25</v>
      </c>
      <c r="H302" s="3" t="s">
        <v>25</v>
      </c>
      <c r="I302" s="6">
        <v>44440</v>
      </c>
      <c r="J302" s="4">
        <v>0</v>
      </c>
      <c r="K302" s="4">
        <v>0</v>
      </c>
      <c r="L302" s="4">
        <v>4.0759999999999996</v>
      </c>
      <c r="M302" s="4">
        <v>4.0759999999999996</v>
      </c>
      <c r="N302" s="4">
        <v>4.0759999999999996</v>
      </c>
      <c r="O302" s="4">
        <v>4.0759999999999996</v>
      </c>
      <c r="P302" s="4">
        <v>0</v>
      </c>
      <c r="Q302" s="3" t="s">
        <v>26</v>
      </c>
      <c r="R302" s="3">
        <v>0</v>
      </c>
      <c r="S302" s="3" t="s">
        <v>231</v>
      </c>
      <c r="T302" s="3" t="s">
        <v>356</v>
      </c>
      <c r="U302" s="3">
        <v>0</v>
      </c>
      <c r="V302" s="3">
        <v>36</v>
      </c>
      <c r="W302" s="3">
        <v>80</v>
      </c>
    </row>
    <row r="303" spans="1:23" ht="11.25" customHeight="1" x14ac:dyDescent="0.3">
      <c r="A303" s="3" t="s">
        <v>21</v>
      </c>
      <c r="B303" s="3" t="s">
        <v>40</v>
      </c>
      <c r="C303" s="3" t="s">
        <v>23</v>
      </c>
      <c r="D303" s="3" t="s">
        <v>41</v>
      </c>
      <c r="E303" s="3" t="s">
        <v>50</v>
      </c>
      <c r="F303" s="3" t="s">
        <v>51</v>
      </c>
      <c r="G303" s="3" t="s">
        <v>25</v>
      </c>
      <c r="H303" s="3" t="s">
        <v>25</v>
      </c>
      <c r="I303" s="6">
        <v>44470</v>
      </c>
      <c r="J303" s="4">
        <v>0</v>
      </c>
      <c r="K303" s="4">
        <v>0</v>
      </c>
      <c r="L303" s="4">
        <v>181.97499999999999</v>
      </c>
      <c r="M303" s="4">
        <v>181.97499999999999</v>
      </c>
      <c r="N303" s="4">
        <v>181.97499999999999</v>
      </c>
      <c r="O303" s="4">
        <v>181.97499999999999</v>
      </c>
      <c r="P303" s="4">
        <v>0</v>
      </c>
      <c r="Q303" s="3" t="s">
        <v>26</v>
      </c>
      <c r="R303" s="3">
        <v>0</v>
      </c>
      <c r="S303" s="3" t="s">
        <v>232</v>
      </c>
      <c r="T303" s="3" t="s">
        <v>357</v>
      </c>
      <c r="U303" s="3">
        <v>0</v>
      </c>
      <c r="V303" s="3">
        <v>36</v>
      </c>
      <c r="W303" s="3">
        <v>80</v>
      </c>
    </row>
    <row r="304" spans="1:23" ht="11.25" customHeight="1" x14ac:dyDescent="0.3">
      <c r="A304" s="3" t="s">
        <v>27</v>
      </c>
      <c r="B304" s="3" t="s">
        <v>40</v>
      </c>
      <c r="C304" s="3" t="s">
        <v>23</v>
      </c>
      <c r="D304" s="3" t="s">
        <v>41</v>
      </c>
      <c r="E304" s="3" t="s">
        <v>50</v>
      </c>
      <c r="F304" s="3" t="s">
        <v>51</v>
      </c>
      <c r="G304" s="3" t="s">
        <v>25</v>
      </c>
      <c r="H304" s="3" t="s">
        <v>25</v>
      </c>
      <c r="I304" s="6">
        <v>44470</v>
      </c>
      <c r="J304" s="4">
        <v>0</v>
      </c>
      <c r="K304" s="4">
        <v>0</v>
      </c>
      <c r="L304" s="4">
        <v>1.5580000000000001</v>
      </c>
      <c r="M304" s="4">
        <v>1.5580000000000001</v>
      </c>
      <c r="N304" s="4">
        <v>1.5580000000000001</v>
      </c>
      <c r="O304" s="4">
        <v>1.5580000000000001</v>
      </c>
      <c r="P304" s="4">
        <v>0</v>
      </c>
      <c r="Q304" s="3" t="s">
        <v>26</v>
      </c>
      <c r="R304" s="3">
        <v>0</v>
      </c>
      <c r="S304" s="3" t="s">
        <v>232</v>
      </c>
      <c r="T304" s="3" t="s">
        <v>357</v>
      </c>
      <c r="U304" s="3">
        <v>0</v>
      </c>
      <c r="V304" s="3">
        <v>36</v>
      </c>
      <c r="W304" s="3">
        <v>80</v>
      </c>
    </row>
    <row r="305" spans="1:23" ht="11.25" customHeight="1" x14ac:dyDescent="0.3">
      <c r="A305" s="3" t="s">
        <v>21</v>
      </c>
      <c r="B305" s="3" t="s">
        <v>40</v>
      </c>
      <c r="C305" s="3" t="s">
        <v>23</v>
      </c>
      <c r="D305" s="3" t="s">
        <v>41</v>
      </c>
      <c r="E305" s="3" t="s">
        <v>50</v>
      </c>
      <c r="F305" s="3" t="s">
        <v>51</v>
      </c>
      <c r="G305" s="3" t="s">
        <v>25</v>
      </c>
      <c r="H305" s="3" t="s">
        <v>25</v>
      </c>
      <c r="I305" s="6">
        <v>44501</v>
      </c>
      <c r="J305" s="4">
        <v>0</v>
      </c>
      <c r="K305" s="4">
        <v>0</v>
      </c>
      <c r="L305" s="4">
        <v>131.28299999999999</v>
      </c>
      <c r="M305" s="4">
        <v>131.28299999999999</v>
      </c>
      <c r="N305" s="4">
        <v>131.28299999999999</v>
      </c>
      <c r="O305" s="4">
        <v>131.28299999999999</v>
      </c>
      <c r="P305" s="4">
        <v>0</v>
      </c>
      <c r="Q305" s="3" t="s">
        <v>26</v>
      </c>
      <c r="R305" s="3">
        <v>0</v>
      </c>
      <c r="S305" s="3" t="s">
        <v>233</v>
      </c>
      <c r="T305" s="3" t="s">
        <v>358</v>
      </c>
      <c r="U305" s="3">
        <v>0</v>
      </c>
      <c r="V305" s="3">
        <v>36</v>
      </c>
      <c r="W305" s="3">
        <v>80</v>
      </c>
    </row>
    <row r="306" spans="1:23" ht="11.25" customHeight="1" x14ac:dyDescent="0.3">
      <c r="A306" s="3" t="s">
        <v>27</v>
      </c>
      <c r="B306" s="3" t="s">
        <v>40</v>
      </c>
      <c r="C306" s="3" t="s">
        <v>23</v>
      </c>
      <c r="D306" s="3" t="s">
        <v>41</v>
      </c>
      <c r="E306" s="3" t="s">
        <v>50</v>
      </c>
      <c r="F306" s="3" t="s">
        <v>51</v>
      </c>
      <c r="G306" s="3" t="s">
        <v>25</v>
      </c>
      <c r="H306" s="3" t="s">
        <v>25</v>
      </c>
      <c r="I306" s="6">
        <v>44501</v>
      </c>
      <c r="J306" s="4">
        <v>0</v>
      </c>
      <c r="K306" s="4">
        <v>0</v>
      </c>
      <c r="L306" s="4">
        <v>2.0630000000000002</v>
      </c>
      <c r="M306" s="4">
        <v>2.0630000000000002</v>
      </c>
      <c r="N306" s="4">
        <v>2.0630000000000002</v>
      </c>
      <c r="O306" s="4">
        <v>2.0630000000000002</v>
      </c>
      <c r="P306" s="4">
        <v>0</v>
      </c>
      <c r="Q306" s="3" t="s">
        <v>26</v>
      </c>
      <c r="R306" s="3">
        <v>0</v>
      </c>
      <c r="S306" s="3" t="s">
        <v>233</v>
      </c>
      <c r="T306" s="3" t="s">
        <v>358</v>
      </c>
      <c r="U306" s="3">
        <v>0</v>
      </c>
      <c r="V306" s="3">
        <v>36</v>
      </c>
      <c r="W306" s="3">
        <v>80</v>
      </c>
    </row>
    <row r="307" spans="1:23" ht="11.25" customHeight="1" x14ac:dyDescent="0.3">
      <c r="A307" s="3" t="s">
        <v>21</v>
      </c>
      <c r="B307" s="3" t="s">
        <v>40</v>
      </c>
      <c r="C307" s="3" t="s">
        <v>23</v>
      </c>
      <c r="D307" s="3" t="s">
        <v>41</v>
      </c>
      <c r="E307" s="3" t="s">
        <v>50</v>
      </c>
      <c r="F307" s="3" t="s">
        <v>51</v>
      </c>
      <c r="G307" s="3" t="s">
        <v>25</v>
      </c>
      <c r="H307" s="3" t="s">
        <v>25</v>
      </c>
      <c r="I307" s="6">
        <v>44531</v>
      </c>
      <c r="J307" s="4">
        <v>0</v>
      </c>
      <c r="K307" s="4">
        <v>0</v>
      </c>
      <c r="L307" s="4">
        <v>115.495</v>
      </c>
      <c r="M307" s="4">
        <v>115.495</v>
      </c>
      <c r="N307" s="4">
        <v>115.495</v>
      </c>
      <c r="O307" s="4">
        <v>115.495</v>
      </c>
      <c r="P307" s="4">
        <v>0</v>
      </c>
      <c r="Q307" s="3" t="s">
        <v>26</v>
      </c>
      <c r="R307" s="3">
        <v>0</v>
      </c>
      <c r="S307" s="3" t="s">
        <v>234</v>
      </c>
      <c r="T307" s="3" t="s">
        <v>359</v>
      </c>
      <c r="U307" s="3">
        <v>0</v>
      </c>
      <c r="V307" s="3">
        <v>36</v>
      </c>
      <c r="W307" s="3">
        <v>80</v>
      </c>
    </row>
    <row r="308" spans="1:23" ht="11.25" customHeight="1" x14ac:dyDescent="0.3">
      <c r="A308" s="3" t="s">
        <v>27</v>
      </c>
      <c r="B308" s="3" t="s">
        <v>40</v>
      </c>
      <c r="C308" s="3" t="s">
        <v>23</v>
      </c>
      <c r="D308" s="3" t="s">
        <v>41</v>
      </c>
      <c r="E308" s="3" t="s">
        <v>50</v>
      </c>
      <c r="F308" s="3" t="s">
        <v>51</v>
      </c>
      <c r="G308" s="3" t="s">
        <v>25</v>
      </c>
      <c r="H308" s="3" t="s">
        <v>25</v>
      </c>
      <c r="I308" s="6">
        <v>44531</v>
      </c>
      <c r="J308" s="4">
        <v>0</v>
      </c>
      <c r="K308" s="4">
        <v>0</v>
      </c>
      <c r="L308" s="4">
        <v>2.5190000000000001</v>
      </c>
      <c r="M308" s="4">
        <v>2.5190000000000001</v>
      </c>
      <c r="N308" s="4">
        <v>2.5190000000000001</v>
      </c>
      <c r="O308" s="4">
        <v>2.5190000000000001</v>
      </c>
      <c r="P308" s="4">
        <v>0</v>
      </c>
      <c r="Q308" s="3" t="s">
        <v>26</v>
      </c>
      <c r="R308" s="3">
        <v>0</v>
      </c>
      <c r="S308" s="3" t="s">
        <v>234</v>
      </c>
      <c r="T308" s="3" t="s">
        <v>359</v>
      </c>
      <c r="U308" s="3">
        <v>0</v>
      </c>
      <c r="V308" s="3">
        <v>36</v>
      </c>
      <c r="W308" s="3">
        <v>80</v>
      </c>
    </row>
    <row r="309" spans="1:23" ht="11.25" customHeight="1" x14ac:dyDescent="0.3">
      <c r="A309" s="3" t="s">
        <v>21</v>
      </c>
      <c r="B309" s="3" t="s">
        <v>40</v>
      </c>
      <c r="C309" s="3" t="s">
        <v>23</v>
      </c>
      <c r="D309" s="3" t="s">
        <v>41</v>
      </c>
      <c r="E309" s="3" t="s">
        <v>50</v>
      </c>
      <c r="F309" s="3" t="s">
        <v>51</v>
      </c>
      <c r="G309" s="3" t="s">
        <v>25</v>
      </c>
      <c r="H309" s="3" t="s">
        <v>25</v>
      </c>
      <c r="I309" s="6">
        <v>44562</v>
      </c>
      <c r="J309" s="4">
        <v>0</v>
      </c>
      <c r="K309" s="4">
        <v>0</v>
      </c>
      <c r="L309" s="4">
        <v>131.422</v>
      </c>
      <c r="M309" s="4">
        <v>131.422</v>
      </c>
      <c r="N309" s="4">
        <v>131.422</v>
      </c>
      <c r="O309" s="4">
        <v>131.422</v>
      </c>
      <c r="P309" s="4">
        <v>0</v>
      </c>
      <c r="Q309" s="3" t="s">
        <v>26</v>
      </c>
      <c r="R309" s="3">
        <v>0</v>
      </c>
      <c r="S309" s="3" t="s">
        <v>235</v>
      </c>
      <c r="T309" s="3" t="s">
        <v>360</v>
      </c>
      <c r="U309" s="3">
        <v>0</v>
      </c>
      <c r="V309" s="3">
        <v>36</v>
      </c>
      <c r="W309" s="3">
        <v>80</v>
      </c>
    </row>
    <row r="310" spans="1:23" ht="11.25" customHeight="1" x14ac:dyDescent="0.3">
      <c r="A310" s="3" t="s">
        <v>27</v>
      </c>
      <c r="B310" s="3" t="s">
        <v>40</v>
      </c>
      <c r="C310" s="3" t="s">
        <v>23</v>
      </c>
      <c r="D310" s="3" t="s">
        <v>41</v>
      </c>
      <c r="E310" s="3" t="s">
        <v>50</v>
      </c>
      <c r="F310" s="3" t="s">
        <v>51</v>
      </c>
      <c r="G310" s="3" t="s">
        <v>25</v>
      </c>
      <c r="H310" s="3" t="s">
        <v>25</v>
      </c>
      <c r="I310" s="6">
        <v>44562</v>
      </c>
      <c r="J310" s="4">
        <v>0</v>
      </c>
      <c r="K310" s="4">
        <v>0</v>
      </c>
      <c r="L310" s="4">
        <v>5.9550000000000001</v>
      </c>
      <c r="M310" s="4">
        <v>5.9550000000000001</v>
      </c>
      <c r="N310" s="4">
        <v>5.9550000000000001</v>
      </c>
      <c r="O310" s="4">
        <v>5.9550000000000001</v>
      </c>
      <c r="P310" s="4">
        <v>0</v>
      </c>
      <c r="Q310" s="3" t="s">
        <v>26</v>
      </c>
      <c r="R310" s="3">
        <v>0</v>
      </c>
      <c r="S310" s="3" t="s">
        <v>235</v>
      </c>
      <c r="T310" s="3" t="s">
        <v>360</v>
      </c>
      <c r="U310" s="3">
        <v>0</v>
      </c>
      <c r="V310" s="3">
        <v>36</v>
      </c>
      <c r="W310" s="3">
        <v>80</v>
      </c>
    </row>
    <row r="311" spans="1:23" ht="11.25" customHeight="1" x14ac:dyDescent="0.3">
      <c r="A311" s="3" t="s">
        <v>21</v>
      </c>
      <c r="B311" s="3" t="s">
        <v>40</v>
      </c>
      <c r="C311" s="3" t="s">
        <v>23</v>
      </c>
      <c r="D311" s="3" t="s">
        <v>41</v>
      </c>
      <c r="E311" s="3" t="s">
        <v>50</v>
      </c>
      <c r="F311" s="3" t="s">
        <v>51</v>
      </c>
      <c r="G311" s="3" t="s">
        <v>25</v>
      </c>
      <c r="H311" s="3" t="s">
        <v>25</v>
      </c>
      <c r="I311" s="6">
        <v>44593</v>
      </c>
      <c r="J311" s="4">
        <v>0</v>
      </c>
      <c r="K311" s="4">
        <v>0</v>
      </c>
      <c r="L311" s="4">
        <v>146.76900000000001</v>
      </c>
      <c r="M311" s="4">
        <v>146.76900000000001</v>
      </c>
      <c r="N311" s="4">
        <v>146.76900000000001</v>
      </c>
      <c r="O311" s="4">
        <v>146.76900000000001</v>
      </c>
      <c r="P311" s="4">
        <v>0</v>
      </c>
      <c r="Q311" s="3" t="s">
        <v>26</v>
      </c>
      <c r="R311" s="3">
        <v>0</v>
      </c>
      <c r="S311" s="3" t="s">
        <v>236</v>
      </c>
      <c r="T311" s="3" t="s">
        <v>361</v>
      </c>
      <c r="U311" s="3">
        <v>0</v>
      </c>
      <c r="V311" s="3">
        <v>36</v>
      </c>
      <c r="W311" s="3">
        <v>80</v>
      </c>
    </row>
    <row r="312" spans="1:23" ht="11.25" customHeight="1" x14ac:dyDescent="0.3">
      <c r="A312" s="3" t="s">
        <v>27</v>
      </c>
      <c r="B312" s="3" t="s">
        <v>40</v>
      </c>
      <c r="C312" s="3" t="s">
        <v>23</v>
      </c>
      <c r="D312" s="3" t="s">
        <v>41</v>
      </c>
      <c r="E312" s="3" t="s">
        <v>50</v>
      </c>
      <c r="F312" s="3" t="s">
        <v>51</v>
      </c>
      <c r="G312" s="3" t="s">
        <v>25</v>
      </c>
      <c r="H312" s="3" t="s">
        <v>25</v>
      </c>
      <c r="I312" s="6">
        <v>44593</v>
      </c>
      <c r="J312" s="4">
        <v>0</v>
      </c>
      <c r="K312" s="4">
        <v>0</v>
      </c>
      <c r="L312" s="4">
        <v>3.589</v>
      </c>
      <c r="M312" s="4">
        <v>3.589</v>
      </c>
      <c r="N312" s="4">
        <v>3.589</v>
      </c>
      <c r="O312" s="4">
        <v>3.589</v>
      </c>
      <c r="P312" s="4">
        <v>0</v>
      </c>
      <c r="Q312" s="3" t="s">
        <v>26</v>
      </c>
      <c r="R312" s="3">
        <v>0</v>
      </c>
      <c r="S312" s="3" t="s">
        <v>236</v>
      </c>
      <c r="T312" s="3" t="s">
        <v>361</v>
      </c>
      <c r="U312" s="3">
        <v>0</v>
      </c>
      <c r="V312" s="3">
        <v>36</v>
      </c>
      <c r="W312" s="3">
        <v>80</v>
      </c>
    </row>
    <row r="313" spans="1:23" ht="11.25" customHeight="1" x14ac:dyDescent="0.3">
      <c r="A313" s="3" t="s">
        <v>21</v>
      </c>
      <c r="B313" s="3" t="s">
        <v>40</v>
      </c>
      <c r="C313" s="3" t="s">
        <v>23</v>
      </c>
      <c r="D313" s="3" t="s">
        <v>41</v>
      </c>
      <c r="E313" s="3" t="s">
        <v>50</v>
      </c>
      <c r="F313" s="3" t="s">
        <v>51</v>
      </c>
      <c r="G313" s="3" t="s">
        <v>25</v>
      </c>
      <c r="H313" s="3" t="s">
        <v>25</v>
      </c>
      <c r="I313" s="6">
        <v>44621</v>
      </c>
      <c r="J313" s="4">
        <v>0</v>
      </c>
      <c r="K313" s="4">
        <v>0</v>
      </c>
      <c r="L313" s="4">
        <v>170.96600000000001</v>
      </c>
      <c r="M313" s="4">
        <v>170.96600000000001</v>
      </c>
      <c r="N313" s="4">
        <v>170.96600000000001</v>
      </c>
      <c r="O313" s="4">
        <v>170.96600000000001</v>
      </c>
      <c r="P313" s="4">
        <v>0</v>
      </c>
      <c r="Q313" s="3" t="s">
        <v>26</v>
      </c>
      <c r="R313" s="3">
        <v>0</v>
      </c>
      <c r="S313" s="3" t="s">
        <v>237</v>
      </c>
      <c r="T313" s="3" t="s">
        <v>362</v>
      </c>
      <c r="U313" s="3">
        <v>0</v>
      </c>
      <c r="V313" s="3">
        <v>36</v>
      </c>
      <c r="W313" s="3">
        <v>80</v>
      </c>
    </row>
    <row r="314" spans="1:23" ht="11.25" customHeight="1" x14ac:dyDescent="0.3">
      <c r="A314" s="3" t="s">
        <v>27</v>
      </c>
      <c r="B314" s="3" t="s">
        <v>40</v>
      </c>
      <c r="C314" s="3" t="s">
        <v>23</v>
      </c>
      <c r="D314" s="3" t="s">
        <v>41</v>
      </c>
      <c r="E314" s="3" t="s">
        <v>50</v>
      </c>
      <c r="F314" s="3" t="s">
        <v>51</v>
      </c>
      <c r="G314" s="3" t="s">
        <v>25</v>
      </c>
      <c r="H314" s="3" t="s">
        <v>25</v>
      </c>
      <c r="I314" s="6">
        <v>44621</v>
      </c>
      <c r="J314" s="4">
        <v>0</v>
      </c>
      <c r="K314" s="4">
        <v>0</v>
      </c>
      <c r="L314" s="4">
        <v>10.715</v>
      </c>
      <c r="M314" s="4">
        <v>10.715</v>
      </c>
      <c r="N314" s="4">
        <v>10.715</v>
      </c>
      <c r="O314" s="4">
        <v>10.715</v>
      </c>
      <c r="P314" s="4">
        <v>0</v>
      </c>
      <c r="Q314" s="3" t="s">
        <v>26</v>
      </c>
      <c r="R314" s="3">
        <v>0</v>
      </c>
      <c r="S314" s="3" t="s">
        <v>237</v>
      </c>
      <c r="T314" s="3" t="s">
        <v>362</v>
      </c>
      <c r="U314" s="3">
        <v>0</v>
      </c>
      <c r="V314" s="3">
        <v>36</v>
      </c>
      <c r="W314" s="3">
        <v>80</v>
      </c>
    </row>
    <row r="315" spans="1:23" ht="11.25" customHeight="1" x14ac:dyDescent="0.3">
      <c r="A315" s="3" t="s">
        <v>21</v>
      </c>
      <c r="B315" s="3" t="s">
        <v>40</v>
      </c>
      <c r="C315" s="3" t="s">
        <v>23</v>
      </c>
      <c r="D315" s="3" t="s">
        <v>41</v>
      </c>
      <c r="E315" s="3" t="s">
        <v>50</v>
      </c>
      <c r="F315" s="3" t="s">
        <v>51</v>
      </c>
      <c r="G315" s="3" t="s">
        <v>25</v>
      </c>
      <c r="H315" s="3" t="s">
        <v>25</v>
      </c>
      <c r="I315" s="6">
        <v>44652</v>
      </c>
      <c r="J315" s="4">
        <v>0</v>
      </c>
      <c r="K315" s="4">
        <v>0</v>
      </c>
      <c r="L315" s="4">
        <v>165.13200000000001</v>
      </c>
      <c r="M315" s="4">
        <v>165.13200000000001</v>
      </c>
      <c r="N315" s="4">
        <v>165.13200000000001</v>
      </c>
      <c r="O315" s="4">
        <v>165.13200000000001</v>
      </c>
      <c r="P315" s="4">
        <v>0</v>
      </c>
      <c r="Q315" s="3" t="s">
        <v>26</v>
      </c>
      <c r="R315" s="3">
        <v>0</v>
      </c>
      <c r="S315" s="3" t="s">
        <v>238</v>
      </c>
      <c r="T315" s="3" t="s">
        <v>363</v>
      </c>
      <c r="U315" s="3">
        <v>0</v>
      </c>
      <c r="V315" s="3">
        <v>36</v>
      </c>
      <c r="W315" s="3">
        <v>80</v>
      </c>
    </row>
    <row r="316" spans="1:23" ht="11.25" customHeight="1" x14ac:dyDescent="0.3">
      <c r="A316" s="3" t="s">
        <v>48</v>
      </c>
      <c r="B316" s="3" t="s">
        <v>40</v>
      </c>
      <c r="C316" s="3" t="s">
        <v>23</v>
      </c>
      <c r="D316" s="3" t="s">
        <v>41</v>
      </c>
      <c r="E316" s="3" t="s">
        <v>50</v>
      </c>
      <c r="F316" s="3" t="s">
        <v>51</v>
      </c>
      <c r="G316" s="3" t="s">
        <v>25</v>
      </c>
      <c r="H316" s="3" t="s">
        <v>25</v>
      </c>
      <c r="I316" s="6">
        <v>44652</v>
      </c>
      <c r="J316" s="4">
        <v>0</v>
      </c>
      <c r="K316" s="4">
        <v>0</v>
      </c>
      <c r="L316" s="4">
        <v>-0.29399999999999998</v>
      </c>
      <c r="M316" s="4">
        <v>-0.29399999999999998</v>
      </c>
      <c r="N316" s="4">
        <v>-0.29399999999999998</v>
      </c>
      <c r="O316" s="4">
        <v>-0.29399999999999998</v>
      </c>
      <c r="P316" s="4">
        <v>0</v>
      </c>
      <c r="Q316" s="3" t="s">
        <v>26</v>
      </c>
      <c r="R316" s="3">
        <v>0</v>
      </c>
      <c r="S316" s="3" t="s">
        <v>238</v>
      </c>
      <c r="T316" s="3" t="s">
        <v>363</v>
      </c>
      <c r="U316" s="3">
        <v>0</v>
      </c>
      <c r="V316" s="3">
        <v>36</v>
      </c>
      <c r="W316" s="3">
        <v>80</v>
      </c>
    </row>
    <row r="317" spans="1:23" ht="11.25" customHeight="1" x14ac:dyDescent="0.3">
      <c r="A317" s="3" t="s">
        <v>27</v>
      </c>
      <c r="B317" s="3" t="s">
        <v>40</v>
      </c>
      <c r="C317" s="3" t="s">
        <v>23</v>
      </c>
      <c r="D317" s="3" t="s">
        <v>41</v>
      </c>
      <c r="E317" s="3" t="s">
        <v>50</v>
      </c>
      <c r="F317" s="3" t="s">
        <v>51</v>
      </c>
      <c r="G317" s="3" t="s">
        <v>25</v>
      </c>
      <c r="H317" s="3" t="s">
        <v>25</v>
      </c>
      <c r="I317" s="6">
        <v>44652</v>
      </c>
      <c r="J317" s="4">
        <v>0</v>
      </c>
      <c r="K317" s="4">
        <v>0</v>
      </c>
      <c r="L317" s="4">
        <v>15.925000000000001</v>
      </c>
      <c r="M317" s="4">
        <v>15.925000000000001</v>
      </c>
      <c r="N317" s="4">
        <v>15.925000000000001</v>
      </c>
      <c r="O317" s="4">
        <v>15.925000000000001</v>
      </c>
      <c r="P317" s="4">
        <v>0</v>
      </c>
      <c r="Q317" s="3" t="s">
        <v>26</v>
      </c>
      <c r="R317" s="3">
        <v>0</v>
      </c>
      <c r="S317" s="3" t="s">
        <v>238</v>
      </c>
      <c r="T317" s="3" t="s">
        <v>363</v>
      </c>
      <c r="U317" s="3">
        <v>0</v>
      </c>
      <c r="V317" s="3">
        <v>36</v>
      </c>
      <c r="W317" s="3">
        <v>80</v>
      </c>
    </row>
    <row r="318" spans="1:23" ht="11.25" customHeight="1" x14ac:dyDescent="0.3">
      <c r="A318" s="3" t="s">
        <v>27</v>
      </c>
      <c r="B318" s="3" t="s">
        <v>40</v>
      </c>
      <c r="C318" s="3" t="s">
        <v>23</v>
      </c>
      <c r="D318" s="3" t="s">
        <v>41</v>
      </c>
      <c r="E318" s="3" t="s">
        <v>50</v>
      </c>
      <c r="F318" s="3" t="s">
        <v>51</v>
      </c>
      <c r="G318" s="3" t="s">
        <v>25</v>
      </c>
      <c r="H318" s="3" t="s">
        <v>25</v>
      </c>
      <c r="I318" s="6">
        <v>44652</v>
      </c>
      <c r="J318" s="4">
        <v>0</v>
      </c>
      <c r="K318" s="4">
        <v>0</v>
      </c>
      <c r="L318" s="4">
        <v>-14.53</v>
      </c>
      <c r="M318" s="4">
        <v>-14.53</v>
      </c>
      <c r="N318" s="4">
        <v>-14.53</v>
      </c>
      <c r="O318" s="4">
        <v>-14.53</v>
      </c>
      <c r="P318" s="4">
        <v>0</v>
      </c>
      <c r="Q318" s="3" t="s">
        <v>26</v>
      </c>
      <c r="R318" s="3">
        <v>0</v>
      </c>
      <c r="S318" s="3" t="s">
        <v>238</v>
      </c>
      <c r="T318" s="3" t="s">
        <v>363</v>
      </c>
      <c r="U318" s="3">
        <v>0</v>
      </c>
      <c r="V318" s="3">
        <v>36</v>
      </c>
      <c r="W318" s="3">
        <v>80</v>
      </c>
    </row>
    <row r="319" spans="1:23" ht="11.25" customHeight="1" x14ac:dyDescent="0.3">
      <c r="A319" s="3" t="s">
        <v>21</v>
      </c>
      <c r="B319" s="3" t="s">
        <v>40</v>
      </c>
      <c r="C319" s="3" t="s">
        <v>23</v>
      </c>
      <c r="D319" s="3" t="s">
        <v>41</v>
      </c>
      <c r="E319" s="3" t="s">
        <v>50</v>
      </c>
      <c r="F319" s="3" t="s">
        <v>51</v>
      </c>
      <c r="G319" s="3" t="s">
        <v>25</v>
      </c>
      <c r="H319" s="3" t="s">
        <v>25</v>
      </c>
      <c r="I319" s="6">
        <v>44682</v>
      </c>
      <c r="J319" s="4">
        <v>0</v>
      </c>
      <c r="K319" s="4">
        <v>0</v>
      </c>
      <c r="L319" s="4">
        <v>155.02699999999999</v>
      </c>
      <c r="M319" s="4">
        <v>155.02699999999999</v>
      </c>
      <c r="N319" s="4">
        <v>155.02699999999999</v>
      </c>
      <c r="O319" s="4">
        <v>155.02699999999999</v>
      </c>
      <c r="P319" s="4">
        <v>0</v>
      </c>
      <c r="Q319" s="3" t="s">
        <v>26</v>
      </c>
      <c r="R319" s="3">
        <v>0</v>
      </c>
      <c r="S319" s="3" t="s">
        <v>239</v>
      </c>
      <c r="T319" s="3" t="s">
        <v>364</v>
      </c>
      <c r="U319" s="3">
        <v>0</v>
      </c>
      <c r="V319" s="3">
        <v>36</v>
      </c>
      <c r="W319" s="3">
        <v>80</v>
      </c>
    </row>
    <row r="320" spans="1:23" ht="11.25" customHeight="1" x14ac:dyDescent="0.3">
      <c r="A320" s="3" t="s">
        <v>27</v>
      </c>
      <c r="B320" s="3" t="s">
        <v>40</v>
      </c>
      <c r="C320" s="3" t="s">
        <v>23</v>
      </c>
      <c r="D320" s="3" t="s">
        <v>41</v>
      </c>
      <c r="E320" s="3" t="s">
        <v>50</v>
      </c>
      <c r="F320" s="3" t="s">
        <v>51</v>
      </c>
      <c r="G320" s="3" t="s">
        <v>25</v>
      </c>
      <c r="H320" s="3" t="s">
        <v>25</v>
      </c>
      <c r="I320" s="6">
        <v>44682</v>
      </c>
      <c r="J320" s="4">
        <v>0</v>
      </c>
      <c r="K320" s="4">
        <v>0</v>
      </c>
      <c r="L320" s="4">
        <v>3.8679999999999999</v>
      </c>
      <c r="M320" s="4">
        <v>3.8679999999999999</v>
      </c>
      <c r="N320" s="4">
        <v>3.8679999999999999</v>
      </c>
      <c r="O320" s="4">
        <v>3.8679999999999999</v>
      </c>
      <c r="P320" s="4">
        <v>0</v>
      </c>
      <c r="Q320" s="3" t="s">
        <v>26</v>
      </c>
      <c r="R320" s="3">
        <v>0</v>
      </c>
      <c r="S320" s="3" t="s">
        <v>239</v>
      </c>
      <c r="T320" s="3" t="s">
        <v>364</v>
      </c>
      <c r="U320" s="3">
        <v>0</v>
      </c>
      <c r="V320" s="3">
        <v>36</v>
      </c>
      <c r="W320" s="3">
        <v>80</v>
      </c>
    </row>
    <row r="321" spans="1:23" ht="11.25" customHeight="1" x14ac:dyDescent="0.3">
      <c r="A321" s="3" t="s">
        <v>27</v>
      </c>
      <c r="B321" s="3" t="s">
        <v>40</v>
      </c>
      <c r="C321" s="3" t="s">
        <v>23</v>
      </c>
      <c r="D321" s="3" t="s">
        <v>41</v>
      </c>
      <c r="E321" s="3" t="s">
        <v>50</v>
      </c>
      <c r="F321" s="3" t="s">
        <v>51</v>
      </c>
      <c r="G321" s="3" t="s">
        <v>25</v>
      </c>
      <c r="H321" s="3" t="s">
        <v>25</v>
      </c>
      <c r="I321" s="6">
        <v>44682</v>
      </c>
      <c r="J321" s="4">
        <v>0</v>
      </c>
      <c r="K321" s="4">
        <v>0</v>
      </c>
      <c r="L321" s="4">
        <v>-11.319000000000001</v>
      </c>
      <c r="M321" s="4">
        <v>-11.319000000000001</v>
      </c>
      <c r="N321" s="4">
        <v>-11.319000000000001</v>
      </c>
      <c r="O321" s="4">
        <v>-11.319000000000001</v>
      </c>
      <c r="P321" s="4">
        <v>0</v>
      </c>
      <c r="Q321" s="3" t="s">
        <v>26</v>
      </c>
      <c r="R321" s="3">
        <v>0</v>
      </c>
      <c r="S321" s="3" t="s">
        <v>239</v>
      </c>
      <c r="T321" s="3" t="s">
        <v>364</v>
      </c>
      <c r="U321" s="3">
        <v>0</v>
      </c>
      <c r="V321" s="3">
        <v>36</v>
      </c>
      <c r="W321" s="3">
        <v>80</v>
      </c>
    </row>
    <row r="322" spans="1:23" ht="11.25" customHeight="1" x14ac:dyDescent="0.3">
      <c r="A322" s="3" t="s">
        <v>21</v>
      </c>
      <c r="B322" s="3" t="s">
        <v>40</v>
      </c>
      <c r="C322" s="3" t="s">
        <v>23</v>
      </c>
      <c r="D322" s="3" t="s">
        <v>41</v>
      </c>
      <c r="E322" s="3" t="s">
        <v>50</v>
      </c>
      <c r="F322" s="3" t="s">
        <v>51</v>
      </c>
      <c r="G322" s="3" t="s">
        <v>25</v>
      </c>
      <c r="H322" s="3" t="s">
        <v>25</v>
      </c>
      <c r="I322" s="6">
        <v>44713</v>
      </c>
      <c r="J322" s="4">
        <v>0</v>
      </c>
      <c r="K322" s="4">
        <v>0</v>
      </c>
      <c r="L322" s="4">
        <v>138.32900000000001</v>
      </c>
      <c r="M322" s="4">
        <v>138.32900000000001</v>
      </c>
      <c r="N322" s="4">
        <v>138.32900000000001</v>
      </c>
      <c r="O322" s="4">
        <v>138.32900000000001</v>
      </c>
      <c r="P322" s="4">
        <v>0</v>
      </c>
      <c r="Q322" s="3" t="s">
        <v>26</v>
      </c>
      <c r="R322" s="3">
        <v>0</v>
      </c>
      <c r="S322" s="3" t="s">
        <v>240</v>
      </c>
      <c r="T322" s="3" t="s">
        <v>365</v>
      </c>
      <c r="U322" s="3">
        <v>0</v>
      </c>
      <c r="V322" s="3">
        <v>36</v>
      </c>
      <c r="W322" s="3">
        <v>80</v>
      </c>
    </row>
    <row r="323" spans="1:23" ht="11.25" customHeight="1" x14ac:dyDescent="0.3">
      <c r="A323" s="3" t="s">
        <v>48</v>
      </c>
      <c r="B323" s="3" t="s">
        <v>40</v>
      </c>
      <c r="C323" s="3" t="s">
        <v>23</v>
      </c>
      <c r="D323" s="3" t="s">
        <v>41</v>
      </c>
      <c r="E323" s="3" t="s">
        <v>50</v>
      </c>
      <c r="F323" s="3" t="s">
        <v>51</v>
      </c>
      <c r="G323" s="3" t="s">
        <v>25</v>
      </c>
      <c r="H323" s="3" t="s">
        <v>25</v>
      </c>
      <c r="I323" s="6">
        <v>44713</v>
      </c>
      <c r="J323" s="4">
        <v>0</v>
      </c>
      <c r="K323" s="4">
        <v>0</v>
      </c>
      <c r="L323" s="4">
        <v>2E-3</v>
      </c>
      <c r="M323" s="4">
        <v>2E-3</v>
      </c>
      <c r="N323" s="4">
        <v>2E-3</v>
      </c>
      <c r="O323" s="4">
        <v>2E-3</v>
      </c>
      <c r="P323" s="4">
        <v>0</v>
      </c>
      <c r="Q323" s="3" t="s">
        <v>26</v>
      </c>
      <c r="R323" s="3">
        <v>0</v>
      </c>
      <c r="S323" s="3" t="s">
        <v>240</v>
      </c>
      <c r="T323" s="3" t="s">
        <v>365</v>
      </c>
      <c r="U323" s="3">
        <v>0</v>
      </c>
      <c r="V323" s="3">
        <v>36</v>
      </c>
      <c r="W323" s="3">
        <v>80</v>
      </c>
    </row>
    <row r="324" spans="1:23" ht="11.25" customHeight="1" x14ac:dyDescent="0.3">
      <c r="A324" s="3" t="s">
        <v>27</v>
      </c>
      <c r="B324" s="3" t="s">
        <v>40</v>
      </c>
      <c r="C324" s="3" t="s">
        <v>23</v>
      </c>
      <c r="D324" s="3" t="s">
        <v>41</v>
      </c>
      <c r="E324" s="3" t="s">
        <v>50</v>
      </c>
      <c r="F324" s="3" t="s">
        <v>51</v>
      </c>
      <c r="G324" s="3" t="s">
        <v>25</v>
      </c>
      <c r="H324" s="3" t="s">
        <v>25</v>
      </c>
      <c r="I324" s="6">
        <v>44713</v>
      </c>
      <c r="J324" s="4">
        <v>0</v>
      </c>
      <c r="K324" s="4">
        <v>0</v>
      </c>
      <c r="L324" s="4">
        <v>3.1179999999999999</v>
      </c>
      <c r="M324" s="4">
        <v>3.1179999999999999</v>
      </c>
      <c r="N324" s="4">
        <v>3.1179999999999999</v>
      </c>
      <c r="O324" s="4">
        <v>3.1179999999999999</v>
      </c>
      <c r="P324" s="4">
        <v>0</v>
      </c>
      <c r="Q324" s="3" t="s">
        <v>26</v>
      </c>
      <c r="R324" s="3">
        <v>0</v>
      </c>
      <c r="S324" s="3" t="s">
        <v>240</v>
      </c>
      <c r="T324" s="3" t="s">
        <v>365</v>
      </c>
      <c r="U324" s="3">
        <v>0</v>
      </c>
      <c r="V324" s="3">
        <v>36</v>
      </c>
      <c r="W324" s="3">
        <v>80</v>
      </c>
    </row>
    <row r="325" spans="1:23" ht="11.25" customHeight="1" x14ac:dyDescent="0.3">
      <c r="A325" s="3" t="s">
        <v>21</v>
      </c>
      <c r="B325" s="3" t="s">
        <v>40</v>
      </c>
      <c r="C325" s="3" t="s">
        <v>23</v>
      </c>
      <c r="D325" s="3" t="s">
        <v>41</v>
      </c>
      <c r="E325" s="3" t="s">
        <v>50</v>
      </c>
      <c r="F325" s="3" t="s">
        <v>51</v>
      </c>
      <c r="G325" s="3" t="s">
        <v>25</v>
      </c>
      <c r="H325" s="3" t="s">
        <v>25</v>
      </c>
      <c r="I325" s="6">
        <v>44743</v>
      </c>
      <c r="J325" s="4">
        <v>0</v>
      </c>
      <c r="K325" s="4">
        <v>0</v>
      </c>
      <c r="L325" s="4">
        <v>106.161</v>
      </c>
      <c r="M325" s="4">
        <v>106.161</v>
      </c>
      <c r="N325" s="4">
        <v>106.161</v>
      </c>
      <c r="O325" s="4">
        <v>106.161</v>
      </c>
      <c r="P325" s="4">
        <v>0</v>
      </c>
      <c r="Q325" s="3" t="s">
        <v>26</v>
      </c>
      <c r="R325" s="3">
        <v>0</v>
      </c>
      <c r="S325" s="3" t="s">
        <v>241</v>
      </c>
      <c r="T325" s="3" t="s">
        <v>366</v>
      </c>
      <c r="U325" s="3">
        <v>0</v>
      </c>
      <c r="V325" s="3">
        <v>36</v>
      </c>
      <c r="W325" s="3">
        <v>80</v>
      </c>
    </row>
    <row r="326" spans="1:23" ht="11.25" customHeight="1" x14ac:dyDescent="0.3">
      <c r="A326" s="3" t="s">
        <v>27</v>
      </c>
      <c r="B326" s="3" t="s">
        <v>40</v>
      </c>
      <c r="C326" s="3" t="s">
        <v>23</v>
      </c>
      <c r="D326" s="3" t="s">
        <v>41</v>
      </c>
      <c r="E326" s="3" t="s">
        <v>50</v>
      </c>
      <c r="F326" s="3" t="s">
        <v>51</v>
      </c>
      <c r="G326" s="3" t="s">
        <v>25</v>
      </c>
      <c r="H326" s="3" t="s">
        <v>25</v>
      </c>
      <c r="I326" s="6">
        <v>44743</v>
      </c>
      <c r="J326" s="4">
        <v>0</v>
      </c>
      <c r="K326" s="4">
        <v>0</v>
      </c>
      <c r="L326" s="4">
        <v>6.8719999999999999</v>
      </c>
      <c r="M326" s="4">
        <v>6.8719999999999999</v>
      </c>
      <c r="N326" s="4">
        <v>6.8719999999999999</v>
      </c>
      <c r="O326" s="4">
        <v>6.8719999999999999</v>
      </c>
      <c r="P326" s="4">
        <v>0</v>
      </c>
      <c r="Q326" s="3" t="s">
        <v>26</v>
      </c>
      <c r="R326" s="3">
        <v>0</v>
      </c>
      <c r="S326" s="3" t="s">
        <v>241</v>
      </c>
      <c r="T326" s="3" t="s">
        <v>366</v>
      </c>
      <c r="U326" s="3">
        <v>0</v>
      </c>
      <c r="V326" s="3">
        <v>36</v>
      </c>
      <c r="W326" s="3">
        <v>80</v>
      </c>
    </row>
    <row r="327" spans="1:23" ht="11.25" customHeight="1" x14ac:dyDescent="0.3">
      <c r="A327" s="3" t="s">
        <v>53</v>
      </c>
      <c r="B327" s="3" t="s">
        <v>40</v>
      </c>
      <c r="C327" s="3" t="s">
        <v>23</v>
      </c>
      <c r="D327" s="3" t="s">
        <v>41</v>
      </c>
      <c r="E327" s="3" t="s">
        <v>50</v>
      </c>
      <c r="F327" s="3" t="s">
        <v>51</v>
      </c>
      <c r="G327" s="3" t="s">
        <v>25</v>
      </c>
      <c r="H327" s="3" t="s">
        <v>25</v>
      </c>
      <c r="I327" s="6">
        <v>44774</v>
      </c>
      <c r="J327" s="4">
        <v>0</v>
      </c>
      <c r="K327" s="4">
        <v>0</v>
      </c>
      <c r="L327" s="4">
        <v>106.161</v>
      </c>
      <c r="M327" s="4">
        <v>106.161</v>
      </c>
      <c r="N327" s="4">
        <v>106.161</v>
      </c>
      <c r="O327" s="4">
        <v>106.161</v>
      </c>
      <c r="P327" s="4">
        <v>0</v>
      </c>
      <c r="Q327" s="3" t="s">
        <v>26</v>
      </c>
      <c r="R327" s="3">
        <v>0</v>
      </c>
      <c r="S327" s="3" t="s">
        <v>242</v>
      </c>
      <c r="T327" s="3" t="s">
        <v>367</v>
      </c>
      <c r="U327" s="3">
        <v>0</v>
      </c>
      <c r="V327" s="3">
        <v>36</v>
      </c>
      <c r="W327" s="3">
        <v>80</v>
      </c>
    </row>
    <row r="328" spans="1:23" ht="11.25" customHeight="1" x14ac:dyDescent="0.3">
      <c r="A328" s="3" t="s">
        <v>53</v>
      </c>
      <c r="B328" s="3" t="s">
        <v>40</v>
      </c>
      <c r="C328" s="3" t="s">
        <v>23</v>
      </c>
      <c r="D328" s="3" t="s">
        <v>41</v>
      </c>
      <c r="E328" s="3" t="s">
        <v>50</v>
      </c>
      <c r="F328" s="3" t="s">
        <v>51</v>
      </c>
      <c r="G328" s="3" t="s">
        <v>25</v>
      </c>
      <c r="H328" s="3" t="s">
        <v>25</v>
      </c>
      <c r="I328" s="6">
        <v>44774</v>
      </c>
      <c r="J328" s="4">
        <v>0</v>
      </c>
      <c r="K328" s="4">
        <v>0</v>
      </c>
      <c r="L328" s="4">
        <v>6.8719999999999999</v>
      </c>
      <c r="M328" s="4">
        <v>6.8719999999999999</v>
      </c>
      <c r="N328" s="4">
        <v>6.8719999999999999</v>
      </c>
      <c r="O328" s="4">
        <v>6.8719999999999999</v>
      </c>
      <c r="P328" s="4">
        <v>0</v>
      </c>
      <c r="Q328" s="3" t="s">
        <v>26</v>
      </c>
      <c r="R328" s="3">
        <v>0</v>
      </c>
      <c r="S328" s="3" t="s">
        <v>242</v>
      </c>
      <c r="T328" s="3" t="s">
        <v>367</v>
      </c>
      <c r="U328" s="3">
        <v>0</v>
      </c>
      <c r="V328" s="3">
        <v>36</v>
      </c>
      <c r="W328" s="3">
        <v>80</v>
      </c>
    </row>
    <row r="329" spans="1:23" ht="11.25" customHeight="1" x14ac:dyDescent="0.3">
      <c r="A329" s="3" t="s">
        <v>21</v>
      </c>
      <c r="B329" s="3" t="s">
        <v>40</v>
      </c>
      <c r="C329" s="3" t="s">
        <v>23</v>
      </c>
      <c r="D329" s="3" t="s">
        <v>41</v>
      </c>
      <c r="E329" s="3" t="s">
        <v>50</v>
      </c>
      <c r="F329" s="3" t="s">
        <v>52</v>
      </c>
      <c r="G329" s="3" t="s">
        <v>25</v>
      </c>
      <c r="H329" s="3" t="s">
        <v>25</v>
      </c>
      <c r="I329" s="6">
        <v>44440</v>
      </c>
      <c r="J329" s="4">
        <v>0</v>
      </c>
      <c r="K329" s="4">
        <v>0</v>
      </c>
      <c r="L329" s="4">
        <v>141.75899999999999</v>
      </c>
      <c r="M329" s="4">
        <v>56.703600000000002</v>
      </c>
      <c r="N329" s="4">
        <v>141.75899999999999</v>
      </c>
      <c r="O329" s="4">
        <v>56.703600000000002</v>
      </c>
      <c r="P329" s="4">
        <v>0</v>
      </c>
      <c r="Q329" s="3" t="s">
        <v>26</v>
      </c>
      <c r="R329" s="3">
        <v>0</v>
      </c>
      <c r="S329" s="3" t="s">
        <v>231</v>
      </c>
      <c r="T329" s="3" t="s">
        <v>356</v>
      </c>
      <c r="U329" s="3">
        <v>0</v>
      </c>
      <c r="V329" s="3">
        <v>36</v>
      </c>
      <c r="W329" s="3">
        <v>80</v>
      </c>
    </row>
    <row r="330" spans="1:23" ht="11.25" customHeight="1" x14ac:dyDescent="0.3">
      <c r="A330" s="3" t="s">
        <v>27</v>
      </c>
      <c r="B330" s="3" t="s">
        <v>40</v>
      </c>
      <c r="C330" s="3" t="s">
        <v>23</v>
      </c>
      <c r="D330" s="3" t="s">
        <v>41</v>
      </c>
      <c r="E330" s="3" t="s">
        <v>50</v>
      </c>
      <c r="F330" s="3" t="s">
        <v>52</v>
      </c>
      <c r="G330" s="3" t="s">
        <v>25</v>
      </c>
      <c r="H330" s="3" t="s">
        <v>25</v>
      </c>
      <c r="I330" s="6">
        <v>44440</v>
      </c>
      <c r="J330" s="4">
        <v>0</v>
      </c>
      <c r="K330" s="4">
        <v>0</v>
      </c>
      <c r="L330" s="4">
        <v>5.782</v>
      </c>
      <c r="M330" s="4">
        <v>5.782</v>
      </c>
      <c r="N330" s="4">
        <v>5.782</v>
      </c>
      <c r="O330" s="4">
        <v>5.782</v>
      </c>
      <c r="P330" s="4">
        <v>0</v>
      </c>
      <c r="Q330" s="3" t="s">
        <v>26</v>
      </c>
      <c r="R330" s="3">
        <v>0</v>
      </c>
      <c r="S330" s="3" t="s">
        <v>231</v>
      </c>
      <c r="T330" s="3" t="s">
        <v>356</v>
      </c>
      <c r="U330" s="3">
        <v>0</v>
      </c>
      <c r="V330" s="3">
        <v>36</v>
      </c>
      <c r="W330" s="3">
        <v>80</v>
      </c>
    </row>
    <row r="331" spans="1:23" ht="11.25" customHeight="1" x14ac:dyDescent="0.3">
      <c r="A331" s="3" t="s">
        <v>21</v>
      </c>
      <c r="B331" s="3" t="s">
        <v>40</v>
      </c>
      <c r="C331" s="3" t="s">
        <v>23</v>
      </c>
      <c r="D331" s="3" t="s">
        <v>41</v>
      </c>
      <c r="E331" s="3" t="s">
        <v>50</v>
      </c>
      <c r="F331" s="3" t="s">
        <v>52</v>
      </c>
      <c r="G331" s="3" t="s">
        <v>25</v>
      </c>
      <c r="H331" s="3" t="s">
        <v>25</v>
      </c>
      <c r="I331" s="6">
        <v>44470</v>
      </c>
      <c r="J331" s="4">
        <v>0</v>
      </c>
      <c r="K331" s="4">
        <v>0</v>
      </c>
      <c r="L331" s="4">
        <v>152.84700000000001</v>
      </c>
      <c r="M331" s="4">
        <v>61.138800000000003</v>
      </c>
      <c r="N331" s="4">
        <v>152.84700000000001</v>
      </c>
      <c r="O331" s="4">
        <v>61.138800000000003</v>
      </c>
      <c r="P331" s="4">
        <v>0</v>
      </c>
      <c r="Q331" s="3" t="s">
        <v>26</v>
      </c>
      <c r="R331" s="3">
        <v>0</v>
      </c>
      <c r="S331" s="3" t="s">
        <v>232</v>
      </c>
      <c r="T331" s="3" t="s">
        <v>357</v>
      </c>
      <c r="U331" s="3">
        <v>0</v>
      </c>
      <c r="V331" s="3">
        <v>36</v>
      </c>
      <c r="W331" s="3">
        <v>80</v>
      </c>
    </row>
    <row r="332" spans="1:23" ht="11.25" customHeight="1" x14ac:dyDescent="0.3">
      <c r="A332" s="3" t="s">
        <v>27</v>
      </c>
      <c r="B332" s="3" t="s">
        <v>40</v>
      </c>
      <c r="C332" s="3" t="s">
        <v>23</v>
      </c>
      <c r="D332" s="3" t="s">
        <v>41</v>
      </c>
      <c r="E332" s="3" t="s">
        <v>50</v>
      </c>
      <c r="F332" s="3" t="s">
        <v>52</v>
      </c>
      <c r="G332" s="3" t="s">
        <v>25</v>
      </c>
      <c r="H332" s="3" t="s">
        <v>25</v>
      </c>
      <c r="I332" s="6">
        <v>44470</v>
      </c>
      <c r="J332" s="4">
        <v>0</v>
      </c>
      <c r="K332" s="4">
        <v>0</v>
      </c>
      <c r="L332" s="4">
        <v>5.9429999999999996</v>
      </c>
      <c r="M332" s="4">
        <v>5.9429999999999996</v>
      </c>
      <c r="N332" s="4">
        <v>5.9429999999999996</v>
      </c>
      <c r="O332" s="4">
        <v>5.9429999999999996</v>
      </c>
      <c r="P332" s="4">
        <v>0</v>
      </c>
      <c r="Q332" s="3" t="s">
        <v>26</v>
      </c>
      <c r="R332" s="3">
        <v>0</v>
      </c>
      <c r="S332" s="3" t="s">
        <v>232</v>
      </c>
      <c r="T332" s="3" t="s">
        <v>357</v>
      </c>
      <c r="U332" s="3">
        <v>0</v>
      </c>
      <c r="V332" s="3">
        <v>36</v>
      </c>
      <c r="W332" s="3">
        <v>80</v>
      </c>
    </row>
    <row r="333" spans="1:23" ht="11.25" customHeight="1" x14ac:dyDescent="0.3">
      <c r="A333" s="3" t="s">
        <v>21</v>
      </c>
      <c r="B333" s="3" t="s">
        <v>40</v>
      </c>
      <c r="C333" s="3" t="s">
        <v>23</v>
      </c>
      <c r="D333" s="3" t="s">
        <v>41</v>
      </c>
      <c r="E333" s="3" t="s">
        <v>50</v>
      </c>
      <c r="F333" s="3" t="s">
        <v>52</v>
      </c>
      <c r="G333" s="3" t="s">
        <v>25</v>
      </c>
      <c r="H333" s="3" t="s">
        <v>25</v>
      </c>
      <c r="I333" s="6">
        <v>44501</v>
      </c>
      <c r="J333" s="4">
        <v>0</v>
      </c>
      <c r="K333" s="4">
        <v>0</v>
      </c>
      <c r="L333" s="4">
        <v>160.99299999999999</v>
      </c>
      <c r="M333" s="4">
        <v>64.397199999999998</v>
      </c>
      <c r="N333" s="4">
        <v>160.99299999999999</v>
      </c>
      <c r="O333" s="4">
        <v>64.397199999999998</v>
      </c>
      <c r="P333" s="4">
        <v>0</v>
      </c>
      <c r="Q333" s="3" t="s">
        <v>26</v>
      </c>
      <c r="R333" s="3">
        <v>0</v>
      </c>
      <c r="S333" s="3" t="s">
        <v>233</v>
      </c>
      <c r="T333" s="3" t="s">
        <v>358</v>
      </c>
      <c r="U333" s="3">
        <v>0</v>
      </c>
      <c r="V333" s="3">
        <v>36</v>
      </c>
      <c r="W333" s="3">
        <v>80</v>
      </c>
    </row>
    <row r="334" spans="1:23" ht="11.25" customHeight="1" x14ac:dyDescent="0.3">
      <c r="A334" s="3" t="s">
        <v>27</v>
      </c>
      <c r="B334" s="3" t="s">
        <v>40</v>
      </c>
      <c r="C334" s="3" t="s">
        <v>23</v>
      </c>
      <c r="D334" s="3" t="s">
        <v>41</v>
      </c>
      <c r="E334" s="3" t="s">
        <v>50</v>
      </c>
      <c r="F334" s="3" t="s">
        <v>52</v>
      </c>
      <c r="G334" s="3" t="s">
        <v>25</v>
      </c>
      <c r="H334" s="3" t="s">
        <v>25</v>
      </c>
      <c r="I334" s="6">
        <v>44501</v>
      </c>
      <c r="J334" s="4">
        <v>0</v>
      </c>
      <c r="K334" s="4">
        <v>0</v>
      </c>
      <c r="L334" s="4">
        <v>6.2729999999999997</v>
      </c>
      <c r="M334" s="4">
        <v>6.2729999999999997</v>
      </c>
      <c r="N334" s="4">
        <v>6.2729999999999997</v>
      </c>
      <c r="O334" s="4">
        <v>6.2729999999999997</v>
      </c>
      <c r="P334" s="4">
        <v>0</v>
      </c>
      <c r="Q334" s="3" t="s">
        <v>26</v>
      </c>
      <c r="R334" s="3">
        <v>0</v>
      </c>
      <c r="S334" s="3" t="s">
        <v>233</v>
      </c>
      <c r="T334" s="3" t="s">
        <v>358</v>
      </c>
      <c r="U334" s="3">
        <v>0</v>
      </c>
      <c r="V334" s="3">
        <v>36</v>
      </c>
      <c r="W334" s="3">
        <v>80</v>
      </c>
    </row>
    <row r="335" spans="1:23" ht="11.25" customHeight="1" x14ac:dyDescent="0.3">
      <c r="A335" s="3" t="s">
        <v>21</v>
      </c>
      <c r="B335" s="3" t="s">
        <v>40</v>
      </c>
      <c r="C335" s="3" t="s">
        <v>23</v>
      </c>
      <c r="D335" s="3" t="s">
        <v>41</v>
      </c>
      <c r="E335" s="3" t="s">
        <v>50</v>
      </c>
      <c r="F335" s="3" t="s">
        <v>52</v>
      </c>
      <c r="G335" s="3" t="s">
        <v>25</v>
      </c>
      <c r="H335" s="3" t="s">
        <v>25</v>
      </c>
      <c r="I335" s="6">
        <v>44531</v>
      </c>
      <c r="J335" s="4">
        <v>0</v>
      </c>
      <c r="K335" s="4">
        <v>0</v>
      </c>
      <c r="L335" s="4">
        <v>138.024</v>
      </c>
      <c r="M335" s="4">
        <v>55.209600000000002</v>
      </c>
      <c r="N335" s="4">
        <v>138.024</v>
      </c>
      <c r="O335" s="4">
        <v>55.209600000000002</v>
      </c>
      <c r="P335" s="4">
        <v>0</v>
      </c>
      <c r="Q335" s="3" t="s">
        <v>26</v>
      </c>
      <c r="R335" s="3">
        <v>0</v>
      </c>
      <c r="S335" s="3" t="s">
        <v>234</v>
      </c>
      <c r="T335" s="3" t="s">
        <v>359</v>
      </c>
      <c r="U335" s="3">
        <v>0</v>
      </c>
      <c r="V335" s="3">
        <v>36</v>
      </c>
      <c r="W335" s="3">
        <v>80</v>
      </c>
    </row>
    <row r="336" spans="1:23" ht="11.25" customHeight="1" x14ac:dyDescent="0.3">
      <c r="A336" s="3" t="s">
        <v>27</v>
      </c>
      <c r="B336" s="3" t="s">
        <v>40</v>
      </c>
      <c r="C336" s="3" t="s">
        <v>23</v>
      </c>
      <c r="D336" s="3" t="s">
        <v>41</v>
      </c>
      <c r="E336" s="3" t="s">
        <v>50</v>
      </c>
      <c r="F336" s="3" t="s">
        <v>52</v>
      </c>
      <c r="G336" s="3" t="s">
        <v>25</v>
      </c>
      <c r="H336" s="3" t="s">
        <v>25</v>
      </c>
      <c r="I336" s="6">
        <v>44531</v>
      </c>
      <c r="J336" s="4">
        <v>0</v>
      </c>
      <c r="K336" s="4">
        <v>0</v>
      </c>
      <c r="L336" s="4">
        <v>7.1980000000000004</v>
      </c>
      <c r="M336" s="4">
        <v>7.1980000000000004</v>
      </c>
      <c r="N336" s="4">
        <v>7.1980000000000004</v>
      </c>
      <c r="O336" s="4">
        <v>7.1980000000000004</v>
      </c>
      <c r="P336" s="4">
        <v>0</v>
      </c>
      <c r="Q336" s="3" t="s">
        <v>26</v>
      </c>
      <c r="R336" s="3">
        <v>0</v>
      </c>
      <c r="S336" s="3" t="s">
        <v>234</v>
      </c>
      <c r="T336" s="3" t="s">
        <v>359</v>
      </c>
      <c r="U336" s="3">
        <v>0</v>
      </c>
      <c r="V336" s="3">
        <v>36</v>
      </c>
      <c r="W336" s="3">
        <v>80</v>
      </c>
    </row>
    <row r="337" spans="1:23" ht="11.25" customHeight="1" x14ac:dyDescent="0.3">
      <c r="A337" s="3" t="s">
        <v>21</v>
      </c>
      <c r="B337" s="3" t="s">
        <v>40</v>
      </c>
      <c r="C337" s="3" t="s">
        <v>23</v>
      </c>
      <c r="D337" s="3" t="s">
        <v>41</v>
      </c>
      <c r="E337" s="3" t="s">
        <v>50</v>
      </c>
      <c r="F337" s="3" t="s">
        <v>52</v>
      </c>
      <c r="G337" s="3" t="s">
        <v>25</v>
      </c>
      <c r="H337" s="3" t="s">
        <v>25</v>
      </c>
      <c r="I337" s="6">
        <v>44562</v>
      </c>
      <c r="J337" s="4">
        <v>0</v>
      </c>
      <c r="K337" s="4">
        <v>0</v>
      </c>
      <c r="L337" s="4">
        <v>143.86799999999999</v>
      </c>
      <c r="M337" s="4">
        <v>57.547199999999997</v>
      </c>
      <c r="N337" s="4">
        <v>143.86799999999999</v>
      </c>
      <c r="O337" s="4">
        <v>57.547199999999997</v>
      </c>
      <c r="P337" s="4">
        <v>0</v>
      </c>
      <c r="Q337" s="3" t="s">
        <v>26</v>
      </c>
      <c r="R337" s="3">
        <v>0</v>
      </c>
      <c r="S337" s="3" t="s">
        <v>235</v>
      </c>
      <c r="T337" s="3" t="s">
        <v>360</v>
      </c>
      <c r="U337" s="3">
        <v>0</v>
      </c>
      <c r="V337" s="3">
        <v>36</v>
      </c>
      <c r="W337" s="3">
        <v>80</v>
      </c>
    </row>
    <row r="338" spans="1:23" ht="11.25" customHeight="1" x14ac:dyDescent="0.3">
      <c r="A338" s="3" t="s">
        <v>27</v>
      </c>
      <c r="B338" s="3" t="s">
        <v>40</v>
      </c>
      <c r="C338" s="3" t="s">
        <v>23</v>
      </c>
      <c r="D338" s="3" t="s">
        <v>41</v>
      </c>
      <c r="E338" s="3" t="s">
        <v>50</v>
      </c>
      <c r="F338" s="3" t="s">
        <v>52</v>
      </c>
      <c r="G338" s="3" t="s">
        <v>25</v>
      </c>
      <c r="H338" s="3" t="s">
        <v>25</v>
      </c>
      <c r="I338" s="6">
        <v>44562</v>
      </c>
      <c r="J338" s="4">
        <v>0</v>
      </c>
      <c r="K338" s="4">
        <v>0</v>
      </c>
      <c r="L338" s="4">
        <v>6.5640000000000001</v>
      </c>
      <c r="M338" s="4">
        <v>6.5640000000000001</v>
      </c>
      <c r="N338" s="4">
        <v>6.5640000000000001</v>
      </c>
      <c r="O338" s="4">
        <v>6.5640000000000001</v>
      </c>
      <c r="P338" s="4">
        <v>0</v>
      </c>
      <c r="Q338" s="3" t="s">
        <v>26</v>
      </c>
      <c r="R338" s="3">
        <v>0</v>
      </c>
      <c r="S338" s="3" t="s">
        <v>235</v>
      </c>
      <c r="T338" s="3" t="s">
        <v>360</v>
      </c>
      <c r="U338" s="3">
        <v>0</v>
      </c>
      <c r="V338" s="3">
        <v>36</v>
      </c>
      <c r="W338" s="3">
        <v>80</v>
      </c>
    </row>
    <row r="339" spans="1:23" ht="11.25" customHeight="1" x14ac:dyDescent="0.3">
      <c r="A339" s="3" t="s">
        <v>21</v>
      </c>
      <c r="B339" s="3" t="s">
        <v>40</v>
      </c>
      <c r="C339" s="3" t="s">
        <v>23</v>
      </c>
      <c r="D339" s="3" t="s">
        <v>41</v>
      </c>
      <c r="E339" s="3" t="s">
        <v>50</v>
      </c>
      <c r="F339" s="3" t="s">
        <v>52</v>
      </c>
      <c r="G339" s="3" t="s">
        <v>25</v>
      </c>
      <c r="H339" s="3" t="s">
        <v>25</v>
      </c>
      <c r="I339" s="6">
        <v>44593</v>
      </c>
      <c r="J339" s="4">
        <v>0</v>
      </c>
      <c r="K339" s="4">
        <v>0</v>
      </c>
      <c r="L339" s="4">
        <v>168.44300000000001</v>
      </c>
      <c r="M339" s="4">
        <v>67.377200000000002</v>
      </c>
      <c r="N339" s="4">
        <v>168.44300000000001</v>
      </c>
      <c r="O339" s="4">
        <v>67.377200000000002</v>
      </c>
      <c r="P339" s="4">
        <v>0</v>
      </c>
      <c r="Q339" s="3" t="s">
        <v>26</v>
      </c>
      <c r="R339" s="3">
        <v>0</v>
      </c>
      <c r="S339" s="3" t="s">
        <v>236</v>
      </c>
      <c r="T339" s="3" t="s">
        <v>361</v>
      </c>
      <c r="U339" s="3">
        <v>0</v>
      </c>
      <c r="V339" s="3">
        <v>36</v>
      </c>
      <c r="W339" s="3">
        <v>80</v>
      </c>
    </row>
    <row r="340" spans="1:23" ht="11.25" customHeight="1" x14ac:dyDescent="0.3">
      <c r="A340" s="3" t="s">
        <v>27</v>
      </c>
      <c r="B340" s="3" t="s">
        <v>40</v>
      </c>
      <c r="C340" s="3" t="s">
        <v>23</v>
      </c>
      <c r="D340" s="3" t="s">
        <v>41</v>
      </c>
      <c r="E340" s="3" t="s">
        <v>50</v>
      </c>
      <c r="F340" s="3" t="s">
        <v>52</v>
      </c>
      <c r="G340" s="3" t="s">
        <v>25</v>
      </c>
      <c r="H340" s="3" t="s">
        <v>25</v>
      </c>
      <c r="I340" s="6">
        <v>44593</v>
      </c>
      <c r="J340" s="4">
        <v>0</v>
      </c>
      <c r="K340" s="4">
        <v>0</v>
      </c>
      <c r="L340" s="4">
        <v>4.17</v>
      </c>
      <c r="M340" s="4">
        <v>4.17</v>
      </c>
      <c r="N340" s="4">
        <v>4.17</v>
      </c>
      <c r="O340" s="4">
        <v>4.17</v>
      </c>
      <c r="P340" s="4">
        <v>0</v>
      </c>
      <c r="Q340" s="3" t="s">
        <v>26</v>
      </c>
      <c r="R340" s="3">
        <v>0</v>
      </c>
      <c r="S340" s="3" t="s">
        <v>236</v>
      </c>
      <c r="T340" s="3" t="s">
        <v>361</v>
      </c>
      <c r="U340" s="3">
        <v>0</v>
      </c>
      <c r="V340" s="3">
        <v>36</v>
      </c>
      <c r="W340" s="3">
        <v>80</v>
      </c>
    </row>
    <row r="341" spans="1:23" ht="11.25" customHeight="1" x14ac:dyDescent="0.3">
      <c r="A341" s="3" t="s">
        <v>21</v>
      </c>
      <c r="B341" s="3" t="s">
        <v>40</v>
      </c>
      <c r="C341" s="3" t="s">
        <v>23</v>
      </c>
      <c r="D341" s="3" t="s">
        <v>41</v>
      </c>
      <c r="E341" s="3" t="s">
        <v>50</v>
      </c>
      <c r="F341" s="3" t="s">
        <v>52</v>
      </c>
      <c r="G341" s="3" t="s">
        <v>25</v>
      </c>
      <c r="H341" s="3" t="s">
        <v>25</v>
      </c>
      <c r="I341" s="6">
        <v>44621</v>
      </c>
      <c r="J341" s="4">
        <v>0</v>
      </c>
      <c r="K341" s="4">
        <v>0</v>
      </c>
      <c r="L341" s="4">
        <v>160.76499999999999</v>
      </c>
      <c r="M341" s="4">
        <v>64.305999999999997</v>
      </c>
      <c r="N341" s="4">
        <v>160.76499999999999</v>
      </c>
      <c r="O341" s="4">
        <v>64.305999999999997</v>
      </c>
      <c r="P341" s="4">
        <v>0</v>
      </c>
      <c r="Q341" s="3" t="s">
        <v>26</v>
      </c>
      <c r="R341" s="3">
        <v>0</v>
      </c>
      <c r="S341" s="3" t="s">
        <v>237</v>
      </c>
      <c r="T341" s="3" t="s">
        <v>362</v>
      </c>
      <c r="U341" s="3">
        <v>0</v>
      </c>
      <c r="V341" s="3">
        <v>36</v>
      </c>
      <c r="W341" s="3">
        <v>80</v>
      </c>
    </row>
    <row r="342" spans="1:23" ht="11.25" customHeight="1" x14ac:dyDescent="0.3">
      <c r="A342" s="3" t="s">
        <v>27</v>
      </c>
      <c r="B342" s="3" t="s">
        <v>40</v>
      </c>
      <c r="C342" s="3" t="s">
        <v>23</v>
      </c>
      <c r="D342" s="3" t="s">
        <v>41</v>
      </c>
      <c r="E342" s="3" t="s">
        <v>50</v>
      </c>
      <c r="F342" s="3" t="s">
        <v>52</v>
      </c>
      <c r="G342" s="3" t="s">
        <v>25</v>
      </c>
      <c r="H342" s="3" t="s">
        <v>25</v>
      </c>
      <c r="I342" s="6">
        <v>44621</v>
      </c>
      <c r="J342" s="4">
        <v>0</v>
      </c>
      <c r="K342" s="4">
        <v>0</v>
      </c>
      <c r="L342" s="4">
        <v>10.577999999999999</v>
      </c>
      <c r="M342" s="4">
        <v>10.577999999999999</v>
      </c>
      <c r="N342" s="4">
        <v>10.577999999999999</v>
      </c>
      <c r="O342" s="4">
        <v>10.577999999999999</v>
      </c>
      <c r="P342" s="4">
        <v>0</v>
      </c>
      <c r="Q342" s="3" t="s">
        <v>26</v>
      </c>
      <c r="R342" s="3">
        <v>0</v>
      </c>
      <c r="S342" s="3" t="s">
        <v>237</v>
      </c>
      <c r="T342" s="3" t="s">
        <v>362</v>
      </c>
      <c r="U342" s="3">
        <v>0</v>
      </c>
      <c r="V342" s="3">
        <v>36</v>
      </c>
      <c r="W342" s="3">
        <v>80</v>
      </c>
    </row>
    <row r="343" spans="1:23" ht="11.25" customHeight="1" x14ac:dyDescent="0.3">
      <c r="A343" s="3" t="s">
        <v>21</v>
      </c>
      <c r="B343" s="3" t="s">
        <v>40</v>
      </c>
      <c r="C343" s="3" t="s">
        <v>23</v>
      </c>
      <c r="D343" s="3" t="s">
        <v>41</v>
      </c>
      <c r="E343" s="3" t="s">
        <v>50</v>
      </c>
      <c r="F343" s="3" t="s">
        <v>52</v>
      </c>
      <c r="G343" s="3" t="s">
        <v>25</v>
      </c>
      <c r="H343" s="3" t="s">
        <v>25</v>
      </c>
      <c r="I343" s="6">
        <v>44652</v>
      </c>
      <c r="J343" s="4">
        <v>0</v>
      </c>
      <c r="K343" s="4">
        <v>0</v>
      </c>
      <c r="L343" s="4">
        <v>154.96299999999999</v>
      </c>
      <c r="M343" s="4">
        <v>61.985199999999999</v>
      </c>
      <c r="N343" s="4">
        <v>154.96299999999999</v>
      </c>
      <c r="O343" s="4">
        <v>61.985199999999999</v>
      </c>
      <c r="P343" s="4">
        <v>0</v>
      </c>
      <c r="Q343" s="3" t="s">
        <v>26</v>
      </c>
      <c r="R343" s="3">
        <v>0</v>
      </c>
      <c r="S343" s="3" t="s">
        <v>238</v>
      </c>
      <c r="T343" s="3" t="s">
        <v>363</v>
      </c>
      <c r="U343" s="3">
        <v>0</v>
      </c>
      <c r="V343" s="3">
        <v>36</v>
      </c>
      <c r="W343" s="3">
        <v>80</v>
      </c>
    </row>
    <row r="344" spans="1:23" ht="11.25" customHeight="1" x14ac:dyDescent="0.3">
      <c r="A344" s="3" t="s">
        <v>48</v>
      </c>
      <c r="B344" s="3" t="s">
        <v>40</v>
      </c>
      <c r="C344" s="3" t="s">
        <v>23</v>
      </c>
      <c r="D344" s="3" t="s">
        <v>41</v>
      </c>
      <c r="E344" s="3" t="s">
        <v>50</v>
      </c>
      <c r="F344" s="3" t="s">
        <v>52</v>
      </c>
      <c r="G344" s="3" t="s">
        <v>25</v>
      </c>
      <c r="H344" s="3" t="s">
        <v>25</v>
      </c>
      <c r="I344" s="6">
        <v>44652</v>
      </c>
      <c r="J344" s="4">
        <v>0</v>
      </c>
      <c r="K344" s="4">
        <v>0</v>
      </c>
      <c r="L344" s="4">
        <v>0.29299999999999998</v>
      </c>
      <c r="M344" s="4">
        <v>0.1172</v>
      </c>
      <c r="N344" s="4">
        <v>0.29299999999999998</v>
      </c>
      <c r="O344" s="4">
        <v>0.1172</v>
      </c>
      <c r="P344" s="4">
        <v>0</v>
      </c>
      <c r="Q344" s="3" t="s">
        <v>26</v>
      </c>
      <c r="R344" s="3">
        <v>0</v>
      </c>
      <c r="S344" s="3" t="s">
        <v>238</v>
      </c>
      <c r="T344" s="3" t="s">
        <v>363</v>
      </c>
      <c r="U344" s="3">
        <v>0</v>
      </c>
      <c r="V344" s="3">
        <v>36</v>
      </c>
      <c r="W344" s="3">
        <v>80</v>
      </c>
    </row>
    <row r="345" spans="1:23" ht="11.25" customHeight="1" x14ac:dyDescent="0.3">
      <c r="A345" s="3" t="s">
        <v>27</v>
      </c>
      <c r="B345" s="3" t="s">
        <v>40</v>
      </c>
      <c r="C345" s="3" t="s">
        <v>23</v>
      </c>
      <c r="D345" s="3" t="s">
        <v>41</v>
      </c>
      <c r="E345" s="3" t="s">
        <v>50</v>
      </c>
      <c r="F345" s="3" t="s">
        <v>52</v>
      </c>
      <c r="G345" s="3" t="s">
        <v>25</v>
      </c>
      <c r="H345" s="3" t="s">
        <v>25</v>
      </c>
      <c r="I345" s="6">
        <v>44652</v>
      </c>
      <c r="J345" s="4">
        <v>0</v>
      </c>
      <c r="K345" s="4">
        <v>0</v>
      </c>
      <c r="L345" s="4">
        <v>19.370999999999999</v>
      </c>
      <c r="M345" s="4">
        <v>19.370999999999999</v>
      </c>
      <c r="N345" s="4">
        <v>19.370999999999999</v>
      </c>
      <c r="O345" s="4">
        <v>19.370999999999999</v>
      </c>
      <c r="P345" s="4">
        <v>0</v>
      </c>
      <c r="Q345" s="3" t="s">
        <v>26</v>
      </c>
      <c r="R345" s="3">
        <v>0</v>
      </c>
      <c r="S345" s="3" t="s">
        <v>238</v>
      </c>
      <c r="T345" s="3" t="s">
        <v>363</v>
      </c>
      <c r="U345" s="3">
        <v>0</v>
      </c>
      <c r="V345" s="3">
        <v>36</v>
      </c>
      <c r="W345" s="3">
        <v>80</v>
      </c>
    </row>
    <row r="346" spans="1:23" ht="11.25" customHeight="1" x14ac:dyDescent="0.3">
      <c r="A346" s="3" t="s">
        <v>27</v>
      </c>
      <c r="B346" s="3" t="s">
        <v>40</v>
      </c>
      <c r="C346" s="3" t="s">
        <v>23</v>
      </c>
      <c r="D346" s="3" t="s">
        <v>41</v>
      </c>
      <c r="E346" s="3" t="s">
        <v>50</v>
      </c>
      <c r="F346" s="3" t="s">
        <v>52</v>
      </c>
      <c r="G346" s="3" t="s">
        <v>25</v>
      </c>
      <c r="H346" s="3" t="s">
        <v>25</v>
      </c>
      <c r="I346" s="6">
        <v>44652</v>
      </c>
      <c r="J346" s="4">
        <v>0</v>
      </c>
      <c r="K346" s="4">
        <v>0</v>
      </c>
      <c r="L346" s="4">
        <v>14.53</v>
      </c>
      <c r="M346" s="4">
        <v>14.53</v>
      </c>
      <c r="N346" s="4">
        <v>14.53</v>
      </c>
      <c r="O346" s="4">
        <v>14.53</v>
      </c>
      <c r="P346" s="4">
        <v>0</v>
      </c>
      <c r="Q346" s="3" t="s">
        <v>26</v>
      </c>
      <c r="R346" s="3">
        <v>0</v>
      </c>
      <c r="S346" s="3" t="s">
        <v>238</v>
      </c>
      <c r="T346" s="3" t="s">
        <v>363</v>
      </c>
      <c r="U346" s="3">
        <v>0</v>
      </c>
      <c r="V346" s="3">
        <v>36</v>
      </c>
      <c r="W346" s="3">
        <v>80</v>
      </c>
    </row>
    <row r="347" spans="1:23" ht="11.25" customHeight="1" x14ac:dyDescent="0.3">
      <c r="A347" s="3" t="s">
        <v>21</v>
      </c>
      <c r="B347" s="3" t="s">
        <v>40</v>
      </c>
      <c r="C347" s="3" t="s">
        <v>23</v>
      </c>
      <c r="D347" s="3" t="s">
        <v>41</v>
      </c>
      <c r="E347" s="3" t="s">
        <v>50</v>
      </c>
      <c r="F347" s="3" t="s">
        <v>52</v>
      </c>
      <c r="G347" s="3" t="s">
        <v>25</v>
      </c>
      <c r="H347" s="3" t="s">
        <v>25</v>
      </c>
      <c r="I347" s="6">
        <v>44682</v>
      </c>
      <c r="J347" s="4">
        <v>0</v>
      </c>
      <c r="K347" s="4">
        <v>0</v>
      </c>
      <c r="L347" s="4">
        <v>165.768</v>
      </c>
      <c r="M347" s="4">
        <v>66.307199999999995</v>
      </c>
      <c r="N347" s="4">
        <v>165.768</v>
      </c>
      <c r="O347" s="4">
        <v>66.307199999999995</v>
      </c>
      <c r="P347" s="4">
        <v>0</v>
      </c>
      <c r="Q347" s="3" t="s">
        <v>26</v>
      </c>
      <c r="R347" s="3">
        <v>0</v>
      </c>
      <c r="S347" s="3" t="s">
        <v>239</v>
      </c>
      <c r="T347" s="3" t="s">
        <v>364</v>
      </c>
      <c r="U347" s="3">
        <v>0</v>
      </c>
      <c r="V347" s="3">
        <v>36</v>
      </c>
      <c r="W347" s="3">
        <v>80</v>
      </c>
    </row>
    <row r="348" spans="1:23" ht="11.25" customHeight="1" x14ac:dyDescent="0.3">
      <c r="A348" s="3" t="s">
        <v>27</v>
      </c>
      <c r="B348" s="3" t="s">
        <v>40</v>
      </c>
      <c r="C348" s="3" t="s">
        <v>23</v>
      </c>
      <c r="D348" s="3" t="s">
        <v>41</v>
      </c>
      <c r="E348" s="3" t="s">
        <v>50</v>
      </c>
      <c r="F348" s="3" t="s">
        <v>52</v>
      </c>
      <c r="G348" s="3" t="s">
        <v>25</v>
      </c>
      <c r="H348" s="3" t="s">
        <v>25</v>
      </c>
      <c r="I348" s="6">
        <v>44682</v>
      </c>
      <c r="J348" s="4">
        <v>0</v>
      </c>
      <c r="K348" s="4">
        <v>0</v>
      </c>
      <c r="L348" s="4">
        <v>19.545000000000002</v>
      </c>
      <c r="M348" s="4">
        <v>19.545000000000002</v>
      </c>
      <c r="N348" s="4">
        <v>19.545000000000002</v>
      </c>
      <c r="O348" s="4">
        <v>19.545000000000002</v>
      </c>
      <c r="P348" s="4">
        <v>0</v>
      </c>
      <c r="Q348" s="3" t="s">
        <v>26</v>
      </c>
      <c r="R348" s="3">
        <v>0</v>
      </c>
      <c r="S348" s="3" t="s">
        <v>239</v>
      </c>
      <c r="T348" s="3" t="s">
        <v>364</v>
      </c>
      <c r="U348" s="3">
        <v>0</v>
      </c>
      <c r="V348" s="3">
        <v>36</v>
      </c>
      <c r="W348" s="3">
        <v>80</v>
      </c>
    </row>
    <row r="349" spans="1:23" ht="11.25" customHeight="1" x14ac:dyDescent="0.3">
      <c r="A349" s="3" t="s">
        <v>27</v>
      </c>
      <c r="B349" s="3" t="s">
        <v>40</v>
      </c>
      <c r="C349" s="3" t="s">
        <v>23</v>
      </c>
      <c r="D349" s="3" t="s">
        <v>41</v>
      </c>
      <c r="E349" s="3" t="s">
        <v>50</v>
      </c>
      <c r="F349" s="3" t="s">
        <v>52</v>
      </c>
      <c r="G349" s="3" t="s">
        <v>25</v>
      </c>
      <c r="H349" s="3" t="s">
        <v>25</v>
      </c>
      <c r="I349" s="6">
        <v>44682</v>
      </c>
      <c r="J349" s="4">
        <v>0</v>
      </c>
      <c r="K349" s="4">
        <v>0</v>
      </c>
      <c r="L349" s="4">
        <v>12.291</v>
      </c>
      <c r="M349" s="4">
        <v>12.291</v>
      </c>
      <c r="N349" s="4">
        <v>12.291</v>
      </c>
      <c r="O349" s="4">
        <v>12.291</v>
      </c>
      <c r="P349" s="4">
        <v>0</v>
      </c>
      <c r="Q349" s="3" t="s">
        <v>26</v>
      </c>
      <c r="R349" s="3">
        <v>0</v>
      </c>
      <c r="S349" s="3" t="s">
        <v>239</v>
      </c>
      <c r="T349" s="3" t="s">
        <v>364</v>
      </c>
      <c r="U349" s="3">
        <v>0</v>
      </c>
      <c r="V349" s="3">
        <v>36</v>
      </c>
      <c r="W349" s="3">
        <v>80</v>
      </c>
    </row>
    <row r="350" spans="1:23" ht="11.25" customHeight="1" x14ac:dyDescent="0.3">
      <c r="A350" s="3" t="s">
        <v>21</v>
      </c>
      <c r="B350" s="3" t="s">
        <v>40</v>
      </c>
      <c r="C350" s="3" t="s">
        <v>23</v>
      </c>
      <c r="D350" s="3" t="s">
        <v>41</v>
      </c>
      <c r="E350" s="3" t="s">
        <v>50</v>
      </c>
      <c r="F350" s="3" t="s">
        <v>52</v>
      </c>
      <c r="G350" s="3" t="s">
        <v>25</v>
      </c>
      <c r="H350" s="3" t="s">
        <v>25</v>
      </c>
      <c r="I350" s="6">
        <v>44713</v>
      </c>
      <c r="J350" s="4">
        <v>0</v>
      </c>
      <c r="K350" s="4">
        <v>0</v>
      </c>
      <c r="L350" s="4">
        <v>146.125</v>
      </c>
      <c r="M350" s="4">
        <v>58.45</v>
      </c>
      <c r="N350" s="4">
        <v>146.125</v>
      </c>
      <c r="O350" s="4">
        <v>58.45</v>
      </c>
      <c r="P350" s="4">
        <v>0</v>
      </c>
      <c r="Q350" s="3" t="s">
        <v>26</v>
      </c>
      <c r="R350" s="3">
        <v>0</v>
      </c>
      <c r="S350" s="3" t="s">
        <v>240</v>
      </c>
      <c r="T350" s="3" t="s">
        <v>365</v>
      </c>
      <c r="U350" s="3">
        <v>0</v>
      </c>
      <c r="V350" s="3">
        <v>36</v>
      </c>
      <c r="W350" s="3">
        <v>80</v>
      </c>
    </row>
    <row r="351" spans="1:23" ht="11.25" customHeight="1" x14ac:dyDescent="0.3">
      <c r="A351" s="3" t="s">
        <v>48</v>
      </c>
      <c r="B351" s="3" t="s">
        <v>40</v>
      </c>
      <c r="C351" s="3" t="s">
        <v>23</v>
      </c>
      <c r="D351" s="3" t="s">
        <v>41</v>
      </c>
      <c r="E351" s="3" t="s">
        <v>50</v>
      </c>
      <c r="F351" s="3" t="s">
        <v>52</v>
      </c>
      <c r="G351" s="3" t="s">
        <v>25</v>
      </c>
      <c r="H351" s="3" t="s">
        <v>25</v>
      </c>
      <c r="I351" s="6">
        <v>44713</v>
      </c>
      <c r="J351" s="4">
        <v>0</v>
      </c>
      <c r="K351" s="4">
        <v>0</v>
      </c>
      <c r="L351" s="4">
        <v>-12.4</v>
      </c>
      <c r="M351" s="4">
        <v>-4.96</v>
      </c>
      <c r="N351" s="4">
        <v>-12.4</v>
      </c>
      <c r="O351" s="4">
        <v>-4.96</v>
      </c>
      <c r="P351" s="4">
        <v>0</v>
      </c>
      <c r="Q351" s="3" t="s">
        <v>26</v>
      </c>
      <c r="R351" s="3">
        <v>0</v>
      </c>
      <c r="S351" s="3" t="s">
        <v>240</v>
      </c>
      <c r="T351" s="3" t="s">
        <v>365</v>
      </c>
      <c r="U351" s="3">
        <v>0</v>
      </c>
      <c r="V351" s="3">
        <v>36</v>
      </c>
      <c r="W351" s="3">
        <v>80</v>
      </c>
    </row>
    <row r="352" spans="1:23" ht="11.25" customHeight="1" x14ac:dyDescent="0.3">
      <c r="A352" s="3" t="s">
        <v>27</v>
      </c>
      <c r="B352" s="3" t="s">
        <v>40</v>
      </c>
      <c r="C352" s="3" t="s">
        <v>23</v>
      </c>
      <c r="D352" s="3" t="s">
        <v>41</v>
      </c>
      <c r="E352" s="3" t="s">
        <v>50</v>
      </c>
      <c r="F352" s="3" t="s">
        <v>52</v>
      </c>
      <c r="G352" s="3" t="s">
        <v>25</v>
      </c>
      <c r="H352" s="3" t="s">
        <v>25</v>
      </c>
      <c r="I352" s="6">
        <v>44713</v>
      </c>
      <c r="J352" s="4">
        <v>0</v>
      </c>
      <c r="K352" s="4">
        <v>0</v>
      </c>
      <c r="L352" s="4">
        <v>13.478999999999999</v>
      </c>
      <c r="M352" s="4">
        <v>13.478999999999999</v>
      </c>
      <c r="N352" s="4">
        <v>13.478999999999999</v>
      </c>
      <c r="O352" s="4">
        <v>13.478999999999999</v>
      </c>
      <c r="P352" s="4">
        <v>0</v>
      </c>
      <c r="Q352" s="3" t="s">
        <v>26</v>
      </c>
      <c r="R352" s="3">
        <v>0</v>
      </c>
      <c r="S352" s="3" t="s">
        <v>240</v>
      </c>
      <c r="T352" s="3" t="s">
        <v>365</v>
      </c>
      <c r="U352" s="3">
        <v>0</v>
      </c>
      <c r="V352" s="3">
        <v>36</v>
      </c>
      <c r="W352" s="3">
        <v>80</v>
      </c>
    </row>
    <row r="353" spans="1:23" ht="11.25" customHeight="1" x14ac:dyDescent="0.3">
      <c r="A353" s="3" t="s">
        <v>21</v>
      </c>
      <c r="B353" s="3" t="s">
        <v>40</v>
      </c>
      <c r="C353" s="3" t="s">
        <v>23</v>
      </c>
      <c r="D353" s="3" t="s">
        <v>41</v>
      </c>
      <c r="E353" s="3" t="s">
        <v>50</v>
      </c>
      <c r="F353" s="3" t="s">
        <v>52</v>
      </c>
      <c r="G353" s="3" t="s">
        <v>25</v>
      </c>
      <c r="H353" s="3" t="s">
        <v>25</v>
      </c>
      <c r="I353" s="6">
        <v>44743</v>
      </c>
      <c r="J353" s="4">
        <v>0</v>
      </c>
      <c r="K353" s="4">
        <v>0</v>
      </c>
      <c r="L353" s="4">
        <v>120.61499999999999</v>
      </c>
      <c r="M353" s="4">
        <v>48.246000000000002</v>
      </c>
      <c r="N353" s="4">
        <v>120.61499999999999</v>
      </c>
      <c r="O353" s="4">
        <v>48.246000000000002</v>
      </c>
      <c r="P353" s="4">
        <v>0</v>
      </c>
      <c r="Q353" s="3" t="s">
        <v>26</v>
      </c>
      <c r="R353" s="3">
        <v>0</v>
      </c>
      <c r="S353" s="3" t="s">
        <v>241</v>
      </c>
      <c r="T353" s="3" t="s">
        <v>366</v>
      </c>
      <c r="U353" s="3">
        <v>0</v>
      </c>
      <c r="V353" s="3">
        <v>36</v>
      </c>
      <c r="W353" s="3">
        <v>80</v>
      </c>
    </row>
    <row r="354" spans="1:23" ht="11.25" customHeight="1" x14ac:dyDescent="0.3">
      <c r="A354" s="3" t="s">
        <v>27</v>
      </c>
      <c r="B354" s="3" t="s">
        <v>40</v>
      </c>
      <c r="C354" s="3" t="s">
        <v>23</v>
      </c>
      <c r="D354" s="3" t="s">
        <v>41</v>
      </c>
      <c r="E354" s="3" t="s">
        <v>50</v>
      </c>
      <c r="F354" s="3" t="s">
        <v>52</v>
      </c>
      <c r="G354" s="3" t="s">
        <v>25</v>
      </c>
      <c r="H354" s="3" t="s">
        <v>25</v>
      </c>
      <c r="I354" s="6">
        <v>44743</v>
      </c>
      <c r="J354" s="4">
        <v>0</v>
      </c>
      <c r="K354" s="4">
        <v>0</v>
      </c>
      <c r="L354" s="4">
        <v>19.254000000000001</v>
      </c>
      <c r="M354" s="4">
        <v>19.254000000000001</v>
      </c>
      <c r="N354" s="4">
        <v>19.254000000000001</v>
      </c>
      <c r="O354" s="4">
        <v>19.254000000000001</v>
      </c>
      <c r="P354" s="4">
        <v>0</v>
      </c>
      <c r="Q354" s="3" t="s">
        <v>26</v>
      </c>
      <c r="R354" s="3">
        <v>0</v>
      </c>
      <c r="S354" s="3" t="s">
        <v>241</v>
      </c>
      <c r="T354" s="3" t="s">
        <v>366</v>
      </c>
      <c r="U354" s="3">
        <v>0</v>
      </c>
      <c r="V354" s="3">
        <v>36</v>
      </c>
      <c r="W354" s="3">
        <v>80</v>
      </c>
    </row>
    <row r="355" spans="1:23" ht="11.25" customHeight="1" x14ac:dyDescent="0.3">
      <c r="A355" s="3" t="s">
        <v>53</v>
      </c>
      <c r="B355" s="3" t="s">
        <v>40</v>
      </c>
      <c r="C355" s="3" t="s">
        <v>23</v>
      </c>
      <c r="D355" s="3" t="s">
        <v>41</v>
      </c>
      <c r="E355" s="3" t="s">
        <v>50</v>
      </c>
      <c r="F355" s="3" t="s">
        <v>52</v>
      </c>
      <c r="G355" s="3" t="s">
        <v>25</v>
      </c>
      <c r="H355" s="3" t="s">
        <v>25</v>
      </c>
      <c r="I355" s="6">
        <v>44774</v>
      </c>
      <c r="J355" s="4">
        <v>0</v>
      </c>
      <c r="K355" s="4">
        <v>0</v>
      </c>
      <c r="L355" s="4">
        <v>120.61499999999999</v>
      </c>
      <c r="M355" s="4">
        <v>48.246000000000002</v>
      </c>
      <c r="N355" s="4">
        <v>120.61499999999999</v>
      </c>
      <c r="O355" s="4">
        <v>48.246000000000002</v>
      </c>
      <c r="P355" s="4">
        <v>0</v>
      </c>
      <c r="Q355" s="3" t="s">
        <v>26</v>
      </c>
      <c r="R355" s="3">
        <v>0</v>
      </c>
      <c r="S355" s="3" t="s">
        <v>242</v>
      </c>
      <c r="T355" s="3" t="s">
        <v>367</v>
      </c>
      <c r="U355" s="3">
        <v>0</v>
      </c>
      <c r="V355" s="3">
        <v>36</v>
      </c>
      <c r="W355" s="3">
        <v>80</v>
      </c>
    </row>
    <row r="356" spans="1:23" ht="11.25" customHeight="1" x14ac:dyDescent="0.3">
      <c r="A356" s="3" t="s">
        <v>53</v>
      </c>
      <c r="B356" s="3" t="s">
        <v>40</v>
      </c>
      <c r="C356" s="3" t="s">
        <v>23</v>
      </c>
      <c r="D356" s="3" t="s">
        <v>41</v>
      </c>
      <c r="E356" s="3" t="s">
        <v>50</v>
      </c>
      <c r="F356" s="3" t="s">
        <v>52</v>
      </c>
      <c r="G356" s="3" t="s">
        <v>25</v>
      </c>
      <c r="H356" s="3" t="s">
        <v>25</v>
      </c>
      <c r="I356" s="6">
        <v>44774</v>
      </c>
      <c r="J356" s="4">
        <v>0</v>
      </c>
      <c r="K356" s="4">
        <v>0</v>
      </c>
      <c r="L356" s="4">
        <v>19.254000000000001</v>
      </c>
      <c r="M356" s="4">
        <v>19.254000000000001</v>
      </c>
      <c r="N356" s="4">
        <v>19.254000000000001</v>
      </c>
      <c r="O356" s="4">
        <v>19.254000000000001</v>
      </c>
      <c r="P356" s="4">
        <v>0</v>
      </c>
      <c r="Q356" s="3" t="s">
        <v>26</v>
      </c>
      <c r="R356" s="3">
        <v>0</v>
      </c>
      <c r="S356" s="3" t="s">
        <v>242</v>
      </c>
      <c r="T356" s="3" t="s">
        <v>367</v>
      </c>
      <c r="U356" s="3">
        <v>0</v>
      </c>
      <c r="V356" s="3">
        <v>36</v>
      </c>
      <c r="W356" s="3">
        <v>80</v>
      </c>
    </row>
    <row r="357" spans="1:23" ht="11.25" customHeight="1" x14ac:dyDescent="0.3">
      <c r="A357" s="3" t="s">
        <v>21</v>
      </c>
      <c r="B357" s="3" t="s">
        <v>40</v>
      </c>
      <c r="C357" s="3" t="s">
        <v>23</v>
      </c>
      <c r="D357" s="3" t="s">
        <v>41</v>
      </c>
      <c r="E357" s="3" t="s">
        <v>25</v>
      </c>
      <c r="F357" s="3" t="s">
        <v>25</v>
      </c>
      <c r="G357" s="3" t="s">
        <v>25</v>
      </c>
      <c r="H357" s="3" t="s">
        <v>25</v>
      </c>
      <c r="I357" s="6">
        <v>44440</v>
      </c>
      <c r="J357" s="4">
        <v>0</v>
      </c>
      <c r="K357" s="4">
        <v>0</v>
      </c>
      <c r="L357" s="4">
        <v>945.65700000000004</v>
      </c>
      <c r="M357" s="4">
        <v>945.65700000000004</v>
      </c>
      <c r="N357" s="4">
        <v>945.65700000000004</v>
      </c>
      <c r="O357" s="4">
        <v>945.65700000000004</v>
      </c>
      <c r="P357" s="4">
        <v>2502</v>
      </c>
      <c r="Q357" s="3" t="s">
        <v>26</v>
      </c>
      <c r="R357" s="3">
        <v>0</v>
      </c>
      <c r="S357" s="3" t="s">
        <v>231</v>
      </c>
      <c r="T357" s="3" t="s">
        <v>356</v>
      </c>
      <c r="U357" s="3">
        <v>0</v>
      </c>
      <c r="V357" s="3">
        <v>36</v>
      </c>
      <c r="W357" s="3">
        <v>80</v>
      </c>
    </row>
    <row r="358" spans="1:23" ht="11.25" customHeight="1" x14ac:dyDescent="0.3">
      <c r="A358" s="3" t="s">
        <v>27</v>
      </c>
      <c r="B358" s="3" t="s">
        <v>40</v>
      </c>
      <c r="C358" s="3" t="s">
        <v>23</v>
      </c>
      <c r="D358" s="3" t="s">
        <v>41</v>
      </c>
      <c r="E358" s="3" t="s">
        <v>25</v>
      </c>
      <c r="F358" s="3" t="s">
        <v>25</v>
      </c>
      <c r="G358" s="3" t="s">
        <v>25</v>
      </c>
      <c r="H358" s="3" t="s">
        <v>25</v>
      </c>
      <c r="I358" s="6">
        <v>44440</v>
      </c>
      <c r="J358" s="4">
        <v>0</v>
      </c>
      <c r="K358" s="4">
        <v>0</v>
      </c>
      <c r="L358" s="4">
        <v>51.381</v>
      </c>
      <c r="M358" s="4">
        <v>51.381</v>
      </c>
      <c r="N358" s="4">
        <v>51.381</v>
      </c>
      <c r="O358" s="4">
        <v>51.381</v>
      </c>
      <c r="P358" s="4">
        <v>82</v>
      </c>
      <c r="Q358" s="3" t="s">
        <v>26</v>
      </c>
      <c r="R358" s="3">
        <v>0</v>
      </c>
      <c r="S358" s="3" t="s">
        <v>231</v>
      </c>
      <c r="T358" s="3" t="s">
        <v>356</v>
      </c>
      <c r="U358" s="3">
        <v>0</v>
      </c>
      <c r="V358" s="3">
        <v>36</v>
      </c>
      <c r="W358" s="3">
        <v>80</v>
      </c>
    </row>
    <row r="359" spans="1:23" ht="11.25" customHeight="1" x14ac:dyDescent="0.3">
      <c r="A359" s="3" t="s">
        <v>21</v>
      </c>
      <c r="B359" s="3" t="s">
        <v>40</v>
      </c>
      <c r="C359" s="3" t="s">
        <v>23</v>
      </c>
      <c r="D359" s="3" t="s">
        <v>41</v>
      </c>
      <c r="E359" s="3" t="s">
        <v>25</v>
      </c>
      <c r="F359" s="3" t="s">
        <v>25</v>
      </c>
      <c r="G359" s="3" t="s">
        <v>25</v>
      </c>
      <c r="H359" s="3" t="s">
        <v>25</v>
      </c>
      <c r="I359" s="6">
        <v>44470</v>
      </c>
      <c r="J359" s="4">
        <v>0</v>
      </c>
      <c r="K359" s="4">
        <v>0</v>
      </c>
      <c r="L359" s="4">
        <v>962.3</v>
      </c>
      <c r="M359" s="4">
        <v>962.3</v>
      </c>
      <c r="N359" s="4">
        <v>962.3</v>
      </c>
      <c r="O359" s="4">
        <v>962.3</v>
      </c>
      <c r="P359" s="4">
        <v>2496</v>
      </c>
      <c r="Q359" s="3" t="s">
        <v>26</v>
      </c>
      <c r="R359" s="3">
        <v>0</v>
      </c>
      <c r="S359" s="3" t="s">
        <v>232</v>
      </c>
      <c r="T359" s="3" t="s">
        <v>357</v>
      </c>
      <c r="U359" s="3">
        <v>0</v>
      </c>
      <c r="V359" s="3">
        <v>36</v>
      </c>
      <c r="W359" s="3">
        <v>80</v>
      </c>
    </row>
    <row r="360" spans="1:23" ht="11.25" customHeight="1" x14ac:dyDescent="0.3">
      <c r="A360" s="3" t="s">
        <v>48</v>
      </c>
      <c r="B360" s="3" t="s">
        <v>40</v>
      </c>
      <c r="C360" s="3" t="s">
        <v>23</v>
      </c>
      <c r="D360" s="3" t="s">
        <v>41</v>
      </c>
      <c r="E360" s="3" t="s">
        <v>25</v>
      </c>
      <c r="F360" s="3" t="s">
        <v>25</v>
      </c>
      <c r="G360" s="3" t="s">
        <v>25</v>
      </c>
      <c r="H360" s="3" t="s">
        <v>25</v>
      </c>
      <c r="I360" s="6">
        <v>44470</v>
      </c>
      <c r="J360" s="4">
        <v>0</v>
      </c>
      <c r="K360" s="4">
        <v>0</v>
      </c>
      <c r="L360" s="4">
        <v>-0.17899999999999999</v>
      </c>
      <c r="M360" s="4">
        <v>-0.17899999999999999</v>
      </c>
      <c r="N360" s="4">
        <v>-0.17899999999999999</v>
      </c>
      <c r="O360" s="4">
        <v>-0.17899999999999999</v>
      </c>
      <c r="P360" s="4">
        <v>0</v>
      </c>
      <c r="Q360" s="3" t="s">
        <v>26</v>
      </c>
      <c r="R360" s="3">
        <v>0</v>
      </c>
      <c r="S360" s="3" t="s">
        <v>232</v>
      </c>
      <c r="T360" s="3" t="s">
        <v>357</v>
      </c>
      <c r="U360" s="3">
        <v>0</v>
      </c>
      <c r="V360" s="3">
        <v>36</v>
      </c>
      <c r="W360" s="3">
        <v>80</v>
      </c>
    </row>
    <row r="361" spans="1:23" ht="11.25" customHeight="1" x14ac:dyDescent="0.3">
      <c r="A361" s="3" t="s">
        <v>27</v>
      </c>
      <c r="B361" s="3" t="s">
        <v>40</v>
      </c>
      <c r="C361" s="3" t="s">
        <v>23</v>
      </c>
      <c r="D361" s="3" t="s">
        <v>41</v>
      </c>
      <c r="E361" s="3" t="s">
        <v>25</v>
      </c>
      <c r="F361" s="3" t="s">
        <v>25</v>
      </c>
      <c r="G361" s="3" t="s">
        <v>25</v>
      </c>
      <c r="H361" s="3" t="s">
        <v>25</v>
      </c>
      <c r="I361" s="6">
        <v>44470</v>
      </c>
      <c r="J361" s="4">
        <v>0</v>
      </c>
      <c r="K361" s="4">
        <v>0</v>
      </c>
      <c r="L361" s="4">
        <v>66.06</v>
      </c>
      <c r="M361" s="4">
        <v>66.06</v>
      </c>
      <c r="N361" s="4">
        <v>66.06</v>
      </c>
      <c r="O361" s="4">
        <v>66.06</v>
      </c>
      <c r="P361" s="4">
        <v>85</v>
      </c>
      <c r="Q361" s="3" t="s">
        <v>26</v>
      </c>
      <c r="R361" s="3">
        <v>0</v>
      </c>
      <c r="S361" s="3" t="s">
        <v>232</v>
      </c>
      <c r="T361" s="3" t="s">
        <v>357</v>
      </c>
      <c r="U361" s="3">
        <v>0</v>
      </c>
      <c r="V361" s="3">
        <v>36</v>
      </c>
      <c r="W361" s="3">
        <v>80</v>
      </c>
    </row>
    <row r="362" spans="1:23" ht="11.25" customHeight="1" x14ac:dyDescent="0.3">
      <c r="A362" s="3" t="s">
        <v>21</v>
      </c>
      <c r="B362" s="3" t="s">
        <v>40</v>
      </c>
      <c r="C362" s="3" t="s">
        <v>23</v>
      </c>
      <c r="D362" s="3" t="s">
        <v>41</v>
      </c>
      <c r="E362" s="3" t="s">
        <v>25</v>
      </c>
      <c r="F362" s="3" t="s">
        <v>25</v>
      </c>
      <c r="G362" s="3" t="s">
        <v>25</v>
      </c>
      <c r="H362" s="3" t="s">
        <v>25</v>
      </c>
      <c r="I362" s="6">
        <v>44501</v>
      </c>
      <c r="J362" s="4">
        <v>0</v>
      </c>
      <c r="K362" s="4">
        <v>0</v>
      </c>
      <c r="L362" s="4">
        <v>1024.6300000000001</v>
      </c>
      <c r="M362" s="4">
        <v>1024.6300000000001</v>
      </c>
      <c r="N362" s="4">
        <v>1024.6300000000001</v>
      </c>
      <c r="O362" s="4">
        <v>1024.6300000000001</v>
      </c>
      <c r="P362" s="4">
        <v>2475</v>
      </c>
      <c r="Q362" s="3" t="s">
        <v>26</v>
      </c>
      <c r="R362" s="3">
        <v>0</v>
      </c>
      <c r="S362" s="3" t="s">
        <v>233</v>
      </c>
      <c r="T362" s="3" t="s">
        <v>358</v>
      </c>
      <c r="U362" s="3">
        <v>0</v>
      </c>
      <c r="V362" s="3">
        <v>36</v>
      </c>
      <c r="W362" s="3">
        <v>80</v>
      </c>
    </row>
    <row r="363" spans="1:23" ht="11.25" customHeight="1" x14ac:dyDescent="0.3">
      <c r="A363" s="3" t="s">
        <v>27</v>
      </c>
      <c r="B363" s="3" t="s">
        <v>40</v>
      </c>
      <c r="C363" s="3" t="s">
        <v>23</v>
      </c>
      <c r="D363" s="3" t="s">
        <v>41</v>
      </c>
      <c r="E363" s="3" t="s">
        <v>25</v>
      </c>
      <c r="F363" s="3" t="s">
        <v>25</v>
      </c>
      <c r="G363" s="3" t="s">
        <v>25</v>
      </c>
      <c r="H363" s="3" t="s">
        <v>25</v>
      </c>
      <c r="I363" s="6">
        <v>44501</v>
      </c>
      <c r="J363" s="4">
        <v>0</v>
      </c>
      <c r="K363" s="4">
        <v>0</v>
      </c>
      <c r="L363" s="4">
        <v>22.878</v>
      </c>
      <c r="M363" s="4">
        <v>22.878</v>
      </c>
      <c r="N363" s="4">
        <v>22.878</v>
      </c>
      <c r="O363" s="4">
        <v>22.878</v>
      </c>
      <c r="P363" s="4">
        <v>99</v>
      </c>
      <c r="Q363" s="3" t="s">
        <v>26</v>
      </c>
      <c r="R363" s="3">
        <v>0</v>
      </c>
      <c r="S363" s="3" t="s">
        <v>233</v>
      </c>
      <c r="T363" s="3" t="s">
        <v>358</v>
      </c>
      <c r="U363" s="3">
        <v>0</v>
      </c>
      <c r="V363" s="3">
        <v>36</v>
      </c>
      <c r="W363" s="3">
        <v>80</v>
      </c>
    </row>
    <row r="364" spans="1:23" ht="11.25" customHeight="1" x14ac:dyDescent="0.3">
      <c r="A364" s="3" t="s">
        <v>21</v>
      </c>
      <c r="B364" s="3" t="s">
        <v>40</v>
      </c>
      <c r="C364" s="3" t="s">
        <v>23</v>
      </c>
      <c r="D364" s="3" t="s">
        <v>41</v>
      </c>
      <c r="E364" s="3" t="s">
        <v>25</v>
      </c>
      <c r="F364" s="3" t="s">
        <v>25</v>
      </c>
      <c r="G364" s="3" t="s">
        <v>25</v>
      </c>
      <c r="H364" s="3" t="s">
        <v>25</v>
      </c>
      <c r="I364" s="6">
        <v>44531</v>
      </c>
      <c r="J364" s="4">
        <v>0</v>
      </c>
      <c r="K364" s="4">
        <v>0</v>
      </c>
      <c r="L364" s="4">
        <v>861.80700000000002</v>
      </c>
      <c r="M364" s="4">
        <v>861.80700000000002</v>
      </c>
      <c r="N364" s="4">
        <v>861.80700000000002</v>
      </c>
      <c r="O364" s="4">
        <v>861.80700000000002</v>
      </c>
      <c r="P364" s="4">
        <v>2464</v>
      </c>
      <c r="Q364" s="3" t="s">
        <v>26</v>
      </c>
      <c r="R364" s="3">
        <v>0</v>
      </c>
      <c r="S364" s="3" t="s">
        <v>234</v>
      </c>
      <c r="T364" s="3" t="s">
        <v>359</v>
      </c>
      <c r="U364" s="3">
        <v>0</v>
      </c>
      <c r="V364" s="3">
        <v>36</v>
      </c>
      <c r="W364" s="3">
        <v>80</v>
      </c>
    </row>
    <row r="365" spans="1:23" ht="11.25" customHeight="1" x14ac:dyDescent="0.3">
      <c r="A365" s="3" t="s">
        <v>27</v>
      </c>
      <c r="B365" s="3" t="s">
        <v>40</v>
      </c>
      <c r="C365" s="3" t="s">
        <v>23</v>
      </c>
      <c r="D365" s="3" t="s">
        <v>41</v>
      </c>
      <c r="E365" s="3" t="s">
        <v>25</v>
      </c>
      <c r="F365" s="3" t="s">
        <v>25</v>
      </c>
      <c r="G365" s="3" t="s">
        <v>25</v>
      </c>
      <c r="H365" s="3" t="s">
        <v>25</v>
      </c>
      <c r="I365" s="6">
        <v>44531</v>
      </c>
      <c r="J365" s="4">
        <v>0</v>
      </c>
      <c r="K365" s="4">
        <v>0</v>
      </c>
      <c r="L365" s="4">
        <v>47.197000000000003</v>
      </c>
      <c r="M365" s="4">
        <v>47.197000000000003</v>
      </c>
      <c r="N365" s="4">
        <v>47.197000000000003</v>
      </c>
      <c r="O365" s="4">
        <v>47.197000000000003</v>
      </c>
      <c r="P365" s="4">
        <v>109</v>
      </c>
      <c r="Q365" s="3" t="s">
        <v>26</v>
      </c>
      <c r="R365" s="3">
        <v>0</v>
      </c>
      <c r="S365" s="3" t="s">
        <v>234</v>
      </c>
      <c r="T365" s="3" t="s">
        <v>359</v>
      </c>
      <c r="U365" s="3">
        <v>0</v>
      </c>
      <c r="V365" s="3">
        <v>36</v>
      </c>
      <c r="W365" s="3">
        <v>80</v>
      </c>
    </row>
    <row r="366" spans="1:23" ht="11.25" customHeight="1" x14ac:dyDescent="0.3">
      <c r="A366" s="3" t="s">
        <v>21</v>
      </c>
      <c r="B366" s="3" t="s">
        <v>40</v>
      </c>
      <c r="C366" s="3" t="s">
        <v>23</v>
      </c>
      <c r="D366" s="3" t="s">
        <v>41</v>
      </c>
      <c r="E366" s="3" t="s">
        <v>25</v>
      </c>
      <c r="F366" s="3" t="s">
        <v>25</v>
      </c>
      <c r="G366" s="3" t="s">
        <v>25</v>
      </c>
      <c r="H366" s="3" t="s">
        <v>25</v>
      </c>
      <c r="I366" s="6">
        <v>44562</v>
      </c>
      <c r="J366" s="4">
        <v>0</v>
      </c>
      <c r="K366" s="4">
        <v>0</v>
      </c>
      <c r="L366" s="4">
        <v>940.94</v>
      </c>
      <c r="M366" s="4">
        <v>940.94</v>
      </c>
      <c r="N366" s="4">
        <v>940.94</v>
      </c>
      <c r="O366" s="4">
        <v>940.94</v>
      </c>
      <c r="P366" s="4">
        <v>2457</v>
      </c>
      <c r="Q366" s="3" t="s">
        <v>26</v>
      </c>
      <c r="R366" s="3">
        <v>0</v>
      </c>
      <c r="S366" s="3" t="s">
        <v>235</v>
      </c>
      <c r="T366" s="3" t="s">
        <v>360</v>
      </c>
      <c r="U366" s="3">
        <v>0</v>
      </c>
      <c r="V366" s="3">
        <v>36</v>
      </c>
      <c r="W366" s="3">
        <v>80</v>
      </c>
    </row>
    <row r="367" spans="1:23" ht="11.25" customHeight="1" x14ac:dyDescent="0.3">
      <c r="A367" s="3" t="s">
        <v>27</v>
      </c>
      <c r="B367" s="3" t="s">
        <v>40</v>
      </c>
      <c r="C367" s="3" t="s">
        <v>23</v>
      </c>
      <c r="D367" s="3" t="s">
        <v>41</v>
      </c>
      <c r="E367" s="3" t="s">
        <v>25</v>
      </c>
      <c r="F367" s="3" t="s">
        <v>25</v>
      </c>
      <c r="G367" s="3" t="s">
        <v>25</v>
      </c>
      <c r="H367" s="3" t="s">
        <v>25</v>
      </c>
      <c r="I367" s="6">
        <v>44562</v>
      </c>
      <c r="J367" s="4">
        <v>0</v>
      </c>
      <c r="K367" s="4">
        <v>0</v>
      </c>
      <c r="L367" s="4">
        <v>43.276000000000003</v>
      </c>
      <c r="M367" s="4">
        <v>43.276000000000003</v>
      </c>
      <c r="N367" s="4">
        <v>43.276000000000003</v>
      </c>
      <c r="O367" s="4">
        <v>43.276000000000003</v>
      </c>
      <c r="P367" s="4">
        <v>112</v>
      </c>
      <c r="Q367" s="3" t="s">
        <v>26</v>
      </c>
      <c r="R367" s="3">
        <v>0</v>
      </c>
      <c r="S367" s="3" t="s">
        <v>235</v>
      </c>
      <c r="T367" s="3" t="s">
        <v>360</v>
      </c>
      <c r="U367" s="3">
        <v>0</v>
      </c>
      <c r="V367" s="3">
        <v>36</v>
      </c>
      <c r="W367" s="3">
        <v>80</v>
      </c>
    </row>
    <row r="368" spans="1:23" ht="11.25" customHeight="1" x14ac:dyDescent="0.3">
      <c r="A368" s="3" t="s">
        <v>21</v>
      </c>
      <c r="B368" s="3" t="s">
        <v>40</v>
      </c>
      <c r="C368" s="3" t="s">
        <v>23</v>
      </c>
      <c r="D368" s="3" t="s">
        <v>41</v>
      </c>
      <c r="E368" s="3" t="s">
        <v>25</v>
      </c>
      <c r="F368" s="3" t="s">
        <v>25</v>
      </c>
      <c r="G368" s="3" t="s">
        <v>25</v>
      </c>
      <c r="H368" s="3" t="s">
        <v>25</v>
      </c>
      <c r="I368" s="6">
        <v>44593</v>
      </c>
      <c r="J368" s="4">
        <v>0</v>
      </c>
      <c r="K368" s="4">
        <v>0</v>
      </c>
      <c r="L368" s="4">
        <v>1002.748</v>
      </c>
      <c r="M368" s="4">
        <v>1002.748</v>
      </c>
      <c r="N368" s="4">
        <v>1002.748</v>
      </c>
      <c r="O368" s="4">
        <v>1002.748</v>
      </c>
      <c r="P368" s="4">
        <v>2447</v>
      </c>
      <c r="Q368" s="3" t="s">
        <v>26</v>
      </c>
      <c r="R368" s="3">
        <v>0</v>
      </c>
      <c r="S368" s="3" t="s">
        <v>236</v>
      </c>
      <c r="T368" s="3" t="s">
        <v>361</v>
      </c>
      <c r="U368" s="3">
        <v>0</v>
      </c>
      <c r="V368" s="3">
        <v>36</v>
      </c>
      <c r="W368" s="3">
        <v>80</v>
      </c>
    </row>
    <row r="369" spans="1:23" ht="11.25" customHeight="1" x14ac:dyDescent="0.3">
      <c r="A369" s="3" t="s">
        <v>48</v>
      </c>
      <c r="B369" s="3" t="s">
        <v>40</v>
      </c>
      <c r="C369" s="3" t="s">
        <v>23</v>
      </c>
      <c r="D369" s="3" t="s">
        <v>41</v>
      </c>
      <c r="E369" s="3" t="s">
        <v>25</v>
      </c>
      <c r="F369" s="3" t="s">
        <v>25</v>
      </c>
      <c r="G369" s="3" t="s">
        <v>25</v>
      </c>
      <c r="H369" s="3" t="s">
        <v>25</v>
      </c>
      <c r="I369" s="6">
        <v>44593</v>
      </c>
      <c r="J369" s="4">
        <v>0</v>
      </c>
      <c r="K369" s="4">
        <v>0</v>
      </c>
      <c r="L369" s="4">
        <v>-0.46</v>
      </c>
      <c r="M369" s="4">
        <v>-0.46</v>
      </c>
      <c r="N369" s="4">
        <v>-0.46</v>
      </c>
      <c r="O369" s="4">
        <v>-0.46</v>
      </c>
      <c r="P369" s="4">
        <v>0</v>
      </c>
      <c r="Q369" s="3" t="s">
        <v>26</v>
      </c>
      <c r="R369" s="3">
        <v>0</v>
      </c>
      <c r="S369" s="3" t="s">
        <v>236</v>
      </c>
      <c r="T369" s="3" t="s">
        <v>361</v>
      </c>
      <c r="U369" s="3">
        <v>0</v>
      </c>
      <c r="V369" s="3">
        <v>36</v>
      </c>
      <c r="W369" s="3">
        <v>80</v>
      </c>
    </row>
    <row r="370" spans="1:23" ht="11.25" customHeight="1" x14ac:dyDescent="0.3">
      <c r="A370" s="3" t="s">
        <v>27</v>
      </c>
      <c r="B370" s="3" t="s">
        <v>40</v>
      </c>
      <c r="C370" s="3" t="s">
        <v>23</v>
      </c>
      <c r="D370" s="3" t="s">
        <v>41</v>
      </c>
      <c r="E370" s="3" t="s">
        <v>25</v>
      </c>
      <c r="F370" s="3" t="s">
        <v>25</v>
      </c>
      <c r="G370" s="3" t="s">
        <v>25</v>
      </c>
      <c r="H370" s="3" t="s">
        <v>25</v>
      </c>
      <c r="I370" s="6">
        <v>44593</v>
      </c>
      <c r="J370" s="4">
        <v>0</v>
      </c>
      <c r="K370" s="4">
        <v>0</v>
      </c>
      <c r="L370" s="4">
        <v>51.188000000000002</v>
      </c>
      <c r="M370" s="4">
        <v>51.188000000000002</v>
      </c>
      <c r="N370" s="4">
        <v>51.188000000000002</v>
      </c>
      <c r="O370" s="4">
        <v>51.188000000000002</v>
      </c>
      <c r="P370" s="4">
        <v>118</v>
      </c>
      <c r="Q370" s="3" t="s">
        <v>26</v>
      </c>
      <c r="R370" s="3">
        <v>0</v>
      </c>
      <c r="S370" s="3" t="s">
        <v>236</v>
      </c>
      <c r="T370" s="3" t="s">
        <v>361</v>
      </c>
      <c r="U370" s="3">
        <v>0</v>
      </c>
      <c r="V370" s="3">
        <v>36</v>
      </c>
      <c r="W370" s="3">
        <v>80</v>
      </c>
    </row>
    <row r="371" spans="1:23" ht="11.25" customHeight="1" x14ac:dyDescent="0.3">
      <c r="A371" s="3" t="s">
        <v>21</v>
      </c>
      <c r="B371" s="3" t="s">
        <v>40</v>
      </c>
      <c r="C371" s="3" t="s">
        <v>23</v>
      </c>
      <c r="D371" s="3" t="s">
        <v>41</v>
      </c>
      <c r="E371" s="3" t="s">
        <v>25</v>
      </c>
      <c r="F371" s="3" t="s">
        <v>25</v>
      </c>
      <c r="G371" s="3" t="s">
        <v>25</v>
      </c>
      <c r="H371" s="3" t="s">
        <v>25</v>
      </c>
      <c r="I371" s="6">
        <v>44621</v>
      </c>
      <c r="J371" s="4">
        <v>0</v>
      </c>
      <c r="K371" s="4">
        <v>0</v>
      </c>
      <c r="L371" s="4">
        <v>892.37699999999995</v>
      </c>
      <c r="M371" s="4">
        <v>892.37699999999995</v>
      </c>
      <c r="N371" s="4">
        <v>892.37699999999995</v>
      </c>
      <c r="O371" s="4">
        <v>892.37699999999995</v>
      </c>
      <c r="P371" s="4">
        <v>2436</v>
      </c>
      <c r="Q371" s="3" t="s">
        <v>26</v>
      </c>
      <c r="R371" s="3">
        <v>0</v>
      </c>
      <c r="S371" s="3" t="s">
        <v>237</v>
      </c>
      <c r="T371" s="3" t="s">
        <v>362</v>
      </c>
      <c r="U371" s="3">
        <v>0</v>
      </c>
      <c r="V371" s="3">
        <v>36</v>
      </c>
      <c r="W371" s="3">
        <v>80</v>
      </c>
    </row>
    <row r="372" spans="1:23" ht="11.25" customHeight="1" x14ac:dyDescent="0.3">
      <c r="A372" s="3" t="s">
        <v>27</v>
      </c>
      <c r="B372" s="3" t="s">
        <v>40</v>
      </c>
      <c r="C372" s="3" t="s">
        <v>23</v>
      </c>
      <c r="D372" s="3" t="s">
        <v>41</v>
      </c>
      <c r="E372" s="3" t="s">
        <v>25</v>
      </c>
      <c r="F372" s="3" t="s">
        <v>25</v>
      </c>
      <c r="G372" s="3" t="s">
        <v>25</v>
      </c>
      <c r="H372" s="3" t="s">
        <v>25</v>
      </c>
      <c r="I372" s="6">
        <v>44621</v>
      </c>
      <c r="J372" s="4">
        <v>0</v>
      </c>
      <c r="K372" s="4">
        <v>0</v>
      </c>
      <c r="L372" s="4">
        <v>72.465000000000003</v>
      </c>
      <c r="M372" s="4">
        <v>72.465000000000003</v>
      </c>
      <c r="N372" s="4">
        <v>72.465000000000003</v>
      </c>
      <c r="O372" s="4">
        <v>72.465000000000003</v>
      </c>
      <c r="P372" s="4">
        <v>128</v>
      </c>
      <c r="Q372" s="3" t="s">
        <v>26</v>
      </c>
      <c r="R372" s="3">
        <v>0</v>
      </c>
      <c r="S372" s="3" t="s">
        <v>237</v>
      </c>
      <c r="T372" s="3" t="s">
        <v>362</v>
      </c>
      <c r="U372" s="3">
        <v>0</v>
      </c>
      <c r="V372" s="3">
        <v>36</v>
      </c>
      <c r="W372" s="3">
        <v>80</v>
      </c>
    </row>
    <row r="373" spans="1:23" ht="11.25" customHeight="1" x14ac:dyDescent="0.3">
      <c r="A373" s="3" t="s">
        <v>21</v>
      </c>
      <c r="B373" s="3" t="s">
        <v>40</v>
      </c>
      <c r="C373" s="3" t="s">
        <v>23</v>
      </c>
      <c r="D373" s="3" t="s">
        <v>41</v>
      </c>
      <c r="E373" s="3" t="s">
        <v>25</v>
      </c>
      <c r="F373" s="3" t="s">
        <v>25</v>
      </c>
      <c r="G373" s="3" t="s">
        <v>25</v>
      </c>
      <c r="H373" s="3" t="s">
        <v>25</v>
      </c>
      <c r="I373" s="6">
        <v>44652</v>
      </c>
      <c r="J373" s="4">
        <v>0</v>
      </c>
      <c r="K373" s="4">
        <v>0</v>
      </c>
      <c r="L373" s="4">
        <v>769.93399999999997</v>
      </c>
      <c r="M373" s="4">
        <v>769.93399999999997</v>
      </c>
      <c r="N373" s="4">
        <v>769.93399999999997</v>
      </c>
      <c r="O373" s="4">
        <v>769.93399999999997</v>
      </c>
      <c r="P373" s="4">
        <v>2423</v>
      </c>
      <c r="Q373" s="3" t="s">
        <v>26</v>
      </c>
      <c r="R373" s="3">
        <v>0</v>
      </c>
      <c r="S373" s="3" t="s">
        <v>238</v>
      </c>
      <c r="T373" s="3" t="s">
        <v>363</v>
      </c>
      <c r="U373" s="3">
        <v>0</v>
      </c>
      <c r="V373" s="3">
        <v>36</v>
      </c>
      <c r="W373" s="3">
        <v>80</v>
      </c>
    </row>
    <row r="374" spans="1:23" ht="11.25" customHeight="1" x14ac:dyDescent="0.3">
      <c r="A374" s="3" t="s">
        <v>27</v>
      </c>
      <c r="B374" s="3" t="s">
        <v>40</v>
      </c>
      <c r="C374" s="3" t="s">
        <v>23</v>
      </c>
      <c r="D374" s="3" t="s">
        <v>41</v>
      </c>
      <c r="E374" s="3" t="s">
        <v>25</v>
      </c>
      <c r="F374" s="3" t="s">
        <v>25</v>
      </c>
      <c r="G374" s="3" t="s">
        <v>25</v>
      </c>
      <c r="H374" s="3" t="s">
        <v>25</v>
      </c>
      <c r="I374" s="6">
        <v>44652</v>
      </c>
      <c r="J374" s="4">
        <v>0</v>
      </c>
      <c r="K374" s="4">
        <v>0</v>
      </c>
      <c r="L374" s="4">
        <v>79.855000000000004</v>
      </c>
      <c r="M374" s="4">
        <v>79.855000000000004</v>
      </c>
      <c r="N374" s="4">
        <v>79.855000000000004</v>
      </c>
      <c r="O374" s="4">
        <v>79.855000000000004</v>
      </c>
      <c r="P374" s="4">
        <v>138</v>
      </c>
      <c r="Q374" s="3" t="s">
        <v>26</v>
      </c>
      <c r="R374" s="3">
        <v>0</v>
      </c>
      <c r="S374" s="3" t="s">
        <v>238</v>
      </c>
      <c r="T374" s="3" t="s">
        <v>363</v>
      </c>
      <c r="U374" s="3">
        <v>0</v>
      </c>
      <c r="V374" s="3">
        <v>36</v>
      </c>
      <c r="W374" s="3">
        <v>80</v>
      </c>
    </row>
    <row r="375" spans="1:23" ht="11.25" customHeight="1" x14ac:dyDescent="0.3">
      <c r="A375" s="3" t="s">
        <v>27</v>
      </c>
      <c r="B375" s="3" t="s">
        <v>40</v>
      </c>
      <c r="C375" s="3" t="s">
        <v>23</v>
      </c>
      <c r="D375" s="3" t="s">
        <v>41</v>
      </c>
      <c r="E375" s="3" t="s">
        <v>25</v>
      </c>
      <c r="F375" s="3" t="s">
        <v>25</v>
      </c>
      <c r="G375" s="3" t="s">
        <v>25</v>
      </c>
      <c r="H375" s="3" t="s">
        <v>25</v>
      </c>
      <c r="I375" s="6">
        <v>44652</v>
      </c>
      <c r="J375" s="4">
        <v>0</v>
      </c>
      <c r="K375" s="4">
        <v>0</v>
      </c>
      <c r="L375" s="4">
        <v>-2.6030000000000002</v>
      </c>
      <c r="M375" s="4">
        <v>-2.6030000000000002</v>
      </c>
      <c r="N375" s="4">
        <v>-2.6030000000000002</v>
      </c>
      <c r="O375" s="4">
        <v>-2.6030000000000002</v>
      </c>
      <c r="P375" s="4">
        <v>2</v>
      </c>
      <c r="Q375" s="3" t="s">
        <v>26</v>
      </c>
      <c r="R375" s="3">
        <v>0</v>
      </c>
      <c r="S375" s="3" t="s">
        <v>238</v>
      </c>
      <c r="T375" s="3" t="s">
        <v>363</v>
      </c>
      <c r="U375" s="3">
        <v>0</v>
      </c>
      <c r="V375" s="3">
        <v>36</v>
      </c>
      <c r="W375" s="3">
        <v>80</v>
      </c>
    </row>
    <row r="376" spans="1:23" ht="11.25" customHeight="1" x14ac:dyDescent="0.3">
      <c r="A376" s="3" t="s">
        <v>21</v>
      </c>
      <c r="B376" s="3" t="s">
        <v>40</v>
      </c>
      <c r="C376" s="3" t="s">
        <v>23</v>
      </c>
      <c r="D376" s="3" t="s">
        <v>41</v>
      </c>
      <c r="E376" s="3" t="s">
        <v>25</v>
      </c>
      <c r="F376" s="3" t="s">
        <v>25</v>
      </c>
      <c r="G376" s="3" t="s">
        <v>25</v>
      </c>
      <c r="H376" s="3" t="s">
        <v>25</v>
      </c>
      <c r="I376" s="6">
        <v>44682</v>
      </c>
      <c r="J376" s="4">
        <v>0</v>
      </c>
      <c r="K376" s="4">
        <v>0</v>
      </c>
      <c r="L376" s="4">
        <v>781.57899999999995</v>
      </c>
      <c r="M376" s="4">
        <v>781.57899999999995</v>
      </c>
      <c r="N376" s="4">
        <v>781.57899999999995</v>
      </c>
      <c r="O376" s="4">
        <v>781.57899999999995</v>
      </c>
      <c r="P376" s="4">
        <v>2400</v>
      </c>
      <c r="Q376" s="3" t="s">
        <v>26</v>
      </c>
      <c r="R376" s="3">
        <v>0</v>
      </c>
      <c r="S376" s="3" t="s">
        <v>239</v>
      </c>
      <c r="T376" s="3" t="s">
        <v>364</v>
      </c>
      <c r="U376" s="3">
        <v>0</v>
      </c>
      <c r="V376" s="3">
        <v>36</v>
      </c>
      <c r="W376" s="3">
        <v>80</v>
      </c>
    </row>
    <row r="377" spans="1:23" ht="11.25" customHeight="1" x14ac:dyDescent="0.3">
      <c r="A377" s="3" t="s">
        <v>27</v>
      </c>
      <c r="B377" s="3" t="s">
        <v>40</v>
      </c>
      <c r="C377" s="3" t="s">
        <v>23</v>
      </c>
      <c r="D377" s="3" t="s">
        <v>41</v>
      </c>
      <c r="E377" s="3" t="s">
        <v>25</v>
      </c>
      <c r="F377" s="3" t="s">
        <v>25</v>
      </c>
      <c r="G377" s="3" t="s">
        <v>25</v>
      </c>
      <c r="H377" s="3" t="s">
        <v>25</v>
      </c>
      <c r="I377" s="6">
        <v>44682</v>
      </c>
      <c r="J377" s="4">
        <v>0</v>
      </c>
      <c r="K377" s="4">
        <v>0</v>
      </c>
      <c r="L377" s="4">
        <v>80</v>
      </c>
      <c r="M377" s="4">
        <v>80</v>
      </c>
      <c r="N377" s="4">
        <v>80</v>
      </c>
      <c r="O377" s="4">
        <v>80</v>
      </c>
      <c r="P377" s="4">
        <v>151</v>
      </c>
      <c r="Q377" s="3" t="s">
        <v>26</v>
      </c>
      <c r="R377" s="3">
        <v>0</v>
      </c>
      <c r="S377" s="3" t="s">
        <v>239</v>
      </c>
      <c r="T377" s="3" t="s">
        <v>364</v>
      </c>
      <c r="U377" s="3">
        <v>0</v>
      </c>
      <c r="V377" s="3">
        <v>36</v>
      </c>
      <c r="W377" s="3">
        <v>80</v>
      </c>
    </row>
    <row r="378" spans="1:23" ht="11.25" customHeight="1" x14ac:dyDescent="0.3">
      <c r="A378" s="3" t="s">
        <v>21</v>
      </c>
      <c r="B378" s="3" t="s">
        <v>40</v>
      </c>
      <c r="C378" s="3" t="s">
        <v>23</v>
      </c>
      <c r="D378" s="3" t="s">
        <v>41</v>
      </c>
      <c r="E378" s="3" t="s">
        <v>25</v>
      </c>
      <c r="F378" s="3" t="s">
        <v>25</v>
      </c>
      <c r="G378" s="3" t="s">
        <v>25</v>
      </c>
      <c r="H378" s="3" t="s">
        <v>25</v>
      </c>
      <c r="I378" s="6">
        <v>44713</v>
      </c>
      <c r="J378" s="4">
        <v>0</v>
      </c>
      <c r="K378" s="4">
        <v>0</v>
      </c>
      <c r="L378" s="4">
        <v>823.94200000000001</v>
      </c>
      <c r="M378" s="4">
        <v>823.94200000000001</v>
      </c>
      <c r="N378" s="4">
        <v>823.94200000000001</v>
      </c>
      <c r="O378" s="4">
        <v>823.94200000000001</v>
      </c>
      <c r="P378" s="4">
        <v>2394</v>
      </c>
      <c r="Q378" s="3" t="s">
        <v>26</v>
      </c>
      <c r="R378" s="3">
        <v>0</v>
      </c>
      <c r="S378" s="3" t="s">
        <v>240</v>
      </c>
      <c r="T378" s="3" t="s">
        <v>365</v>
      </c>
      <c r="U378" s="3">
        <v>0</v>
      </c>
      <c r="V378" s="3">
        <v>36</v>
      </c>
      <c r="W378" s="3">
        <v>80</v>
      </c>
    </row>
    <row r="379" spans="1:23" ht="11.25" customHeight="1" x14ac:dyDescent="0.3">
      <c r="A379" s="3" t="s">
        <v>48</v>
      </c>
      <c r="B379" s="3" t="s">
        <v>40</v>
      </c>
      <c r="C379" s="3" t="s">
        <v>23</v>
      </c>
      <c r="D379" s="3" t="s">
        <v>41</v>
      </c>
      <c r="E379" s="3" t="s">
        <v>25</v>
      </c>
      <c r="F379" s="3" t="s">
        <v>25</v>
      </c>
      <c r="G379" s="3" t="s">
        <v>25</v>
      </c>
      <c r="H379" s="3" t="s">
        <v>25</v>
      </c>
      <c r="I379" s="6">
        <v>44713</v>
      </c>
      <c r="J379" s="4">
        <v>0</v>
      </c>
      <c r="K379" s="4">
        <v>0</v>
      </c>
      <c r="L379" s="4">
        <v>0.66</v>
      </c>
      <c r="M379" s="4">
        <v>0.66</v>
      </c>
      <c r="N379" s="4">
        <v>0.66</v>
      </c>
      <c r="O379" s="4">
        <v>0.66</v>
      </c>
      <c r="P379" s="4">
        <v>0</v>
      </c>
      <c r="Q379" s="3" t="s">
        <v>26</v>
      </c>
      <c r="R379" s="3">
        <v>0</v>
      </c>
      <c r="S379" s="3" t="s">
        <v>240</v>
      </c>
      <c r="T379" s="3" t="s">
        <v>365</v>
      </c>
      <c r="U379" s="3">
        <v>0</v>
      </c>
      <c r="V379" s="3">
        <v>36</v>
      </c>
      <c r="W379" s="3">
        <v>80</v>
      </c>
    </row>
    <row r="380" spans="1:23" ht="11.25" customHeight="1" x14ac:dyDescent="0.3">
      <c r="A380" s="3" t="s">
        <v>27</v>
      </c>
      <c r="B380" s="3" t="s">
        <v>40</v>
      </c>
      <c r="C380" s="3" t="s">
        <v>23</v>
      </c>
      <c r="D380" s="3" t="s">
        <v>41</v>
      </c>
      <c r="E380" s="3" t="s">
        <v>25</v>
      </c>
      <c r="F380" s="3" t="s">
        <v>25</v>
      </c>
      <c r="G380" s="3" t="s">
        <v>25</v>
      </c>
      <c r="H380" s="3" t="s">
        <v>25</v>
      </c>
      <c r="I380" s="6">
        <v>44713</v>
      </c>
      <c r="J380" s="4">
        <v>0</v>
      </c>
      <c r="K380" s="4">
        <v>0</v>
      </c>
      <c r="L380" s="4">
        <v>105.79600000000001</v>
      </c>
      <c r="M380" s="4">
        <v>105.79600000000001</v>
      </c>
      <c r="N380" s="4">
        <v>105.79600000000001</v>
      </c>
      <c r="O380" s="4">
        <v>105.79600000000001</v>
      </c>
      <c r="P380" s="4">
        <v>153</v>
      </c>
      <c r="Q380" s="3" t="s">
        <v>26</v>
      </c>
      <c r="R380" s="3">
        <v>0</v>
      </c>
      <c r="S380" s="3" t="s">
        <v>240</v>
      </c>
      <c r="T380" s="3" t="s">
        <v>365</v>
      </c>
      <c r="U380" s="3">
        <v>0</v>
      </c>
      <c r="V380" s="3">
        <v>36</v>
      </c>
      <c r="W380" s="3">
        <v>80</v>
      </c>
    </row>
    <row r="381" spans="1:23" ht="11.25" customHeight="1" x14ac:dyDescent="0.3">
      <c r="A381" s="3" t="s">
        <v>21</v>
      </c>
      <c r="B381" s="3" t="s">
        <v>40</v>
      </c>
      <c r="C381" s="3" t="s">
        <v>23</v>
      </c>
      <c r="D381" s="3" t="s">
        <v>41</v>
      </c>
      <c r="E381" s="3" t="s">
        <v>25</v>
      </c>
      <c r="F381" s="3" t="s">
        <v>25</v>
      </c>
      <c r="G381" s="3" t="s">
        <v>25</v>
      </c>
      <c r="H381" s="3" t="s">
        <v>25</v>
      </c>
      <c r="I381" s="6">
        <v>44743</v>
      </c>
      <c r="J381" s="4">
        <v>0</v>
      </c>
      <c r="K381" s="4">
        <v>0</v>
      </c>
      <c r="L381" s="4">
        <v>803.98800000000006</v>
      </c>
      <c r="M381" s="4">
        <v>803.98800000000006</v>
      </c>
      <c r="N381" s="4">
        <v>803.98800000000006</v>
      </c>
      <c r="O381" s="4">
        <v>803.98800000000006</v>
      </c>
      <c r="P381" s="4">
        <v>2383</v>
      </c>
      <c r="Q381" s="3" t="s">
        <v>26</v>
      </c>
      <c r="R381" s="3">
        <v>0</v>
      </c>
      <c r="S381" s="3" t="s">
        <v>241</v>
      </c>
      <c r="T381" s="3" t="s">
        <v>366</v>
      </c>
      <c r="U381" s="3">
        <v>0</v>
      </c>
      <c r="V381" s="3">
        <v>36</v>
      </c>
      <c r="W381" s="3">
        <v>80</v>
      </c>
    </row>
    <row r="382" spans="1:23" ht="11.25" customHeight="1" x14ac:dyDescent="0.3">
      <c r="A382" s="3" t="s">
        <v>27</v>
      </c>
      <c r="B382" s="3" t="s">
        <v>40</v>
      </c>
      <c r="C382" s="3" t="s">
        <v>23</v>
      </c>
      <c r="D382" s="3" t="s">
        <v>41</v>
      </c>
      <c r="E382" s="3" t="s">
        <v>25</v>
      </c>
      <c r="F382" s="3" t="s">
        <v>25</v>
      </c>
      <c r="G382" s="3" t="s">
        <v>25</v>
      </c>
      <c r="H382" s="3" t="s">
        <v>25</v>
      </c>
      <c r="I382" s="6">
        <v>44743</v>
      </c>
      <c r="J382" s="4">
        <v>0</v>
      </c>
      <c r="K382" s="4">
        <v>0</v>
      </c>
      <c r="L382" s="4">
        <v>122.72499999999999</v>
      </c>
      <c r="M382" s="4">
        <v>122.72499999999999</v>
      </c>
      <c r="N382" s="4">
        <v>122.72499999999999</v>
      </c>
      <c r="O382" s="4">
        <v>122.72499999999999</v>
      </c>
      <c r="P382" s="4">
        <v>162</v>
      </c>
      <c r="Q382" s="3" t="s">
        <v>26</v>
      </c>
      <c r="R382" s="3">
        <v>0</v>
      </c>
      <c r="S382" s="3" t="s">
        <v>241</v>
      </c>
      <c r="T382" s="3" t="s">
        <v>366</v>
      </c>
      <c r="U382" s="3">
        <v>0</v>
      </c>
      <c r="V382" s="3">
        <v>36</v>
      </c>
      <c r="W382" s="3">
        <v>80</v>
      </c>
    </row>
    <row r="383" spans="1:23" ht="11.25" customHeight="1" x14ac:dyDescent="0.3">
      <c r="A383" s="3" t="s">
        <v>27</v>
      </c>
      <c r="B383" s="3" t="s">
        <v>40</v>
      </c>
      <c r="C383" s="3" t="s">
        <v>23</v>
      </c>
      <c r="D383" s="3" t="s">
        <v>41</v>
      </c>
      <c r="E383" s="3" t="s">
        <v>25</v>
      </c>
      <c r="F383" s="3" t="s">
        <v>25</v>
      </c>
      <c r="G383" s="3" t="s">
        <v>25</v>
      </c>
      <c r="H383" s="3" t="s">
        <v>25</v>
      </c>
      <c r="I383" s="6">
        <v>44743</v>
      </c>
      <c r="J383" s="4">
        <v>0</v>
      </c>
      <c r="K383" s="4">
        <v>0</v>
      </c>
      <c r="L383" s="4">
        <v>-4.1040000000000001</v>
      </c>
      <c r="M383" s="4">
        <v>-4.1040000000000001</v>
      </c>
      <c r="N383" s="4">
        <v>-4.1040000000000001</v>
      </c>
      <c r="O383" s="4">
        <v>-4.1040000000000001</v>
      </c>
      <c r="P383" s="4">
        <v>0</v>
      </c>
      <c r="Q383" s="3" t="s">
        <v>26</v>
      </c>
      <c r="R383" s="3">
        <v>0</v>
      </c>
      <c r="S383" s="3" t="s">
        <v>241</v>
      </c>
      <c r="T383" s="3" t="s">
        <v>366</v>
      </c>
      <c r="U383" s="3">
        <v>0</v>
      </c>
      <c r="V383" s="3">
        <v>36</v>
      </c>
      <c r="W383" s="3">
        <v>80</v>
      </c>
    </row>
    <row r="384" spans="1:23" ht="11.25" customHeight="1" x14ac:dyDescent="0.3">
      <c r="A384" s="3" t="s">
        <v>53</v>
      </c>
      <c r="B384" s="3" t="s">
        <v>40</v>
      </c>
      <c r="C384" s="3" t="s">
        <v>23</v>
      </c>
      <c r="D384" s="3" t="s">
        <v>41</v>
      </c>
      <c r="E384" s="3" t="s">
        <v>25</v>
      </c>
      <c r="F384" s="3" t="s">
        <v>25</v>
      </c>
      <c r="G384" s="3" t="s">
        <v>25</v>
      </c>
      <c r="H384" s="3" t="s">
        <v>25</v>
      </c>
      <c r="I384" s="6">
        <v>44774</v>
      </c>
      <c r="J384" s="4">
        <v>0</v>
      </c>
      <c r="K384" s="4">
        <v>0</v>
      </c>
      <c r="L384" s="4">
        <v>803.98800000000006</v>
      </c>
      <c r="M384" s="4">
        <v>803.98800000000006</v>
      </c>
      <c r="N384" s="4">
        <v>803.98800000000006</v>
      </c>
      <c r="O384" s="4">
        <v>803.98800000000006</v>
      </c>
      <c r="P384" s="4">
        <v>2383</v>
      </c>
      <c r="Q384" s="3" t="s">
        <v>26</v>
      </c>
      <c r="R384" s="3">
        <v>0</v>
      </c>
      <c r="S384" s="3" t="s">
        <v>242</v>
      </c>
      <c r="T384" s="3" t="s">
        <v>367</v>
      </c>
      <c r="U384" s="3">
        <v>0</v>
      </c>
      <c r="V384" s="3">
        <v>36</v>
      </c>
      <c r="W384" s="3">
        <v>80</v>
      </c>
    </row>
    <row r="385" spans="1:23" ht="11.25" customHeight="1" x14ac:dyDescent="0.3">
      <c r="A385" s="3" t="s">
        <v>53</v>
      </c>
      <c r="B385" s="3" t="s">
        <v>40</v>
      </c>
      <c r="C385" s="3" t="s">
        <v>23</v>
      </c>
      <c r="D385" s="3" t="s">
        <v>41</v>
      </c>
      <c r="E385" s="3" t="s">
        <v>25</v>
      </c>
      <c r="F385" s="3" t="s">
        <v>25</v>
      </c>
      <c r="G385" s="3" t="s">
        <v>25</v>
      </c>
      <c r="H385" s="3" t="s">
        <v>25</v>
      </c>
      <c r="I385" s="6">
        <v>44774</v>
      </c>
      <c r="J385" s="4">
        <v>0</v>
      </c>
      <c r="K385" s="4">
        <v>0</v>
      </c>
      <c r="L385" s="4">
        <v>122.72499999999999</v>
      </c>
      <c r="M385" s="4">
        <v>122.72499999999999</v>
      </c>
      <c r="N385" s="4">
        <v>122.72499999999999</v>
      </c>
      <c r="O385" s="4">
        <v>122.72499999999999</v>
      </c>
      <c r="P385" s="4">
        <v>162</v>
      </c>
      <c r="Q385" s="3" t="s">
        <v>26</v>
      </c>
      <c r="R385" s="3">
        <v>0</v>
      </c>
      <c r="S385" s="3" t="s">
        <v>242</v>
      </c>
      <c r="T385" s="3" t="s">
        <v>367</v>
      </c>
      <c r="U385" s="3">
        <v>0</v>
      </c>
      <c r="V385" s="3">
        <v>36</v>
      </c>
      <c r="W385" s="3">
        <v>80</v>
      </c>
    </row>
    <row r="386" spans="1:23" ht="11.25" customHeight="1" x14ac:dyDescent="0.3">
      <c r="A386" s="3" t="s">
        <v>53</v>
      </c>
      <c r="B386" s="3" t="s">
        <v>40</v>
      </c>
      <c r="C386" s="3" t="s">
        <v>23</v>
      </c>
      <c r="D386" s="3" t="s">
        <v>41</v>
      </c>
      <c r="E386" s="3" t="s">
        <v>25</v>
      </c>
      <c r="F386" s="3" t="s">
        <v>25</v>
      </c>
      <c r="G386" s="3" t="s">
        <v>25</v>
      </c>
      <c r="H386" s="3" t="s">
        <v>25</v>
      </c>
      <c r="I386" s="6">
        <v>44774</v>
      </c>
      <c r="J386" s="4">
        <v>0</v>
      </c>
      <c r="K386" s="4">
        <v>0</v>
      </c>
      <c r="L386" s="4">
        <v>-4.1040000000000001</v>
      </c>
      <c r="M386" s="4">
        <v>-4.1040000000000001</v>
      </c>
      <c r="N386" s="4">
        <v>-4.1040000000000001</v>
      </c>
      <c r="O386" s="4">
        <v>-4.1040000000000001</v>
      </c>
      <c r="P386" s="4">
        <v>0</v>
      </c>
      <c r="Q386" s="3" t="s">
        <v>26</v>
      </c>
      <c r="R386" s="3">
        <v>0</v>
      </c>
      <c r="S386" s="3" t="s">
        <v>242</v>
      </c>
      <c r="T386" s="3" t="s">
        <v>367</v>
      </c>
      <c r="U386" s="3">
        <v>0</v>
      </c>
      <c r="V386" s="3">
        <v>36</v>
      </c>
      <c r="W386" s="3">
        <v>80</v>
      </c>
    </row>
    <row r="387" spans="1:23" ht="11.25" customHeight="1" x14ac:dyDescent="0.3">
      <c r="A387" s="3" t="s">
        <v>21</v>
      </c>
      <c r="B387" s="3" t="s">
        <v>32</v>
      </c>
      <c r="C387" s="3" t="s">
        <v>23</v>
      </c>
      <c r="D387" s="3" t="s">
        <v>39</v>
      </c>
      <c r="E387" s="3" t="s">
        <v>25</v>
      </c>
      <c r="F387" s="3" t="s">
        <v>25</v>
      </c>
      <c r="G387" s="3" t="s">
        <v>25</v>
      </c>
      <c r="H387" s="3" t="s">
        <v>25</v>
      </c>
      <c r="I387" s="6">
        <v>44440</v>
      </c>
      <c r="J387" s="4">
        <v>0</v>
      </c>
      <c r="K387" s="4">
        <v>0</v>
      </c>
      <c r="L387" s="4">
        <v>242.78700000000001</v>
      </c>
      <c r="M387" s="4">
        <v>242.78700000000001</v>
      </c>
      <c r="N387" s="4">
        <v>242.78700000000001</v>
      </c>
      <c r="O387" s="4">
        <v>242.78700000000001</v>
      </c>
      <c r="P387" s="4">
        <v>478</v>
      </c>
      <c r="Q387" s="3" t="s">
        <v>26</v>
      </c>
      <c r="R387" s="3">
        <v>0</v>
      </c>
      <c r="S387" s="3" t="s">
        <v>243</v>
      </c>
      <c r="T387" s="3" t="s">
        <v>368</v>
      </c>
      <c r="U387" s="3">
        <v>0</v>
      </c>
      <c r="V387" s="3">
        <v>27</v>
      </c>
      <c r="W387" s="3">
        <v>76</v>
      </c>
    </row>
    <row r="388" spans="1:23" ht="11.25" customHeight="1" x14ac:dyDescent="0.3">
      <c r="A388" s="3" t="s">
        <v>27</v>
      </c>
      <c r="B388" s="3" t="s">
        <v>32</v>
      </c>
      <c r="C388" s="3" t="s">
        <v>23</v>
      </c>
      <c r="D388" s="3" t="s">
        <v>39</v>
      </c>
      <c r="E388" s="3" t="s">
        <v>25</v>
      </c>
      <c r="F388" s="3" t="s">
        <v>25</v>
      </c>
      <c r="G388" s="3" t="s">
        <v>25</v>
      </c>
      <c r="H388" s="3" t="s">
        <v>25</v>
      </c>
      <c r="I388" s="6">
        <v>44440</v>
      </c>
      <c r="J388" s="4">
        <v>0</v>
      </c>
      <c r="K388" s="4">
        <v>0</v>
      </c>
      <c r="L388" s="4">
        <v>21.02</v>
      </c>
      <c r="M388" s="4">
        <v>21.02</v>
      </c>
      <c r="N388" s="4">
        <v>21.02</v>
      </c>
      <c r="O388" s="4">
        <v>21.02</v>
      </c>
      <c r="P388" s="4">
        <v>55</v>
      </c>
      <c r="Q388" s="3" t="s">
        <v>26</v>
      </c>
      <c r="R388" s="3">
        <v>0</v>
      </c>
      <c r="S388" s="3" t="s">
        <v>243</v>
      </c>
      <c r="T388" s="3" t="s">
        <v>368</v>
      </c>
      <c r="U388" s="3">
        <v>0</v>
      </c>
      <c r="V388" s="3">
        <v>27</v>
      </c>
      <c r="W388" s="3">
        <v>76</v>
      </c>
    </row>
    <row r="389" spans="1:23" ht="11.25" customHeight="1" x14ac:dyDescent="0.3">
      <c r="A389" s="3" t="s">
        <v>21</v>
      </c>
      <c r="B389" s="3" t="s">
        <v>32</v>
      </c>
      <c r="C389" s="3" t="s">
        <v>23</v>
      </c>
      <c r="D389" s="3" t="s">
        <v>39</v>
      </c>
      <c r="E389" s="3" t="s">
        <v>25</v>
      </c>
      <c r="F389" s="3" t="s">
        <v>25</v>
      </c>
      <c r="G389" s="3" t="s">
        <v>25</v>
      </c>
      <c r="H389" s="3" t="s">
        <v>25</v>
      </c>
      <c r="I389" s="6">
        <v>44470</v>
      </c>
      <c r="J389" s="4">
        <v>0</v>
      </c>
      <c r="K389" s="4">
        <v>0</v>
      </c>
      <c r="L389" s="4">
        <v>242.93</v>
      </c>
      <c r="M389" s="4">
        <v>242.93</v>
      </c>
      <c r="N389" s="4">
        <v>242.93</v>
      </c>
      <c r="O389" s="4">
        <v>242.93</v>
      </c>
      <c r="P389" s="4">
        <v>479</v>
      </c>
      <c r="Q389" s="3" t="s">
        <v>26</v>
      </c>
      <c r="R389" s="3">
        <v>0</v>
      </c>
      <c r="S389" s="3" t="s">
        <v>244</v>
      </c>
      <c r="T389" s="3" t="s">
        <v>369</v>
      </c>
      <c r="U389" s="3">
        <v>0</v>
      </c>
      <c r="V389" s="3">
        <v>27</v>
      </c>
      <c r="W389" s="3">
        <v>76</v>
      </c>
    </row>
    <row r="390" spans="1:23" ht="11.25" customHeight="1" x14ac:dyDescent="0.3">
      <c r="A390" s="3" t="s">
        <v>27</v>
      </c>
      <c r="B390" s="3" t="s">
        <v>32</v>
      </c>
      <c r="C390" s="3" t="s">
        <v>23</v>
      </c>
      <c r="D390" s="3" t="s">
        <v>39</v>
      </c>
      <c r="E390" s="3" t="s">
        <v>25</v>
      </c>
      <c r="F390" s="3" t="s">
        <v>25</v>
      </c>
      <c r="G390" s="3" t="s">
        <v>25</v>
      </c>
      <c r="H390" s="3" t="s">
        <v>25</v>
      </c>
      <c r="I390" s="6">
        <v>44470</v>
      </c>
      <c r="J390" s="4">
        <v>0</v>
      </c>
      <c r="K390" s="4">
        <v>0</v>
      </c>
      <c r="L390" s="4">
        <v>21.309000000000001</v>
      </c>
      <c r="M390" s="4">
        <v>21.309000000000001</v>
      </c>
      <c r="N390" s="4">
        <v>21.309000000000001</v>
      </c>
      <c r="O390" s="4">
        <v>21.309000000000001</v>
      </c>
      <c r="P390" s="4">
        <v>55</v>
      </c>
      <c r="Q390" s="3" t="s">
        <v>26</v>
      </c>
      <c r="R390" s="3">
        <v>0</v>
      </c>
      <c r="S390" s="3" t="s">
        <v>244</v>
      </c>
      <c r="T390" s="3" t="s">
        <v>369</v>
      </c>
      <c r="U390" s="3">
        <v>0</v>
      </c>
      <c r="V390" s="3">
        <v>27</v>
      </c>
      <c r="W390" s="3">
        <v>76</v>
      </c>
    </row>
    <row r="391" spans="1:23" ht="11.25" customHeight="1" x14ac:dyDescent="0.3">
      <c r="A391" s="3" t="s">
        <v>21</v>
      </c>
      <c r="B391" s="3" t="s">
        <v>32</v>
      </c>
      <c r="C391" s="3" t="s">
        <v>23</v>
      </c>
      <c r="D391" s="3" t="s">
        <v>39</v>
      </c>
      <c r="E391" s="3" t="s">
        <v>25</v>
      </c>
      <c r="F391" s="3" t="s">
        <v>25</v>
      </c>
      <c r="G391" s="3" t="s">
        <v>25</v>
      </c>
      <c r="H391" s="3" t="s">
        <v>25</v>
      </c>
      <c r="I391" s="6">
        <v>44501</v>
      </c>
      <c r="J391" s="4">
        <v>0</v>
      </c>
      <c r="K391" s="4">
        <v>0</v>
      </c>
      <c r="L391" s="4">
        <v>269.517</v>
      </c>
      <c r="M391" s="4">
        <v>269.517</v>
      </c>
      <c r="N391" s="4">
        <v>269.517</v>
      </c>
      <c r="O391" s="4">
        <v>269.517</v>
      </c>
      <c r="P391" s="4">
        <v>472</v>
      </c>
      <c r="Q391" s="3" t="s">
        <v>26</v>
      </c>
      <c r="R391" s="3">
        <v>0</v>
      </c>
      <c r="S391" s="3" t="s">
        <v>245</v>
      </c>
      <c r="T391" s="3" t="s">
        <v>370</v>
      </c>
      <c r="U391" s="3">
        <v>0</v>
      </c>
      <c r="V391" s="3">
        <v>27</v>
      </c>
      <c r="W391" s="3">
        <v>76</v>
      </c>
    </row>
    <row r="392" spans="1:23" ht="11.25" customHeight="1" x14ac:dyDescent="0.3">
      <c r="A392" s="3" t="s">
        <v>27</v>
      </c>
      <c r="B392" s="3" t="s">
        <v>32</v>
      </c>
      <c r="C392" s="3" t="s">
        <v>23</v>
      </c>
      <c r="D392" s="3" t="s">
        <v>39</v>
      </c>
      <c r="E392" s="3" t="s">
        <v>25</v>
      </c>
      <c r="F392" s="3" t="s">
        <v>25</v>
      </c>
      <c r="G392" s="3" t="s">
        <v>25</v>
      </c>
      <c r="H392" s="3" t="s">
        <v>25</v>
      </c>
      <c r="I392" s="6">
        <v>44501</v>
      </c>
      <c r="J392" s="4">
        <v>0</v>
      </c>
      <c r="K392" s="4">
        <v>0</v>
      </c>
      <c r="L392" s="4">
        <v>13.1</v>
      </c>
      <c r="M392" s="4">
        <v>13.1</v>
      </c>
      <c r="N392" s="4">
        <v>13.1</v>
      </c>
      <c r="O392" s="4">
        <v>13.1</v>
      </c>
      <c r="P392" s="4">
        <v>62</v>
      </c>
      <c r="Q392" s="3" t="s">
        <v>26</v>
      </c>
      <c r="R392" s="3">
        <v>0</v>
      </c>
      <c r="S392" s="3" t="s">
        <v>245</v>
      </c>
      <c r="T392" s="3" t="s">
        <v>370</v>
      </c>
      <c r="U392" s="3">
        <v>0</v>
      </c>
      <c r="V392" s="3">
        <v>27</v>
      </c>
      <c r="W392" s="3">
        <v>76</v>
      </c>
    </row>
    <row r="393" spans="1:23" ht="11.25" customHeight="1" x14ac:dyDescent="0.3">
      <c r="A393" s="3" t="s">
        <v>21</v>
      </c>
      <c r="B393" s="3" t="s">
        <v>32</v>
      </c>
      <c r="C393" s="3" t="s">
        <v>23</v>
      </c>
      <c r="D393" s="3" t="s">
        <v>39</v>
      </c>
      <c r="E393" s="3" t="s">
        <v>25</v>
      </c>
      <c r="F393" s="3" t="s">
        <v>25</v>
      </c>
      <c r="G393" s="3" t="s">
        <v>25</v>
      </c>
      <c r="H393" s="3" t="s">
        <v>25</v>
      </c>
      <c r="I393" s="6">
        <v>44531</v>
      </c>
      <c r="J393" s="4">
        <v>0</v>
      </c>
      <c r="K393" s="4">
        <v>0</v>
      </c>
      <c r="L393" s="4">
        <v>246.774</v>
      </c>
      <c r="M393" s="4">
        <v>246.774</v>
      </c>
      <c r="N393" s="4">
        <v>246.774</v>
      </c>
      <c r="O393" s="4">
        <v>246.774</v>
      </c>
      <c r="P393" s="4">
        <v>469</v>
      </c>
      <c r="Q393" s="3" t="s">
        <v>26</v>
      </c>
      <c r="R393" s="3">
        <v>0</v>
      </c>
      <c r="S393" s="3" t="s">
        <v>246</v>
      </c>
      <c r="T393" s="3" t="s">
        <v>371</v>
      </c>
      <c r="U393" s="3">
        <v>0</v>
      </c>
      <c r="V393" s="3">
        <v>27</v>
      </c>
      <c r="W393" s="3">
        <v>76</v>
      </c>
    </row>
    <row r="394" spans="1:23" ht="11.25" customHeight="1" x14ac:dyDescent="0.3">
      <c r="A394" s="3" t="s">
        <v>27</v>
      </c>
      <c r="B394" s="3" t="s">
        <v>32</v>
      </c>
      <c r="C394" s="3" t="s">
        <v>23</v>
      </c>
      <c r="D394" s="3" t="s">
        <v>39</v>
      </c>
      <c r="E394" s="3" t="s">
        <v>25</v>
      </c>
      <c r="F394" s="3" t="s">
        <v>25</v>
      </c>
      <c r="G394" s="3" t="s">
        <v>25</v>
      </c>
      <c r="H394" s="3" t="s">
        <v>25</v>
      </c>
      <c r="I394" s="6">
        <v>44531</v>
      </c>
      <c r="J394" s="4">
        <v>0</v>
      </c>
      <c r="K394" s="4">
        <v>0</v>
      </c>
      <c r="L394" s="4">
        <v>17.266999999999999</v>
      </c>
      <c r="M394" s="4">
        <v>17.266999999999999</v>
      </c>
      <c r="N394" s="4">
        <v>17.266999999999999</v>
      </c>
      <c r="O394" s="4">
        <v>17.266999999999999</v>
      </c>
      <c r="P394" s="4">
        <v>64</v>
      </c>
      <c r="Q394" s="3" t="s">
        <v>26</v>
      </c>
      <c r="R394" s="3">
        <v>0</v>
      </c>
      <c r="S394" s="3" t="s">
        <v>246</v>
      </c>
      <c r="T394" s="3" t="s">
        <v>371</v>
      </c>
      <c r="U394" s="3">
        <v>0</v>
      </c>
      <c r="V394" s="3">
        <v>27</v>
      </c>
      <c r="W394" s="3">
        <v>76</v>
      </c>
    </row>
    <row r="395" spans="1:23" ht="11.25" customHeight="1" x14ac:dyDescent="0.3">
      <c r="A395" s="3" t="s">
        <v>21</v>
      </c>
      <c r="B395" s="3" t="s">
        <v>32</v>
      </c>
      <c r="C395" s="3" t="s">
        <v>23</v>
      </c>
      <c r="D395" s="3" t="s">
        <v>39</v>
      </c>
      <c r="E395" s="3" t="s">
        <v>25</v>
      </c>
      <c r="F395" s="3" t="s">
        <v>25</v>
      </c>
      <c r="G395" s="3" t="s">
        <v>25</v>
      </c>
      <c r="H395" s="3" t="s">
        <v>25</v>
      </c>
      <c r="I395" s="6">
        <v>44562</v>
      </c>
      <c r="J395" s="4">
        <v>0</v>
      </c>
      <c r="K395" s="4">
        <v>0</v>
      </c>
      <c r="L395" s="4">
        <v>261.529</v>
      </c>
      <c r="M395" s="4">
        <v>261.529</v>
      </c>
      <c r="N395" s="4">
        <v>261.529</v>
      </c>
      <c r="O395" s="4">
        <v>261.529</v>
      </c>
      <c r="P395" s="4">
        <v>460</v>
      </c>
      <c r="Q395" s="3" t="s">
        <v>26</v>
      </c>
      <c r="R395" s="3">
        <v>0</v>
      </c>
      <c r="S395" s="3" t="s">
        <v>247</v>
      </c>
      <c r="T395" s="3" t="s">
        <v>372</v>
      </c>
      <c r="U395" s="3">
        <v>0</v>
      </c>
      <c r="V395" s="3">
        <v>27</v>
      </c>
      <c r="W395" s="3">
        <v>76</v>
      </c>
    </row>
    <row r="396" spans="1:23" ht="11.25" customHeight="1" x14ac:dyDescent="0.3">
      <c r="A396" s="3" t="s">
        <v>27</v>
      </c>
      <c r="B396" s="3" t="s">
        <v>32</v>
      </c>
      <c r="C396" s="3" t="s">
        <v>23</v>
      </c>
      <c r="D396" s="3" t="s">
        <v>39</v>
      </c>
      <c r="E396" s="3" t="s">
        <v>25</v>
      </c>
      <c r="F396" s="3" t="s">
        <v>25</v>
      </c>
      <c r="G396" s="3" t="s">
        <v>25</v>
      </c>
      <c r="H396" s="3" t="s">
        <v>25</v>
      </c>
      <c r="I396" s="6">
        <v>44562</v>
      </c>
      <c r="J396" s="4">
        <v>0</v>
      </c>
      <c r="K396" s="4">
        <v>0</v>
      </c>
      <c r="L396" s="4">
        <v>16.466000000000001</v>
      </c>
      <c r="M396" s="4">
        <v>16.466000000000001</v>
      </c>
      <c r="N396" s="4">
        <v>16.466000000000001</v>
      </c>
      <c r="O396" s="4">
        <v>16.466000000000001</v>
      </c>
      <c r="P396" s="4">
        <v>70</v>
      </c>
      <c r="Q396" s="3" t="s">
        <v>26</v>
      </c>
      <c r="R396" s="3">
        <v>0</v>
      </c>
      <c r="S396" s="3" t="s">
        <v>247</v>
      </c>
      <c r="T396" s="3" t="s">
        <v>372</v>
      </c>
      <c r="U396" s="3">
        <v>0</v>
      </c>
      <c r="V396" s="3">
        <v>27</v>
      </c>
      <c r="W396" s="3">
        <v>76</v>
      </c>
    </row>
    <row r="397" spans="1:23" ht="11.25" customHeight="1" x14ac:dyDescent="0.3">
      <c r="A397" s="3" t="s">
        <v>21</v>
      </c>
      <c r="B397" s="3" t="s">
        <v>32</v>
      </c>
      <c r="C397" s="3" t="s">
        <v>23</v>
      </c>
      <c r="D397" s="3" t="s">
        <v>39</v>
      </c>
      <c r="E397" s="3" t="s">
        <v>25</v>
      </c>
      <c r="F397" s="3" t="s">
        <v>25</v>
      </c>
      <c r="G397" s="3" t="s">
        <v>25</v>
      </c>
      <c r="H397" s="3" t="s">
        <v>25</v>
      </c>
      <c r="I397" s="6">
        <v>44593</v>
      </c>
      <c r="J397" s="4">
        <v>0</v>
      </c>
      <c r="K397" s="4">
        <v>0</v>
      </c>
      <c r="L397" s="4">
        <v>341.85300000000001</v>
      </c>
      <c r="M397" s="4">
        <v>341.85300000000001</v>
      </c>
      <c r="N397" s="4">
        <v>341.85300000000001</v>
      </c>
      <c r="O397" s="4">
        <v>341.85300000000001</v>
      </c>
      <c r="P397" s="4">
        <v>459</v>
      </c>
      <c r="Q397" s="3" t="s">
        <v>26</v>
      </c>
      <c r="R397" s="3">
        <v>0</v>
      </c>
      <c r="S397" s="3" t="s">
        <v>248</v>
      </c>
      <c r="T397" s="3" t="s">
        <v>373</v>
      </c>
      <c r="U397" s="3">
        <v>0</v>
      </c>
      <c r="V397" s="3">
        <v>27</v>
      </c>
      <c r="W397" s="3">
        <v>76</v>
      </c>
    </row>
    <row r="398" spans="1:23" ht="11.25" customHeight="1" x14ac:dyDescent="0.3">
      <c r="A398" s="3" t="s">
        <v>27</v>
      </c>
      <c r="B398" s="3" t="s">
        <v>32</v>
      </c>
      <c r="C398" s="3" t="s">
        <v>23</v>
      </c>
      <c r="D398" s="3" t="s">
        <v>39</v>
      </c>
      <c r="E398" s="3" t="s">
        <v>25</v>
      </c>
      <c r="F398" s="3" t="s">
        <v>25</v>
      </c>
      <c r="G398" s="3" t="s">
        <v>25</v>
      </c>
      <c r="H398" s="3" t="s">
        <v>25</v>
      </c>
      <c r="I398" s="6">
        <v>44593</v>
      </c>
      <c r="J398" s="4">
        <v>0</v>
      </c>
      <c r="K398" s="4">
        <v>0</v>
      </c>
      <c r="L398" s="4">
        <v>21.829000000000001</v>
      </c>
      <c r="M398" s="4">
        <v>21.829000000000001</v>
      </c>
      <c r="N398" s="4">
        <v>21.829000000000001</v>
      </c>
      <c r="O398" s="4">
        <v>21.829000000000001</v>
      </c>
      <c r="P398" s="4">
        <v>70</v>
      </c>
      <c r="Q398" s="3" t="s">
        <v>26</v>
      </c>
      <c r="R398" s="3">
        <v>0</v>
      </c>
      <c r="S398" s="3" t="s">
        <v>248</v>
      </c>
      <c r="T398" s="3" t="s">
        <v>373</v>
      </c>
      <c r="U398" s="3">
        <v>0</v>
      </c>
      <c r="V398" s="3">
        <v>27</v>
      </c>
      <c r="W398" s="3">
        <v>76</v>
      </c>
    </row>
    <row r="399" spans="1:23" ht="11.25" customHeight="1" x14ac:dyDescent="0.3">
      <c r="A399" s="3" t="s">
        <v>21</v>
      </c>
      <c r="B399" s="3" t="s">
        <v>32</v>
      </c>
      <c r="C399" s="3" t="s">
        <v>23</v>
      </c>
      <c r="D399" s="3" t="s">
        <v>39</v>
      </c>
      <c r="E399" s="3" t="s">
        <v>25</v>
      </c>
      <c r="F399" s="3" t="s">
        <v>25</v>
      </c>
      <c r="G399" s="3" t="s">
        <v>25</v>
      </c>
      <c r="H399" s="3" t="s">
        <v>25</v>
      </c>
      <c r="I399" s="6">
        <v>44621</v>
      </c>
      <c r="J399" s="4">
        <v>0</v>
      </c>
      <c r="K399" s="4">
        <v>0</v>
      </c>
      <c r="L399" s="4">
        <v>315.83699999999999</v>
      </c>
      <c r="M399" s="4">
        <v>315.83699999999999</v>
      </c>
      <c r="N399" s="4">
        <v>315.83699999999999</v>
      </c>
      <c r="O399" s="4">
        <v>315.83699999999999</v>
      </c>
      <c r="P399" s="4">
        <v>466</v>
      </c>
      <c r="Q399" s="3" t="s">
        <v>26</v>
      </c>
      <c r="R399" s="3">
        <v>0</v>
      </c>
      <c r="S399" s="3" t="s">
        <v>249</v>
      </c>
      <c r="T399" s="3" t="s">
        <v>374</v>
      </c>
      <c r="U399" s="3">
        <v>0</v>
      </c>
      <c r="V399" s="3">
        <v>27</v>
      </c>
      <c r="W399" s="3">
        <v>76</v>
      </c>
    </row>
    <row r="400" spans="1:23" ht="11.25" customHeight="1" x14ac:dyDescent="0.3">
      <c r="A400" s="3" t="s">
        <v>27</v>
      </c>
      <c r="B400" s="3" t="s">
        <v>32</v>
      </c>
      <c r="C400" s="3" t="s">
        <v>23</v>
      </c>
      <c r="D400" s="3" t="s">
        <v>39</v>
      </c>
      <c r="E400" s="3" t="s">
        <v>25</v>
      </c>
      <c r="F400" s="3" t="s">
        <v>25</v>
      </c>
      <c r="G400" s="3" t="s">
        <v>25</v>
      </c>
      <c r="H400" s="3" t="s">
        <v>25</v>
      </c>
      <c r="I400" s="6">
        <v>44621</v>
      </c>
      <c r="J400" s="4">
        <v>0</v>
      </c>
      <c r="K400" s="4">
        <v>0</v>
      </c>
      <c r="L400" s="4">
        <v>26.666</v>
      </c>
      <c r="M400" s="4">
        <v>26.666</v>
      </c>
      <c r="N400" s="4">
        <v>26.666</v>
      </c>
      <c r="O400" s="4">
        <v>26.666</v>
      </c>
      <c r="P400" s="4">
        <v>68</v>
      </c>
      <c r="Q400" s="3" t="s">
        <v>26</v>
      </c>
      <c r="R400" s="3">
        <v>0</v>
      </c>
      <c r="S400" s="3" t="s">
        <v>249</v>
      </c>
      <c r="T400" s="3" t="s">
        <v>374</v>
      </c>
      <c r="U400" s="3">
        <v>0</v>
      </c>
      <c r="V400" s="3">
        <v>27</v>
      </c>
      <c r="W400" s="3">
        <v>76</v>
      </c>
    </row>
    <row r="401" spans="1:23" ht="11.25" customHeight="1" x14ac:dyDescent="0.3">
      <c r="A401" s="3" t="s">
        <v>21</v>
      </c>
      <c r="B401" s="3" t="s">
        <v>32</v>
      </c>
      <c r="C401" s="3" t="s">
        <v>23</v>
      </c>
      <c r="D401" s="3" t="s">
        <v>39</v>
      </c>
      <c r="E401" s="3" t="s">
        <v>25</v>
      </c>
      <c r="F401" s="3" t="s">
        <v>25</v>
      </c>
      <c r="G401" s="3" t="s">
        <v>25</v>
      </c>
      <c r="H401" s="3" t="s">
        <v>25</v>
      </c>
      <c r="I401" s="6">
        <v>44652</v>
      </c>
      <c r="J401" s="4">
        <v>0</v>
      </c>
      <c r="K401" s="4">
        <v>0</v>
      </c>
      <c r="L401" s="4">
        <v>239.57900000000001</v>
      </c>
      <c r="M401" s="4">
        <v>239.57900000000001</v>
      </c>
      <c r="N401" s="4">
        <v>239.57900000000001</v>
      </c>
      <c r="O401" s="4">
        <v>239.57900000000001</v>
      </c>
      <c r="P401" s="4">
        <v>456</v>
      </c>
      <c r="Q401" s="3" t="s">
        <v>26</v>
      </c>
      <c r="R401" s="3">
        <v>0</v>
      </c>
      <c r="S401" s="3" t="s">
        <v>250</v>
      </c>
      <c r="T401" s="3" t="s">
        <v>375</v>
      </c>
      <c r="U401" s="3">
        <v>0</v>
      </c>
      <c r="V401" s="3">
        <v>27</v>
      </c>
      <c r="W401" s="3">
        <v>76</v>
      </c>
    </row>
    <row r="402" spans="1:23" ht="11.25" customHeight="1" x14ac:dyDescent="0.3">
      <c r="A402" s="3" t="s">
        <v>27</v>
      </c>
      <c r="B402" s="3" t="s">
        <v>32</v>
      </c>
      <c r="C402" s="3" t="s">
        <v>23</v>
      </c>
      <c r="D402" s="3" t="s">
        <v>39</v>
      </c>
      <c r="E402" s="3" t="s">
        <v>25</v>
      </c>
      <c r="F402" s="3" t="s">
        <v>25</v>
      </c>
      <c r="G402" s="3" t="s">
        <v>25</v>
      </c>
      <c r="H402" s="3" t="s">
        <v>25</v>
      </c>
      <c r="I402" s="6">
        <v>44652</v>
      </c>
      <c r="J402" s="4">
        <v>0</v>
      </c>
      <c r="K402" s="4">
        <v>0</v>
      </c>
      <c r="L402" s="4">
        <v>37.057000000000002</v>
      </c>
      <c r="M402" s="4">
        <v>37.057000000000002</v>
      </c>
      <c r="N402" s="4">
        <v>37.057000000000002</v>
      </c>
      <c r="O402" s="4">
        <v>37.057000000000002</v>
      </c>
      <c r="P402" s="4">
        <v>77</v>
      </c>
      <c r="Q402" s="3" t="s">
        <v>26</v>
      </c>
      <c r="R402" s="3">
        <v>0</v>
      </c>
      <c r="S402" s="3" t="s">
        <v>250</v>
      </c>
      <c r="T402" s="3" t="s">
        <v>375</v>
      </c>
      <c r="U402" s="3">
        <v>0</v>
      </c>
      <c r="V402" s="3">
        <v>27</v>
      </c>
      <c r="W402" s="3">
        <v>76</v>
      </c>
    </row>
    <row r="403" spans="1:23" ht="11.25" customHeight="1" x14ac:dyDescent="0.3">
      <c r="A403" s="3" t="s">
        <v>21</v>
      </c>
      <c r="B403" s="3" t="s">
        <v>32</v>
      </c>
      <c r="C403" s="3" t="s">
        <v>23</v>
      </c>
      <c r="D403" s="3" t="s">
        <v>39</v>
      </c>
      <c r="E403" s="3" t="s">
        <v>25</v>
      </c>
      <c r="F403" s="3" t="s">
        <v>25</v>
      </c>
      <c r="G403" s="3" t="s">
        <v>25</v>
      </c>
      <c r="H403" s="3" t="s">
        <v>25</v>
      </c>
      <c r="I403" s="6">
        <v>44682</v>
      </c>
      <c r="J403" s="4">
        <v>0</v>
      </c>
      <c r="K403" s="4">
        <v>0</v>
      </c>
      <c r="L403" s="4">
        <v>234.89500000000001</v>
      </c>
      <c r="M403" s="4">
        <v>234.89500000000001</v>
      </c>
      <c r="N403" s="4">
        <v>234.89500000000001</v>
      </c>
      <c r="O403" s="4">
        <v>234.89500000000001</v>
      </c>
      <c r="P403" s="4">
        <v>455</v>
      </c>
      <c r="Q403" s="3" t="s">
        <v>26</v>
      </c>
      <c r="R403" s="3">
        <v>0</v>
      </c>
      <c r="S403" s="3" t="s">
        <v>251</v>
      </c>
      <c r="T403" s="3" t="s">
        <v>376</v>
      </c>
      <c r="U403" s="3">
        <v>0</v>
      </c>
      <c r="V403" s="3">
        <v>27</v>
      </c>
      <c r="W403" s="3">
        <v>76</v>
      </c>
    </row>
    <row r="404" spans="1:23" ht="11.25" customHeight="1" x14ac:dyDescent="0.3">
      <c r="A404" s="3" t="s">
        <v>27</v>
      </c>
      <c r="B404" s="3" t="s">
        <v>32</v>
      </c>
      <c r="C404" s="3" t="s">
        <v>23</v>
      </c>
      <c r="D404" s="3" t="s">
        <v>39</v>
      </c>
      <c r="E404" s="3" t="s">
        <v>25</v>
      </c>
      <c r="F404" s="3" t="s">
        <v>25</v>
      </c>
      <c r="G404" s="3" t="s">
        <v>25</v>
      </c>
      <c r="H404" s="3" t="s">
        <v>25</v>
      </c>
      <c r="I404" s="6">
        <v>44682</v>
      </c>
      <c r="J404" s="4">
        <v>0</v>
      </c>
      <c r="K404" s="4">
        <v>0</v>
      </c>
      <c r="L404" s="4">
        <v>38.975000000000001</v>
      </c>
      <c r="M404" s="4">
        <v>38.975000000000001</v>
      </c>
      <c r="N404" s="4">
        <v>38.975000000000001</v>
      </c>
      <c r="O404" s="4">
        <v>38.975000000000001</v>
      </c>
      <c r="P404" s="4">
        <v>79</v>
      </c>
      <c r="Q404" s="3" t="s">
        <v>26</v>
      </c>
      <c r="R404" s="3">
        <v>0</v>
      </c>
      <c r="S404" s="3" t="s">
        <v>251</v>
      </c>
      <c r="T404" s="3" t="s">
        <v>376</v>
      </c>
      <c r="U404" s="3">
        <v>0</v>
      </c>
      <c r="V404" s="3">
        <v>27</v>
      </c>
      <c r="W404" s="3">
        <v>76</v>
      </c>
    </row>
    <row r="405" spans="1:23" ht="11.25" customHeight="1" x14ac:dyDescent="0.3">
      <c r="A405" s="3" t="s">
        <v>21</v>
      </c>
      <c r="B405" s="3" t="s">
        <v>32</v>
      </c>
      <c r="C405" s="3" t="s">
        <v>23</v>
      </c>
      <c r="D405" s="3" t="s">
        <v>39</v>
      </c>
      <c r="E405" s="3" t="s">
        <v>25</v>
      </c>
      <c r="F405" s="3" t="s">
        <v>25</v>
      </c>
      <c r="G405" s="3" t="s">
        <v>25</v>
      </c>
      <c r="H405" s="3" t="s">
        <v>25</v>
      </c>
      <c r="I405" s="6">
        <v>44713</v>
      </c>
      <c r="J405" s="4">
        <v>0</v>
      </c>
      <c r="K405" s="4">
        <v>0</v>
      </c>
      <c r="L405" s="4">
        <v>229.131</v>
      </c>
      <c r="M405" s="4">
        <v>229.131</v>
      </c>
      <c r="N405" s="4">
        <v>229.131</v>
      </c>
      <c r="O405" s="4">
        <v>229.131</v>
      </c>
      <c r="P405" s="4">
        <v>457</v>
      </c>
      <c r="Q405" s="3" t="s">
        <v>26</v>
      </c>
      <c r="R405" s="3">
        <v>0</v>
      </c>
      <c r="S405" s="3" t="s">
        <v>252</v>
      </c>
      <c r="T405" s="3" t="s">
        <v>377</v>
      </c>
      <c r="U405" s="3">
        <v>0</v>
      </c>
      <c r="V405" s="3">
        <v>27</v>
      </c>
      <c r="W405" s="3">
        <v>76</v>
      </c>
    </row>
    <row r="406" spans="1:23" ht="11.25" customHeight="1" x14ac:dyDescent="0.3">
      <c r="A406" s="3" t="s">
        <v>27</v>
      </c>
      <c r="B406" s="3" t="s">
        <v>32</v>
      </c>
      <c r="C406" s="3" t="s">
        <v>23</v>
      </c>
      <c r="D406" s="3" t="s">
        <v>39</v>
      </c>
      <c r="E406" s="3" t="s">
        <v>25</v>
      </c>
      <c r="F406" s="3" t="s">
        <v>25</v>
      </c>
      <c r="G406" s="3" t="s">
        <v>25</v>
      </c>
      <c r="H406" s="3" t="s">
        <v>25</v>
      </c>
      <c r="I406" s="6">
        <v>44713</v>
      </c>
      <c r="J406" s="4">
        <v>0</v>
      </c>
      <c r="K406" s="4">
        <v>0</v>
      </c>
      <c r="L406" s="4">
        <v>40.637999999999998</v>
      </c>
      <c r="M406" s="4">
        <v>40.637999999999998</v>
      </c>
      <c r="N406" s="4">
        <v>40.637999999999998</v>
      </c>
      <c r="O406" s="4">
        <v>40.637999999999998</v>
      </c>
      <c r="P406" s="4">
        <v>80</v>
      </c>
      <c r="Q406" s="3" t="s">
        <v>26</v>
      </c>
      <c r="R406" s="3">
        <v>0</v>
      </c>
      <c r="S406" s="3" t="s">
        <v>252</v>
      </c>
      <c r="T406" s="3" t="s">
        <v>377</v>
      </c>
      <c r="U406" s="3">
        <v>0</v>
      </c>
      <c r="V406" s="3">
        <v>27</v>
      </c>
      <c r="W406" s="3">
        <v>76</v>
      </c>
    </row>
    <row r="407" spans="1:23" ht="11.25" customHeight="1" x14ac:dyDescent="0.3">
      <c r="A407" s="3" t="s">
        <v>21</v>
      </c>
      <c r="B407" s="3" t="s">
        <v>32</v>
      </c>
      <c r="C407" s="3" t="s">
        <v>23</v>
      </c>
      <c r="D407" s="3" t="s">
        <v>39</v>
      </c>
      <c r="E407" s="3" t="s">
        <v>25</v>
      </c>
      <c r="F407" s="3" t="s">
        <v>25</v>
      </c>
      <c r="G407" s="3" t="s">
        <v>25</v>
      </c>
      <c r="H407" s="3" t="s">
        <v>25</v>
      </c>
      <c r="I407" s="6">
        <v>44743</v>
      </c>
      <c r="J407" s="4">
        <v>0</v>
      </c>
      <c r="K407" s="4">
        <v>0</v>
      </c>
      <c r="L407" s="4">
        <v>206.131</v>
      </c>
      <c r="M407" s="4">
        <v>206.131</v>
      </c>
      <c r="N407" s="4">
        <v>206.131</v>
      </c>
      <c r="O407" s="4">
        <v>206.131</v>
      </c>
      <c r="P407" s="4">
        <v>458</v>
      </c>
      <c r="Q407" s="3" t="s">
        <v>26</v>
      </c>
      <c r="R407" s="3">
        <v>0</v>
      </c>
      <c r="S407" s="3" t="s">
        <v>253</v>
      </c>
      <c r="T407" s="3" t="s">
        <v>378</v>
      </c>
      <c r="U407" s="3">
        <v>0</v>
      </c>
      <c r="V407" s="3">
        <v>27</v>
      </c>
      <c r="W407" s="3">
        <v>76</v>
      </c>
    </row>
    <row r="408" spans="1:23" ht="11.25" customHeight="1" x14ac:dyDescent="0.3">
      <c r="A408" s="3" t="s">
        <v>27</v>
      </c>
      <c r="B408" s="3" t="s">
        <v>32</v>
      </c>
      <c r="C408" s="3" t="s">
        <v>23</v>
      </c>
      <c r="D408" s="3" t="s">
        <v>39</v>
      </c>
      <c r="E408" s="3" t="s">
        <v>25</v>
      </c>
      <c r="F408" s="3" t="s">
        <v>25</v>
      </c>
      <c r="G408" s="3" t="s">
        <v>25</v>
      </c>
      <c r="H408" s="3" t="s">
        <v>25</v>
      </c>
      <c r="I408" s="6">
        <v>44743</v>
      </c>
      <c r="J408" s="4">
        <v>0</v>
      </c>
      <c r="K408" s="4">
        <v>0</v>
      </c>
      <c r="L408" s="4">
        <v>40.728999999999999</v>
      </c>
      <c r="M408" s="4">
        <v>40.728999999999999</v>
      </c>
      <c r="N408" s="4">
        <v>40.728999999999999</v>
      </c>
      <c r="O408" s="4">
        <v>40.728999999999999</v>
      </c>
      <c r="P408" s="4">
        <v>79</v>
      </c>
      <c r="Q408" s="3" t="s">
        <v>26</v>
      </c>
      <c r="R408" s="3">
        <v>0</v>
      </c>
      <c r="S408" s="3" t="s">
        <v>253</v>
      </c>
      <c r="T408" s="3" t="s">
        <v>378</v>
      </c>
      <c r="U408" s="3">
        <v>0</v>
      </c>
      <c r="V408" s="3">
        <v>27</v>
      </c>
      <c r="W408" s="3">
        <v>76</v>
      </c>
    </row>
    <row r="409" spans="1:23" ht="11.25" customHeight="1" x14ac:dyDescent="0.3">
      <c r="A409" s="3" t="s">
        <v>53</v>
      </c>
      <c r="B409" s="3" t="s">
        <v>32</v>
      </c>
      <c r="C409" s="3" t="s">
        <v>23</v>
      </c>
      <c r="D409" s="3" t="s">
        <v>39</v>
      </c>
      <c r="E409" s="3" t="s">
        <v>25</v>
      </c>
      <c r="F409" s="3" t="s">
        <v>25</v>
      </c>
      <c r="G409" s="3" t="s">
        <v>25</v>
      </c>
      <c r="H409" s="3" t="s">
        <v>25</v>
      </c>
      <c r="I409" s="6">
        <v>44774</v>
      </c>
      <c r="J409" s="4">
        <v>0</v>
      </c>
      <c r="K409" s="4">
        <v>0</v>
      </c>
      <c r="L409" s="4">
        <v>206.131</v>
      </c>
      <c r="M409" s="4">
        <v>206.131</v>
      </c>
      <c r="N409" s="4">
        <v>206.131</v>
      </c>
      <c r="O409" s="4">
        <v>206.131</v>
      </c>
      <c r="P409" s="4">
        <v>458</v>
      </c>
      <c r="Q409" s="3" t="s">
        <v>26</v>
      </c>
      <c r="R409" s="3">
        <v>0</v>
      </c>
      <c r="S409" s="3" t="s">
        <v>254</v>
      </c>
      <c r="T409" s="3" t="s">
        <v>379</v>
      </c>
      <c r="U409" s="3">
        <v>0</v>
      </c>
      <c r="V409" s="3">
        <v>27</v>
      </c>
      <c r="W409" s="3">
        <v>76</v>
      </c>
    </row>
    <row r="410" spans="1:23" ht="11.25" customHeight="1" x14ac:dyDescent="0.3">
      <c r="A410" s="3" t="s">
        <v>53</v>
      </c>
      <c r="B410" s="3" t="s">
        <v>32</v>
      </c>
      <c r="C410" s="3" t="s">
        <v>23</v>
      </c>
      <c r="D410" s="3" t="s">
        <v>39</v>
      </c>
      <c r="E410" s="3" t="s">
        <v>25</v>
      </c>
      <c r="F410" s="3" t="s">
        <v>25</v>
      </c>
      <c r="G410" s="3" t="s">
        <v>25</v>
      </c>
      <c r="H410" s="3" t="s">
        <v>25</v>
      </c>
      <c r="I410" s="6">
        <v>44774</v>
      </c>
      <c r="J410" s="4">
        <v>0</v>
      </c>
      <c r="K410" s="4">
        <v>0</v>
      </c>
      <c r="L410" s="4">
        <v>40.728999999999999</v>
      </c>
      <c r="M410" s="4">
        <v>40.728999999999999</v>
      </c>
      <c r="N410" s="4">
        <v>40.728999999999999</v>
      </c>
      <c r="O410" s="4">
        <v>40.728999999999999</v>
      </c>
      <c r="P410" s="4">
        <v>79</v>
      </c>
      <c r="Q410" s="3" t="s">
        <v>26</v>
      </c>
      <c r="R410" s="3">
        <v>0</v>
      </c>
      <c r="S410" s="3" t="s">
        <v>254</v>
      </c>
      <c r="T410" s="3" t="s">
        <v>379</v>
      </c>
      <c r="U410" s="3">
        <v>0</v>
      </c>
      <c r="V410" s="3">
        <v>27</v>
      </c>
      <c r="W410" s="3">
        <v>76</v>
      </c>
    </row>
    <row r="411" spans="1:23" ht="11.25" customHeight="1" x14ac:dyDescent="0.3">
      <c r="A411" s="3" t="s">
        <v>21</v>
      </c>
      <c r="B411" s="3" t="s">
        <v>32</v>
      </c>
      <c r="C411" s="3" t="s">
        <v>23</v>
      </c>
      <c r="D411" s="3" t="s">
        <v>49</v>
      </c>
      <c r="E411" s="3" t="s">
        <v>25</v>
      </c>
      <c r="F411" s="3" t="s">
        <v>25</v>
      </c>
      <c r="G411" s="3" t="s">
        <v>25</v>
      </c>
      <c r="H411" s="3" t="s">
        <v>25</v>
      </c>
      <c r="I411" s="6">
        <v>44440</v>
      </c>
      <c r="J411" s="4">
        <v>0</v>
      </c>
      <c r="K411" s="4">
        <v>0</v>
      </c>
      <c r="L411" s="4">
        <v>2.9140000000000001</v>
      </c>
      <c r="M411" s="4">
        <v>2.9140000000000001</v>
      </c>
      <c r="N411" s="4">
        <v>2.9140000000000001</v>
      </c>
      <c r="O411" s="4">
        <v>2.9140000000000001</v>
      </c>
      <c r="P411" s="4">
        <v>5</v>
      </c>
      <c r="Q411" s="3" t="s">
        <v>26</v>
      </c>
      <c r="R411" s="3">
        <v>0</v>
      </c>
      <c r="S411" s="3" t="s">
        <v>243</v>
      </c>
      <c r="T411" s="3" t="s">
        <v>368</v>
      </c>
      <c r="U411" s="3">
        <v>0</v>
      </c>
      <c r="V411" s="3">
        <v>27</v>
      </c>
      <c r="W411" s="3">
        <v>76</v>
      </c>
    </row>
    <row r="412" spans="1:23" ht="11.25" customHeight="1" x14ac:dyDescent="0.3">
      <c r="A412" s="3" t="s">
        <v>21</v>
      </c>
      <c r="B412" s="3" t="s">
        <v>32</v>
      </c>
      <c r="C412" s="3" t="s">
        <v>23</v>
      </c>
      <c r="D412" s="3" t="s">
        <v>49</v>
      </c>
      <c r="E412" s="3" t="s">
        <v>25</v>
      </c>
      <c r="F412" s="3" t="s">
        <v>25</v>
      </c>
      <c r="G412" s="3" t="s">
        <v>25</v>
      </c>
      <c r="H412" s="3" t="s">
        <v>25</v>
      </c>
      <c r="I412" s="6">
        <v>44470</v>
      </c>
      <c r="J412" s="4">
        <v>0</v>
      </c>
      <c r="K412" s="4">
        <v>0</v>
      </c>
      <c r="L412" s="4">
        <v>3.1989999999999998</v>
      </c>
      <c r="M412" s="4">
        <v>3.1989999999999998</v>
      </c>
      <c r="N412" s="4">
        <v>3.1989999999999998</v>
      </c>
      <c r="O412" s="4">
        <v>3.1989999999999998</v>
      </c>
      <c r="P412" s="4">
        <v>5</v>
      </c>
      <c r="Q412" s="3" t="s">
        <v>26</v>
      </c>
      <c r="R412" s="3">
        <v>0</v>
      </c>
      <c r="S412" s="3" t="s">
        <v>244</v>
      </c>
      <c r="T412" s="3" t="s">
        <v>369</v>
      </c>
      <c r="U412" s="3">
        <v>0</v>
      </c>
      <c r="V412" s="3">
        <v>27</v>
      </c>
      <c r="W412" s="3">
        <v>76</v>
      </c>
    </row>
    <row r="413" spans="1:23" ht="11.25" customHeight="1" x14ac:dyDescent="0.3">
      <c r="A413" s="3" t="s">
        <v>21</v>
      </c>
      <c r="B413" s="3" t="s">
        <v>32</v>
      </c>
      <c r="C413" s="3" t="s">
        <v>23</v>
      </c>
      <c r="D413" s="3" t="s">
        <v>49</v>
      </c>
      <c r="E413" s="3" t="s">
        <v>25</v>
      </c>
      <c r="F413" s="3" t="s">
        <v>25</v>
      </c>
      <c r="G413" s="3" t="s">
        <v>25</v>
      </c>
      <c r="H413" s="3" t="s">
        <v>25</v>
      </c>
      <c r="I413" s="6">
        <v>44501</v>
      </c>
      <c r="J413" s="4">
        <v>0</v>
      </c>
      <c r="K413" s="4">
        <v>0</v>
      </c>
      <c r="L413" s="4">
        <v>3.5139999999999998</v>
      </c>
      <c r="M413" s="4">
        <v>3.5139999999999998</v>
      </c>
      <c r="N413" s="4">
        <v>3.5139999999999998</v>
      </c>
      <c r="O413" s="4">
        <v>3.5139999999999998</v>
      </c>
      <c r="P413" s="4">
        <v>5</v>
      </c>
      <c r="Q413" s="3" t="s">
        <v>26</v>
      </c>
      <c r="R413" s="3">
        <v>0</v>
      </c>
      <c r="S413" s="3" t="s">
        <v>245</v>
      </c>
      <c r="T413" s="3" t="s">
        <v>370</v>
      </c>
      <c r="U413" s="3">
        <v>0</v>
      </c>
      <c r="V413" s="3">
        <v>27</v>
      </c>
      <c r="W413" s="3">
        <v>76</v>
      </c>
    </row>
    <row r="414" spans="1:23" ht="11.25" customHeight="1" x14ac:dyDescent="0.3">
      <c r="A414" s="3" t="s">
        <v>21</v>
      </c>
      <c r="B414" s="3" t="s">
        <v>32</v>
      </c>
      <c r="C414" s="3" t="s">
        <v>23</v>
      </c>
      <c r="D414" s="3" t="s">
        <v>49</v>
      </c>
      <c r="E414" s="3" t="s">
        <v>25</v>
      </c>
      <c r="F414" s="3" t="s">
        <v>25</v>
      </c>
      <c r="G414" s="3" t="s">
        <v>25</v>
      </c>
      <c r="H414" s="3" t="s">
        <v>25</v>
      </c>
      <c r="I414" s="6">
        <v>44531</v>
      </c>
      <c r="J414" s="4">
        <v>0</v>
      </c>
      <c r="K414" s="4">
        <v>0</v>
      </c>
      <c r="L414" s="4">
        <v>3.7909999999999999</v>
      </c>
      <c r="M414" s="4">
        <v>3.7909999999999999</v>
      </c>
      <c r="N414" s="4">
        <v>3.7909999999999999</v>
      </c>
      <c r="O414" s="4">
        <v>3.7909999999999999</v>
      </c>
      <c r="P414" s="4">
        <v>5</v>
      </c>
      <c r="Q414" s="3" t="s">
        <v>26</v>
      </c>
      <c r="R414" s="3">
        <v>0</v>
      </c>
      <c r="S414" s="3" t="s">
        <v>246</v>
      </c>
      <c r="T414" s="3" t="s">
        <v>371</v>
      </c>
      <c r="U414" s="3">
        <v>0</v>
      </c>
      <c r="V414" s="3">
        <v>27</v>
      </c>
      <c r="W414" s="3">
        <v>76</v>
      </c>
    </row>
    <row r="415" spans="1:23" ht="11.25" customHeight="1" x14ac:dyDescent="0.3">
      <c r="A415" s="3" t="s">
        <v>21</v>
      </c>
      <c r="B415" s="3" t="s">
        <v>32</v>
      </c>
      <c r="C415" s="3" t="s">
        <v>23</v>
      </c>
      <c r="D415" s="3" t="s">
        <v>49</v>
      </c>
      <c r="E415" s="3" t="s">
        <v>25</v>
      </c>
      <c r="F415" s="3" t="s">
        <v>25</v>
      </c>
      <c r="G415" s="3" t="s">
        <v>25</v>
      </c>
      <c r="H415" s="3" t="s">
        <v>25</v>
      </c>
      <c r="I415" s="6">
        <v>44562</v>
      </c>
      <c r="J415" s="4">
        <v>0</v>
      </c>
      <c r="K415" s="4">
        <v>0</v>
      </c>
      <c r="L415" s="4">
        <v>4.1710000000000003</v>
      </c>
      <c r="M415" s="4">
        <v>4.1710000000000003</v>
      </c>
      <c r="N415" s="4">
        <v>4.1710000000000003</v>
      </c>
      <c r="O415" s="4">
        <v>4.1710000000000003</v>
      </c>
      <c r="P415" s="4">
        <v>5</v>
      </c>
      <c r="Q415" s="3" t="s">
        <v>26</v>
      </c>
      <c r="R415" s="3">
        <v>0</v>
      </c>
      <c r="S415" s="3" t="s">
        <v>247</v>
      </c>
      <c r="T415" s="3" t="s">
        <v>372</v>
      </c>
      <c r="U415" s="3">
        <v>0</v>
      </c>
      <c r="V415" s="3">
        <v>27</v>
      </c>
      <c r="W415" s="3">
        <v>76</v>
      </c>
    </row>
    <row r="416" spans="1:23" ht="11.25" customHeight="1" x14ac:dyDescent="0.3">
      <c r="A416" s="3" t="s">
        <v>21</v>
      </c>
      <c r="B416" s="3" t="s">
        <v>32</v>
      </c>
      <c r="C416" s="3" t="s">
        <v>23</v>
      </c>
      <c r="D416" s="3" t="s">
        <v>49</v>
      </c>
      <c r="E416" s="3" t="s">
        <v>25</v>
      </c>
      <c r="F416" s="3" t="s">
        <v>25</v>
      </c>
      <c r="G416" s="3" t="s">
        <v>25</v>
      </c>
      <c r="H416" s="3" t="s">
        <v>25</v>
      </c>
      <c r="I416" s="6">
        <v>44593</v>
      </c>
      <c r="J416" s="4">
        <v>0</v>
      </c>
      <c r="K416" s="4">
        <v>0</v>
      </c>
      <c r="L416" s="4">
        <v>6.1029999999999998</v>
      </c>
      <c r="M416" s="4">
        <v>6.1029999999999998</v>
      </c>
      <c r="N416" s="4">
        <v>6.1029999999999998</v>
      </c>
      <c r="O416" s="4">
        <v>6.1029999999999998</v>
      </c>
      <c r="P416" s="4">
        <v>5</v>
      </c>
      <c r="Q416" s="3" t="s">
        <v>26</v>
      </c>
      <c r="R416" s="3">
        <v>0</v>
      </c>
      <c r="S416" s="3" t="s">
        <v>248</v>
      </c>
      <c r="T416" s="3" t="s">
        <v>373</v>
      </c>
      <c r="U416" s="3">
        <v>0</v>
      </c>
      <c r="V416" s="3">
        <v>27</v>
      </c>
      <c r="W416" s="3">
        <v>76</v>
      </c>
    </row>
    <row r="417" spans="1:23" ht="11.25" customHeight="1" x14ac:dyDescent="0.3">
      <c r="A417" s="3" t="s">
        <v>21</v>
      </c>
      <c r="B417" s="3" t="s">
        <v>32</v>
      </c>
      <c r="C417" s="3" t="s">
        <v>23</v>
      </c>
      <c r="D417" s="3" t="s">
        <v>49</v>
      </c>
      <c r="E417" s="3" t="s">
        <v>25</v>
      </c>
      <c r="F417" s="3" t="s">
        <v>25</v>
      </c>
      <c r="G417" s="3" t="s">
        <v>25</v>
      </c>
      <c r="H417" s="3" t="s">
        <v>25</v>
      </c>
      <c r="I417" s="6">
        <v>44621</v>
      </c>
      <c r="J417" s="4">
        <v>0</v>
      </c>
      <c r="K417" s="4">
        <v>0</v>
      </c>
      <c r="L417" s="4">
        <v>5.08</v>
      </c>
      <c r="M417" s="4">
        <v>5.08</v>
      </c>
      <c r="N417" s="4">
        <v>5.08</v>
      </c>
      <c r="O417" s="4">
        <v>5.08</v>
      </c>
      <c r="P417" s="4">
        <v>5</v>
      </c>
      <c r="Q417" s="3" t="s">
        <v>26</v>
      </c>
      <c r="R417" s="3">
        <v>0</v>
      </c>
      <c r="S417" s="3" t="s">
        <v>249</v>
      </c>
      <c r="T417" s="3" t="s">
        <v>374</v>
      </c>
      <c r="U417" s="3">
        <v>0</v>
      </c>
      <c r="V417" s="3">
        <v>27</v>
      </c>
      <c r="W417" s="3">
        <v>76</v>
      </c>
    </row>
    <row r="418" spans="1:23" ht="11.25" customHeight="1" x14ac:dyDescent="0.3">
      <c r="A418" s="3" t="s">
        <v>21</v>
      </c>
      <c r="B418" s="3" t="s">
        <v>32</v>
      </c>
      <c r="C418" s="3" t="s">
        <v>23</v>
      </c>
      <c r="D418" s="3" t="s">
        <v>49</v>
      </c>
      <c r="E418" s="3" t="s">
        <v>25</v>
      </c>
      <c r="F418" s="3" t="s">
        <v>25</v>
      </c>
      <c r="G418" s="3" t="s">
        <v>25</v>
      </c>
      <c r="H418" s="3" t="s">
        <v>25</v>
      </c>
      <c r="I418" s="6">
        <v>44652</v>
      </c>
      <c r="J418" s="4">
        <v>0</v>
      </c>
      <c r="K418" s="4">
        <v>0</v>
      </c>
      <c r="L418" s="4">
        <v>3.653</v>
      </c>
      <c r="M418" s="4">
        <v>3.653</v>
      </c>
      <c r="N418" s="4">
        <v>3.653</v>
      </c>
      <c r="O418" s="4">
        <v>3.653</v>
      </c>
      <c r="P418" s="4">
        <v>5</v>
      </c>
      <c r="Q418" s="3" t="s">
        <v>26</v>
      </c>
      <c r="R418" s="3">
        <v>0</v>
      </c>
      <c r="S418" s="3" t="s">
        <v>250</v>
      </c>
      <c r="T418" s="3" t="s">
        <v>375</v>
      </c>
      <c r="U418" s="3">
        <v>0</v>
      </c>
      <c r="V418" s="3">
        <v>27</v>
      </c>
      <c r="W418" s="3">
        <v>76</v>
      </c>
    </row>
    <row r="419" spans="1:23" ht="11.25" customHeight="1" x14ac:dyDescent="0.3">
      <c r="A419" s="3" t="s">
        <v>21</v>
      </c>
      <c r="B419" s="3" t="s">
        <v>32</v>
      </c>
      <c r="C419" s="3" t="s">
        <v>23</v>
      </c>
      <c r="D419" s="3" t="s">
        <v>49</v>
      </c>
      <c r="E419" s="3" t="s">
        <v>25</v>
      </c>
      <c r="F419" s="3" t="s">
        <v>25</v>
      </c>
      <c r="G419" s="3" t="s">
        <v>25</v>
      </c>
      <c r="H419" s="3" t="s">
        <v>25</v>
      </c>
      <c r="I419" s="6">
        <v>44682</v>
      </c>
      <c r="J419" s="4">
        <v>0</v>
      </c>
      <c r="K419" s="4">
        <v>0</v>
      </c>
      <c r="L419" s="4">
        <v>3.3069999999999999</v>
      </c>
      <c r="M419" s="4">
        <v>3.3069999999999999</v>
      </c>
      <c r="N419" s="4">
        <v>3.3069999999999999</v>
      </c>
      <c r="O419" s="4">
        <v>3.3069999999999999</v>
      </c>
      <c r="P419" s="4">
        <v>5</v>
      </c>
      <c r="Q419" s="3" t="s">
        <v>26</v>
      </c>
      <c r="R419" s="3">
        <v>0</v>
      </c>
      <c r="S419" s="3" t="s">
        <v>251</v>
      </c>
      <c r="T419" s="3" t="s">
        <v>376</v>
      </c>
      <c r="U419" s="3">
        <v>0</v>
      </c>
      <c r="V419" s="3">
        <v>27</v>
      </c>
      <c r="W419" s="3">
        <v>76</v>
      </c>
    </row>
    <row r="420" spans="1:23" ht="11.25" customHeight="1" x14ac:dyDescent="0.3">
      <c r="A420" s="3" t="s">
        <v>21</v>
      </c>
      <c r="B420" s="3" t="s">
        <v>32</v>
      </c>
      <c r="C420" s="3" t="s">
        <v>23</v>
      </c>
      <c r="D420" s="3" t="s">
        <v>49</v>
      </c>
      <c r="E420" s="3" t="s">
        <v>25</v>
      </c>
      <c r="F420" s="3" t="s">
        <v>25</v>
      </c>
      <c r="G420" s="3" t="s">
        <v>25</v>
      </c>
      <c r="H420" s="3" t="s">
        <v>25</v>
      </c>
      <c r="I420" s="6">
        <v>44713</v>
      </c>
      <c r="J420" s="4">
        <v>0</v>
      </c>
      <c r="K420" s="4">
        <v>0</v>
      </c>
      <c r="L420" s="4">
        <v>3.492</v>
      </c>
      <c r="M420" s="4">
        <v>3.492</v>
      </c>
      <c r="N420" s="4">
        <v>3.492</v>
      </c>
      <c r="O420" s="4">
        <v>3.492</v>
      </c>
      <c r="P420" s="4">
        <v>5</v>
      </c>
      <c r="Q420" s="3" t="s">
        <v>26</v>
      </c>
      <c r="R420" s="3">
        <v>0</v>
      </c>
      <c r="S420" s="3" t="s">
        <v>252</v>
      </c>
      <c r="T420" s="3" t="s">
        <v>377</v>
      </c>
      <c r="U420" s="3">
        <v>0</v>
      </c>
      <c r="V420" s="3">
        <v>27</v>
      </c>
      <c r="W420" s="3">
        <v>76</v>
      </c>
    </row>
    <row r="421" spans="1:23" ht="11.25" customHeight="1" x14ac:dyDescent="0.3">
      <c r="A421" s="3" t="s">
        <v>21</v>
      </c>
      <c r="B421" s="3" t="s">
        <v>32</v>
      </c>
      <c r="C421" s="3" t="s">
        <v>23</v>
      </c>
      <c r="D421" s="3" t="s">
        <v>49</v>
      </c>
      <c r="E421" s="3" t="s">
        <v>25</v>
      </c>
      <c r="F421" s="3" t="s">
        <v>25</v>
      </c>
      <c r="G421" s="3" t="s">
        <v>25</v>
      </c>
      <c r="H421" s="3" t="s">
        <v>25</v>
      </c>
      <c r="I421" s="6">
        <v>44743</v>
      </c>
      <c r="J421" s="4">
        <v>0</v>
      </c>
      <c r="K421" s="4">
        <v>0</v>
      </c>
      <c r="L421" s="4">
        <v>3.4340000000000002</v>
      </c>
      <c r="M421" s="4">
        <v>3.4340000000000002</v>
      </c>
      <c r="N421" s="4">
        <v>3.4340000000000002</v>
      </c>
      <c r="O421" s="4">
        <v>3.4340000000000002</v>
      </c>
      <c r="P421" s="4">
        <v>5</v>
      </c>
      <c r="Q421" s="3" t="s">
        <v>26</v>
      </c>
      <c r="R421" s="3">
        <v>0</v>
      </c>
      <c r="S421" s="3" t="s">
        <v>253</v>
      </c>
      <c r="T421" s="3" t="s">
        <v>378</v>
      </c>
      <c r="U421" s="3">
        <v>0</v>
      </c>
      <c r="V421" s="3">
        <v>27</v>
      </c>
      <c r="W421" s="3">
        <v>76</v>
      </c>
    </row>
    <row r="422" spans="1:23" ht="11.25" customHeight="1" x14ac:dyDescent="0.3">
      <c r="A422" s="3" t="s">
        <v>53</v>
      </c>
      <c r="B422" s="3" t="s">
        <v>32</v>
      </c>
      <c r="C422" s="3" t="s">
        <v>23</v>
      </c>
      <c r="D422" s="3" t="s">
        <v>49</v>
      </c>
      <c r="E422" s="3" t="s">
        <v>25</v>
      </c>
      <c r="F422" s="3" t="s">
        <v>25</v>
      </c>
      <c r="G422" s="3" t="s">
        <v>25</v>
      </c>
      <c r="H422" s="3" t="s">
        <v>25</v>
      </c>
      <c r="I422" s="6">
        <v>44774</v>
      </c>
      <c r="J422" s="4">
        <v>0</v>
      </c>
      <c r="K422" s="4">
        <v>0</v>
      </c>
      <c r="L422" s="4">
        <v>3.4340000000000002</v>
      </c>
      <c r="M422" s="4">
        <v>3.4340000000000002</v>
      </c>
      <c r="N422" s="4">
        <v>3.4340000000000002</v>
      </c>
      <c r="O422" s="4">
        <v>3.4340000000000002</v>
      </c>
      <c r="P422" s="4">
        <v>5</v>
      </c>
      <c r="Q422" s="3" t="s">
        <v>26</v>
      </c>
      <c r="R422" s="3">
        <v>0</v>
      </c>
      <c r="S422" s="3" t="s">
        <v>254</v>
      </c>
      <c r="T422" s="3" t="s">
        <v>379</v>
      </c>
      <c r="U422" s="3">
        <v>0</v>
      </c>
      <c r="V422" s="3">
        <v>27</v>
      </c>
      <c r="W422" s="3">
        <v>76</v>
      </c>
    </row>
    <row r="423" spans="1:23" ht="11.25" customHeight="1" x14ac:dyDescent="0.3">
      <c r="A423" s="3" t="s">
        <v>21</v>
      </c>
      <c r="B423" s="3" t="s">
        <v>32</v>
      </c>
      <c r="C423" s="3" t="s">
        <v>23</v>
      </c>
      <c r="D423" s="3" t="s">
        <v>33</v>
      </c>
      <c r="E423" s="3" t="s">
        <v>25</v>
      </c>
      <c r="F423" s="3" t="s">
        <v>25</v>
      </c>
      <c r="G423" s="3" t="s">
        <v>25</v>
      </c>
      <c r="H423" s="3" t="s">
        <v>25</v>
      </c>
      <c r="I423" s="6">
        <v>44440</v>
      </c>
      <c r="J423" s="4">
        <v>0</v>
      </c>
      <c r="K423" s="4">
        <v>0</v>
      </c>
      <c r="L423" s="4">
        <v>272.17599999999999</v>
      </c>
      <c r="M423" s="4">
        <v>272.17599999999999</v>
      </c>
      <c r="N423" s="4">
        <v>272.17599999999999</v>
      </c>
      <c r="O423" s="4">
        <v>272.17599999999999</v>
      </c>
      <c r="P423" s="4">
        <v>116</v>
      </c>
      <c r="Q423" s="3" t="s">
        <v>26</v>
      </c>
      <c r="R423" s="3">
        <v>0</v>
      </c>
      <c r="S423" s="3" t="s">
        <v>243</v>
      </c>
      <c r="T423" s="3" t="s">
        <v>368</v>
      </c>
      <c r="U423" s="3">
        <v>0</v>
      </c>
      <c r="V423" s="3">
        <v>27</v>
      </c>
      <c r="W423" s="3">
        <v>76</v>
      </c>
    </row>
    <row r="424" spans="1:23" ht="11.25" customHeight="1" x14ac:dyDescent="0.3">
      <c r="A424" s="3" t="s">
        <v>27</v>
      </c>
      <c r="B424" s="3" t="s">
        <v>32</v>
      </c>
      <c r="C424" s="3" t="s">
        <v>23</v>
      </c>
      <c r="D424" s="3" t="s">
        <v>33</v>
      </c>
      <c r="E424" s="3" t="s">
        <v>25</v>
      </c>
      <c r="F424" s="3" t="s">
        <v>25</v>
      </c>
      <c r="G424" s="3" t="s">
        <v>25</v>
      </c>
      <c r="H424" s="3" t="s">
        <v>25</v>
      </c>
      <c r="I424" s="6">
        <v>44440</v>
      </c>
      <c r="J424" s="4">
        <v>0</v>
      </c>
      <c r="K424" s="4">
        <v>0</v>
      </c>
      <c r="L424" s="4">
        <v>55.561999999999998</v>
      </c>
      <c r="M424" s="4">
        <v>55.561999999999998</v>
      </c>
      <c r="N424" s="4">
        <v>55.561999999999998</v>
      </c>
      <c r="O424" s="4">
        <v>55.561999999999998</v>
      </c>
      <c r="P424" s="4">
        <v>17</v>
      </c>
      <c r="Q424" s="3" t="s">
        <v>26</v>
      </c>
      <c r="R424" s="3">
        <v>0</v>
      </c>
      <c r="S424" s="3" t="s">
        <v>243</v>
      </c>
      <c r="T424" s="3" t="s">
        <v>368</v>
      </c>
      <c r="U424" s="3">
        <v>0</v>
      </c>
      <c r="V424" s="3">
        <v>27</v>
      </c>
      <c r="W424" s="3">
        <v>76</v>
      </c>
    </row>
    <row r="425" spans="1:23" ht="11.25" customHeight="1" x14ac:dyDescent="0.3">
      <c r="A425" s="3" t="s">
        <v>21</v>
      </c>
      <c r="B425" s="3" t="s">
        <v>32</v>
      </c>
      <c r="C425" s="3" t="s">
        <v>23</v>
      </c>
      <c r="D425" s="3" t="s">
        <v>33</v>
      </c>
      <c r="E425" s="3" t="s">
        <v>25</v>
      </c>
      <c r="F425" s="3" t="s">
        <v>25</v>
      </c>
      <c r="G425" s="3" t="s">
        <v>25</v>
      </c>
      <c r="H425" s="3" t="s">
        <v>25</v>
      </c>
      <c r="I425" s="6">
        <v>44470</v>
      </c>
      <c r="J425" s="4">
        <v>0</v>
      </c>
      <c r="K425" s="4">
        <v>0</v>
      </c>
      <c r="L425" s="4">
        <v>285.58600000000001</v>
      </c>
      <c r="M425" s="4">
        <v>285.58600000000001</v>
      </c>
      <c r="N425" s="4">
        <v>285.58600000000001</v>
      </c>
      <c r="O425" s="4">
        <v>285.58600000000001</v>
      </c>
      <c r="P425" s="4">
        <v>116</v>
      </c>
      <c r="Q425" s="3" t="s">
        <v>26</v>
      </c>
      <c r="R425" s="3">
        <v>0</v>
      </c>
      <c r="S425" s="3" t="s">
        <v>244</v>
      </c>
      <c r="T425" s="3" t="s">
        <v>369</v>
      </c>
      <c r="U425" s="3">
        <v>0</v>
      </c>
      <c r="V425" s="3">
        <v>27</v>
      </c>
      <c r="W425" s="3">
        <v>76</v>
      </c>
    </row>
    <row r="426" spans="1:23" ht="11.25" customHeight="1" x14ac:dyDescent="0.3">
      <c r="A426" s="3" t="s">
        <v>27</v>
      </c>
      <c r="B426" s="3" t="s">
        <v>32</v>
      </c>
      <c r="C426" s="3" t="s">
        <v>23</v>
      </c>
      <c r="D426" s="3" t="s">
        <v>33</v>
      </c>
      <c r="E426" s="3" t="s">
        <v>25</v>
      </c>
      <c r="F426" s="3" t="s">
        <v>25</v>
      </c>
      <c r="G426" s="3" t="s">
        <v>25</v>
      </c>
      <c r="H426" s="3" t="s">
        <v>25</v>
      </c>
      <c r="I426" s="6">
        <v>44470</v>
      </c>
      <c r="J426" s="4">
        <v>0</v>
      </c>
      <c r="K426" s="4">
        <v>0</v>
      </c>
      <c r="L426" s="4">
        <v>56.695999999999998</v>
      </c>
      <c r="M426" s="4">
        <v>56.695999999999998</v>
      </c>
      <c r="N426" s="4">
        <v>56.695999999999998</v>
      </c>
      <c r="O426" s="4">
        <v>56.695999999999998</v>
      </c>
      <c r="P426" s="4">
        <v>18</v>
      </c>
      <c r="Q426" s="3" t="s">
        <v>26</v>
      </c>
      <c r="R426" s="3">
        <v>0</v>
      </c>
      <c r="S426" s="3" t="s">
        <v>244</v>
      </c>
      <c r="T426" s="3" t="s">
        <v>369</v>
      </c>
      <c r="U426" s="3">
        <v>0</v>
      </c>
      <c r="V426" s="3">
        <v>27</v>
      </c>
      <c r="W426" s="3">
        <v>76</v>
      </c>
    </row>
    <row r="427" spans="1:23" ht="11.25" customHeight="1" x14ac:dyDescent="0.3">
      <c r="A427" s="3" t="s">
        <v>21</v>
      </c>
      <c r="B427" s="3" t="s">
        <v>32</v>
      </c>
      <c r="C427" s="3" t="s">
        <v>23</v>
      </c>
      <c r="D427" s="3" t="s">
        <v>33</v>
      </c>
      <c r="E427" s="3" t="s">
        <v>25</v>
      </c>
      <c r="F427" s="3" t="s">
        <v>25</v>
      </c>
      <c r="G427" s="3" t="s">
        <v>25</v>
      </c>
      <c r="H427" s="3" t="s">
        <v>25</v>
      </c>
      <c r="I427" s="6">
        <v>44501</v>
      </c>
      <c r="J427" s="4">
        <v>0</v>
      </c>
      <c r="K427" s="4">
        <v>0</v>
      </c>
      <c r="L427" s="4">
        <v>280.73500000000001</v>
      </c>
      <c r="M427" s="4">
        <v>280.73500000000001</v>
      </c>
      <c r="N427" s="4">
        <v>280.73500000000001</v>
      </c>
      <c r="O427" s="4">
        <v>280.73500000000001</v>
      </c>
      <c r="P427" s="4">
        <v>116</v>
      </c>
      <c r="Q427" s="3" t="s">
        <v>26</v>
      </c>
      <c r="R427" s="3">
        <v>0</v>
      </c>
      <c r="S427" s="3" t="s">
        <v>245</v>
      </c>
      <c r="T427" s="3" t="s">
        <v>370</v>
      </c>
      <c r="U427" s="3">
        <v>0</v>
      </c>
      <c r="V427" s="3">
        <v>27</v>
      </c>
      <c r="W427" s="3">
        <v>76</v>
      </c>
    </row>
    <row r="428" spans="1:23" ht="11.25" customHeight="1" x14ac:dyDescent="0.3">
      <c r="A428" s="3" t="s">
        <v>27</v>
      </c>
      <c r="B428" s="3" t="s">
        <v>32</v>
      </c>
      <c r="C428" s="3" t="s">
        <v>23</v>
      </c>
      <c r="D428" s="3" t="s">
        <v>33</v>
      </c>
      <c r="E428" s="3" t="s">
        <v>25</v>
      </c>
      <c r="F428" s="3" t="s">
        <v>25</v>
      </c>
      <c r="G428" s="3" t="s">
        <v>25</v>
      </c>
      <c r="H428" s="3" t="s">
        <v>25</v>
      </c>
      <c r="I428" s="6">
        <v>44501</v>
      </c>
      <c r="J428" s="4">
        <v>0</v>
      </c>
      <c r="K428" s="4">
        <v>0</v>
      </c>
      <c r="L428" s="4">
        <v>30.734000000000002</v>
      </c>
      <c r="M428" s="4">
        <v>30.734000000000002</v>
      </c>
      <c r="N428" s="4">
        <v>30.734000000000002</v>
      </c>
      <c r="O428" s="4">
        <v>30.734000000000002</v>
      </c>
      <c r="P428" s="4">
        <v>18</v>
      </c>
      <c r="Q428" s="3" t="s">
        <v>26</v>
      </c>
      <c r="R428" s="3">
        <v>0</v>
      </c>
      <c r="S428" s="3" t="s">
        <v>245</v>
      </c>
      <c r="T428" s="3" t="s">
        <v>370</v>
      </c>
      <c r="U428" s="3">
        <v>0</v>
      </c>
      <c r="V428" s="3">
        <v>27</v>
      </c>
      <c r="W428" s="3">
        <v>76</v>
      </c>
    </row>
    <row r="429" spans="1:23" ht="11.25" customHeight="1" x14ac:dyDescent="0.3">
      <c r="A429" s="3" t="s">
        <v>21</v>
      </c>
      <c r="B429" s="3" t="s">
        <v>32</v>
      </c>
      <c r="C429" s="3" t="s">
        <v>23</v>
      </c>
      <c r="D429" s="3" t="s">
        <v>33</v>
      </c>
      <c r="E429" s="3" t="s">
        <v>25</v>
      </c>
      <c r="F429" s="3" t="s">
        <v>25</v>
      </c>
      <c r="G429" s="3" t="s">
        <v>25</v>
      </c>
      <c r="H429" s="3" t="s">
        <v>25</v>
      </c>
      <c r="I429" s="6">
        <v>44531</v>
      </c>
      <c r="J429" s="4">
        <v>0</v>
      </c>
      <c r="K429" s="4">
        <v>0</v>
      </c>
      <c r="L429" s="4">
        <v>241.036</v>
      </c>
      <c r="M429" s="4">
        <v>241.036</v>
      </c>
      <c r="N429" s="4">
        <v>241.036</v>
      </c>
      <c r="O429" s="4">
        <v>241.036</v>
      </c>
      <c r="P429" s="4">
        <v>113</v>
      </c>
      <c r="Q429" s="3" t="s">
        <v>26</v>
      </c>
      <c r="R429" s="3">
        <v>0</v>
      </c>
      <c r="S429" s="3" t="s">
        <v>246</v>
      </c>
      <c r="T429" s="3" t="s">
        <v>371</v>
      </c>
      <c r="U429" s="3">
        <v>0</v>
      </c>
      <c r="V429" s="3">
        <v>27</v>
      </c>
      <c r="W429" s="3">
        <v>76</v>
      </c>
    </row>
    <row r="430" spans="1:23" ht="11.25" customHeight="1" x14ac:dyDescent="0.3">
      <c r="A430" s="3" t="s">
        <v>27</v>
      </c>
      <c r="B430" s="3" t="s">
        <v>32</v>
      </c>
      <c r="C430" s="3" t="s">
        <v>23</v>
      </c>
      <c r="D430" s="3" t="s">
        <v>33</v>
      </c>
      <c r="E430" s="3" t="s">
        <v>25</v>
      </c>
      <c r="F430" s="3" t="s">
        <v>25</v>
      </c>
      <c r="G430" s="3" t="s">
        <v>25</v>
      </c>
      <c r="H430" s="3" t="s">
        <v>25</v>
      </c>
      <c r="I430" s="6">
        <v>44531</v>
      </c>
      <c r="J430" s="4">
        <v>0</v>
      </c>
      <c r="K430" s="4">
        <v>0</v>
      </c>
      <c r="L430" s="4">
        <v>23.257000000000001</v>
      </c>
      <c r="M430" s="4">
        <v>23.257000000000001</v>
      </c>
      <c r="N430" s="4">
        <v>23.257000000000001</v>
      </c>
      <c r="O430" s="4">
        <v>23.257000000000001</v>
      </c>
      <c r="P430" s="4">
        <v>20</v>
      </c>
      <c r="Q430" s="3" t="s">
        <v>26</v>
      </c>
      <c r="R430" s="3">
        <v>0</v>
      </c>
      <c r="S430" s="3" t="s">
        <v>246</v>
      </c>
      <c r="T430" s="3" t="s">
        <v>371</v>
      </c>
      <c r="U430" s="3">
        <v>0</v>
      </c>
      <c r="V430" s="3">
        <v>27</v>
      </c>
      <c r="W430" s="3">
        <v>76</v>
      </c>
    </row>
    <row r="431" spans="1:23" ht="11.25" customHeight="1" x14ac:dyDescent="0.3">
      <c r="A431" s="3" t="s">
        <v>21</v>
      </c>
      <c r="B431" s="3" t="s">
        <v>32</v>
      </c>
      <c r="C431" s="3" t="s">
        <v>23</v>
      </c>
      <c r="D431" s="3" t="s">
        <v>33</v>
      </c>
      <c r="E431" s="3" t="s">
        <v>25</v>
      </c>
      <c r="F431" s="3" t="s">
        <v>25</v>
      </c>
      <c r="G431" s="3" t="s">
        <v>25</v>
      </c>
      <c r="H431" s="3" t="s">
        <v>25</v>
      </c>
      <c r="I431" s="6">
        <v>44562</v>
      </c>
      <c r="J431" s="4">
        <v>0</v>
      </c>
      <c r="K431" s="4">
        <v>0</v>
      </c>
      <c r="L431" s="4">
        <v>161.21</v>
      </c>
      <c r="M431" s="4">
        <v>161.21</v>
      </c>
      <c r="N431" s="4">
        <v>161.21</v>
      </c>
      <c r="O431" s="4">
        <v>161.21</v>
      </c>
      <c r="P431" s="4">
        <v>112</v>
      </c>
      <c r="Q431" s="3" t="s">
        <v>26</v>
      </c>
      <c r="R431" s="3">
        <v>0</v>
      </c>
      <c r="S431" s="3" t="s">
        <v>247</v>
      </c>
      <c r="T431" s="3" t="s">
        <v>372</v>
      </c>
      <c r="U431" s="3">
        <v>0</v>
      </c>
      <c r="V431" s="3">
        <v>27</v>
      </c>
      <c r="W431" s="3">
        <v>76</v>
      </c>
    </row>
    <row r="432" spans="1:23" ht="11.25" customHeight="1" x14ac:dyDescent="0.3">
      <c r="A432" s="3" t="s">
        <v>27</v>
      </c>
      <c r="B432" s="3" t="s">
        <v>32</v>
      </c>
      <c r="C432" s="3" t="s">
        <v>23</v>
      </c>
      <c r="D432" s="3" t="s">
        <v>33</v>
      </c>
      <c r="E432" s="3" t="s">
        <v>25</v>
      </c>
      <c r="F432" s="3" t="s">
        <v>25</v>
      </c>
      <c r="G432" s="3" t="s">
        <v>25</v>
      </c>
      <c r="H432" s="3" t="s">
        <v>25</v>
      </c>
      <c r="I432" s="6">
        <v>44562</v>
      </c>
      <c r="J432" s="4">
        <v>0</v>
      </c>
      <c r="K432" s="4">
        <v>0</v>
      </c>
      <c r="L432" s="4">
        <v>14.427</v>
      </c>
      <c r="M432" s="4">
        <v>14.427</v>
      </c>
      <c r="N432" s="4">
        <v>14.427</v>
      </c>
      <c r="O432" s="4">
        <v>14.427</v>
      </c>
      <c r="P432" s="4">
        <v>20</v>
      </c>
      <c r="Q432" s="3" t="s">
        <v>26</v>
      </c>
      <c r="R432" s="3">
        <v>0</v>
      </c>
      <c r="S432" s="3" t="s">
        <v>247</v>
      </c>
      <c r="T432" s="3" t="s">
        <v>372</v>
      </c>
      <c r="U432" s="3">
        <v>0</v>
      </c>
      <c r="V432" s="3">
        <v>27</v>
      </c>
      <c r="W432" s="3">
        <v>76</v>
      </c>
    </row>
    <row r="433" spans="1:23" ht="11.25" customHeight="1" x14ac:dyDescent="0.3">
      <c r="A433" s="3" t="s">
        <v>21</v>
      </c>
      <c r="B433" s="3" t="s">
        <v>32</v>
      </c>
      <c r="C433" s="3" t="s">
        <v>23</v>
      </c>
      <c r="D433" s="3" t="s">
        <v>33</v>
      </c>
      <c r="E433" s="3" t="s">
        <v>25</v>
      </c>
      <c r="F433" s="3" t="s">
        <v>25</v>
      </c>
      <c r="G433" s="3" t="s">
        <v>25</v>
      </c>
      <c r="H433" s="3" t="s">
        <v>25</v>
      </c>
      <c r="I433" s="6">
        <v>44593</v>
      </c>
      <c r="J433" s="4">
        <v>0</v>
      </c>
      <c r="K433" s="4">
        <v>0</v>
      </c>
      <c r="L433" s="4">
        <v>276.875</v>
      </c>
      <c r="M433" s="4">
        <v>276.875</v>
      </c>
      <c r="N433" s="4">
        <v>276.875</v>
      </c>
      <c r="O433" s="4">
        <v>276.875</v>
      </c>
      <c r="P433" s="4">
        <v>110</v>
      </c>
      <c r="Q433" s="3" t="s">
        <v>26</v>
      </c>
      <c r="R433" s="3">
        <v>0</v>
      </c>
      <c r="S433" s="3" t="s">
        <v>248</v>
      </c>
      <c r="T433" s="3" t="s">
        <v>373</v>
      </c>
      <c r="U433" s="3">
        <v>0</v>
      </c>
      <c r="V433" s="3">
        <v>27</v>
      </c>
      <c r="W433" s="3">
        <v>76</v>
      </c>
    </row>
    <row r="434" spans="1:23" ht="11.25" customHeight="1" x14ac:dyDescent="0.3">
      <c r="A434" s="3" t="s">
        <v>27</v>
      </c>
      <c r="B434" s="3" t="s">
        <v>32</v>
      </c>
      <c r="C434" s="3" t="s">
        <v>23</v>
      </c>
      <c r="D434" s="3" t="s">
        <v>33</v>
      </c>
      <c r="E434" s="3" t="s">
        <v>25</v>
      </c>
      <c r="F434" s="3" t="s">
        <v>25</v>
      </c>
      <c r="G434" s="3" t="s">
        <v>25</v>
      </c>
      <c r="H434" s="3" t="s">
        <v>25</v>
      </c>
      <c r="I434" s="6">
        <v>44593</v>
      </c>
      <c r="J434" s="4">
        <v>0</v>
      </c>
      <c r="K434" s="4">
        <v>0</v>
      </c>
      <c r="L434" s="4">
        <v>20.085999999999999</v>
      </c>
      <c r="M434" s="4">
        <v>20.085999999999999</v>
      </c>
      <c r="N434" s="4">
        <v>20.085999999999999</v>
      </c>
      <c r="O434" s="4">
        <v>20.085999999999999</v>
      </c>
      <c r="P434" s="4">
        <v>20</v>
      </c>
      <c r="Q434" s="3" t="s">
        <v>26</v>
      </c>
      <c r="R434" s="3">
        <v>0</v>
      </c>
      <c r="S434" s="3" t="s">
        <v>248</v>
      </c>
      <c r="T434" s="3" t="s">
        <v>373</v>
      </c>
      <c r="U434" s="3">
        <v>0</v>
      </c>
      <c r="V434" s="3">
        <v>27</v>
      </c>
      <c r="W434" s="3">
        <v>76</v>
      </c>
    </row>
    <row r="435" spans="1:23" ht="11.25" customHeight="1" x14ac:dyDescent="0.3">
      <c r="A435" s="3" t="s">
        <v>21</v>
      </c>
      <c r="B435" s="3" t="s">
        <v>32</v>
      </c>
      <c r="C435" s="3" t="s">
        <v>23</v>
      </c>
      <c r="D435" s="3" t="s">
        <v>33</v>
      </c>
      <c r="E435" s="3" t="s">
        <v>25</v>
      </c>
      <c r="F435" s="3" t="s">
        <v>25</v>
      </c>
      <c r="G435" s="3" t="s">
        <v>25</v>
      </c>
      <c r="H435" s="3" t="s">
        <v>25</v>
      </c>
      <c r="I435" s="6">
        <v>44621</v>
      </c>
      <c r="J435" s="4">
        <v>0</v>
      </c>
      <c r="K435" s="4">
        <v>0</v>
      </c>
      <c r="L435" s="4">
        <v>235.19399999999999</v>
      </c>
      <c r="M435" s="4">
        <v>235.19399999999999</v>
      </c>
      <c r="N435" s="4">
        <v>235.19399999999999</v>
      </c>
      <c r="O435" s="4">
        <v>235.19399999999999</v>
      </c>
      <c r="P435" s="4">
        <v>109</v>
      </c>
      <c r="Q435" s="3" t="s">
        <v>26</v>
      </c>
      <c r="R435" s="3">
        <v>0</v>
      </c>
      <c r="S435" s="3" t="s">
        <v>249</v>
      </c>
      <c r="T435" s="3" t="s">
        <v>374</v>
      </c>
      <c r="U435" s="3">
        <v>0</v>
      </c>
      <c r="V435" s="3">
        <v>27</v>
      </c>
      <c r="W435" s="3">
        <v>76</v>
      </c>
    </row>
    <row r="436" spans="1:23" ht="11.25" customHeight="1" x14ac:dyDescent="0.3">
      <c r="A436" s="3" t="s">
        <v>27</v>
      </c>
      <c r="B436" s="3" t="s">
        <v>32</v>
      </c>
      <c r="C436" s="3" t="s">
        <v>23</v>
      </c>
      <c r="D436" s="3" t="s">
        <v>33</v>
      </c>
      <c r="E436" s="3" t="s">
        <v>25</v>
      </c>
      <c r="F436" s="3" t="s">
        <v>25</v>
      </c>
      <c r="G436" s="3" t="s">
        <v>25</v>
      </c>
      <c r="H436" s="3" t="s">
        <v>25</v>
      </c>
      <c r="I436" s="6">
        <v>44621</v>
      </c>
      <c r="J436" s="4">
        <v>0</v>
      </c>
      <c r="K436" s="4">
        <v>0</v>
      </c>
      <c r="L436" s="4">
        <v>28.888000000000002</v>
      </c>
      <c r="M436" s="4">
        <v>28.888000000000002</v>
      </c>
      <c r="N436" s="4">
        <v>28.888000000000002</v>
      </c>
      <c r="O436" s="4">
        <v>28.888000000000002</v>
      </c>
      <c r="P436" s="4">
        <v>23</v>
      </c>
      <c r="Q436" s="3" t="s">
        <v>26</v>
      </c>
      <c r="R436" s="3">
        <v>0</v>
      </c>
      <c r="S436" s="3" t="s">
        <v>249</v>
      </c>
      <c r="T436" s="3" t="s">
        <v>374</v>
      </c>
      <c r="U436" s="3">
        <v>0</v>
      </c>
      <c r="V436" s="3">
        <v>27</v>
      </c>
      <c r="W436" s="3">
        <v>76</v>
      </c>
    </row>
    <row r="437" spans="1:23" ht="11.25" customHeight="1" x14ac:dyDescent="0.3">
      <c r="A437" s="3" t="s">
        <v>21</v>
      </c>
      <c r="B437" s="3" t="s">
        <v>32</v>
      </c>
      <c r="C437" s="3" t="s">
        <v>23</v>
      </c>
      <c r="D437" s="3" t="s">
        <v>33</v>
      </c>
      <c r="E437" s="3" t="s">
        <v>25</v>
      </c>
      <c r="F437" s="3" t="s">
        <v>25</v>
      </c>
      <c r="G437" s="3" t="s">
        <v>25</v>
      </c>
      <c r="H437" s="3" t="s">
        <v>25</v>
      </c>
      <c r="I437" s="6">
        <v>44652</v>
      </c>
      <c r="J437" s="4">
        <v>0</v>
      </c>
      <c r="K437" s="4">
        <v>0</v>
      </c>
      <c r="L437" s="4">
        <v>231.643</v>
      </c>
      <c r="M437" s="4">
        <v>231.643</v>
      </c>
      <c r="N437" s="4">
        <v>231.643</v>
      </c>
      <c r="O437" s="4">
        <v>231.643</v>
      </c>
      <c r="P437" s="4">
        <v>110</v>
      </c>
      <c r="Q437" s="3" t="s">
        <v>26</v>
      </c>
      <c r="R437" s="3">
        <v>0</v>
      </c>
      <c r="S437" s="3" t="s">
        <v>250</v>
      </c>
      <c r="T437" s="3" t="s">
        <v>375</v>
      </c>
      <c r="U437" s="3">
        <v>0</v>
      </c>
      <c r="V437" s="3">
        <v>27</v>
      </c>
      <c r="W437" s="3">
        <v>76</v>
      </c>
    </row>
    <row r="438" spans="1:23" ht="11.25" customHeight="1" x14ac:dyDescent="0.3">
      <c r="A438" s="3" t="s">
        <v>27</v>
      </c>
      <c r="B438" s="3" t="s">
        <v>32</v>
      </c>
      <c r="C438" s="3" t="s">
        <v>23</v>
      </c>
      <c r="D438" s="3" t="s">
        <v>33</v>
      </c>
      <c r="E438" s="3" t="s">
        <v>25</v>
      </c>
      <c r="F438" s="3" t="s">
        <v>25</v>
      </c>
      <c r="G438" s="3" t="s">
        <v>25</v>
      </c>
      <c r="H438" s="3" t="s">
        <v>25</v>
      </c>
      <c r="I438" s="6">
        <v>44652</v>
      </c>
      <c r="J438" s="4">
        <v>0</v>
      </c>
      <c r="K438" s="4">
        <v>0</v>
      </c>
      <c r="L438" s="4">
        <v>32.756999999999998</v>
      </c>
      <c r="M438" s="4">
        <v>32.756999999999998</v>
      </c>
      <c r="N438" s="4">
        <v>32.756999999999998</v>
      </c>
      <c r="O438" s="4">
        <v>32.756999999999998</v>
      </c>
      <c r="P438" s="4">
        <v>23</v>
      </c>
      <c r="Q438" s="3" t="s">
        <v>26</v>
      </c>
      <c r="R438" s="3">
        <v>0</v>
      </c>
      <c r="S438" s="3" t="s">
        <v>250</v>
      </c>
      <c r="T438" s="3" t="s">
        <v>375</v>
      </c>
      <c r="U438" s="3">
        <v>0</v>
      </c>
      <c r="V438" s="3">
        <v>27</v>
      </c>
      <c r="W438" s="3">
        <v>76</v>
      </c>
    </row>
    <row r="439" spans="1:23" ht="11.25" customHeight="1" x14ac:dyDescent="0.3">
      <c r="A439" s="3" t="s">
        <v>21</v>
      </c>
      <c r="B439" s="3" t="s">
        <v>32</v>
      </c>
      <c r="C439" s="3" t="s">
        <v>23</v>
      </c>
      <c r="D439" s="3" t="s">
        <v>33</v>
      </c>
      <c r="E439" s="3" t="s">
        <v>25</v>
      </c>
      <c r="F439" s="3" t="s">
        <v>25</v>
      </c>
      <c r="G439" s="3" t="s">
        <v>25</v>
      </c>
      <c r="H439" s="3" t="s">
        <v>25</v>
      </c>
      <c r="I439" s="6">
        <v>44682</v>
      </c>
      <c r="J439" s="4">
        <v>0</v>
      </c>
      <c r="K439" s="4">
        <v>0</v>
      </c>
      <c r="L439" s="4">
        <v>221.31</v>
      </c>
      <c r="M439" s="4">
        <v>221.31</v>
      </c>
      <c r="N439" s="4">
        <v>221.31</v>
      </c>
      <c r="O439" s="4">
        <v>221.31</v>
      </c>
      <c r="P439" s="4">
        <v>108</v>
      </c>
      <c r="Q439" s="3" t="s">
        <v>26</v>
      </c>
      <c r="R439" s="3">
        <v>0</v>
      </c>
      <c r="S439" s="3" t="s">
        <v>251</v>
      </c>
      <c r="T439" s="3" t="s">
        <v>376</v>
      </c>
      <c r="U439" s="3">
        <v>0</v>
      </c>
      <c r="V439" s="3">
        <v>27</v>
      </c>
      <c r="W439" s="3">
        <v>76</v>
      </c>
    </row>
    <row r="440" spans="1:23" ht="11.25" customHeight="1" x14ac:dyDescent="0.3">
      <c r="A440" s="3" t="s">
        <v>27</v>
      </c>
      <c r="B440" s="3" t="s">
        <v>32</v>
      </c>
      <c r="C440" s="3" t="s">
        <v>23</v>
      </c>
      <c r="D440" s="3" t="s">
        <v>33</v>
      </c>
      <c r="E440" s="3" t="s">
        <v>25</v>
      </c>
      <c r="F440" s="3" t="s">
        <v>25</v>
      </c>
      <c r="G440" s="3" t="s">
        <v>25</v>
      </c>
      <c r="H440" s="3" t="s">
        <v>25</v>
      </c>
      <c r="I440" s="6">
        <v>44682</v>
      </c>
      <c r="J440" s="4">
        <v>0</v>
      </c>
      <c r="K440" s="4">
        <v>0</v>
      </c>
      <c r="L440" s="4">
        <v>31.154</v>
      </c>
      <c r="M440" s="4">
        <v>31.154</v>
      </c>
      <c r="N440" s="4">
        <v>31.154</v>
      </c>
      <c r="O440" s="4">
        <v>31.154</v>
      </c>
      <c r="P440" s="4">
        <v>24</v>
      </c>
      <c r="Q440" s="3" t="s">
        <v>26</v>
      </c>
      <c r="R440" s="3">
        <v>0</v>
      </c>
      <c r="S440" s="3" t="s">
        <v>251</v>
      </c>
      <c r="T440" s="3" t="s">
        <v>376</v>
      </c>
      <c r="U440" s="3">
        <v>0</v>
      </c>
      <c r="V440" s="3">
        <v>27</v>
      </c>
      <c r="W440" s="3">
        <v>76</v>
      </c>
    </row>
    <row r="441" spans="1:23" ht="11.25" customHeight="1" x14ac:dyDescent="0.3">
      <c r="A441" s="3" t="s">
        <v>21</v>
      </c>
      <c r="B441" s="3" t="s">
        <v>32</v>
      </c>
      <c r="C441" s="3" t="s">
        <v>23</v>
      </c>
      <c r="D441" s="3" t="s">
        <v>33</v>
      </c>
      <c r="E441" s="3" t="s">
        <v>25</v>
      </c>
      <c r="F441" s="3" t="s">
        <v>25</v>
      </c>
      <c r="G441" s="3" t="s">
        <v>25</v>
      </c>
      <c r="H441" s="3" t="s">
        <v>25</v>
      </c>
      <c r="I441" s="6">
        <v>44713</v>
      </c>
      <c r="J441" s="4">
        <v>0</v>
      </c>
      <c r="K441" s="4">
        <v>0</v>
      </c>
      <c r="L441" s="4">
        <v>245.06</v>
      </c>
      <c r="M441" s="4">
        <v>245.06</v>
      </c>
      <c r="N441" s="4">
        <v>245.06</v>
      </c>
      <c r="O441" s="4">
        <v>245.06</v>
      </c>
      <c r="P441" s="4">
        <v>104</v>
      </c>
      <c r="Q441" s="3" t="s">
        <v>26</v>
      </c>
      <c r="R441" s="3">
        <v>0</v>
      </c>
      <c r="S441" s="3" t="s">
        <v>252</v>
      </c>
      <c r="T441" s="3" t="s">
        <v>377</v>
      </c>
      <c r="U441" s="3">
        <v>0</v>
      </c>
      <c r="V441" s="3">
        <v>27</v>
      </c>
      <c r="W441" s="3">
        <v>76</v>
      </c>
    </row>
    <row r="442" spans="1:23" ht="11.25" customHeight="1" x14ac:dyDescent="0.3">
      <c r="A442" s="3" t="s">
        <v>27</v>
      </c>
      <c r="B442" s="3" t="s">
        <v>32</v>
      </c>
      <c r="C442" s="3" t="s">
        <v>23</v>
      </c>
      <c r="D442" s="3" t="s">
        <v>33</v>
      </c>
      <c r="E442" s="3" t="s">
        <v>25</v>
      </c>
      <c r="F442" s="3" t="s">
        <v>25</v>
      </c>
      <c r="G442" s="3" t="s">
        <v>25</v>
      </c>
      <c r="H442" s="3" t="s">
        <v>25</v>
      </c>
      <c r="I442" s="6">
        <v>44713</v>
      </c>
      <c r="J442" s="4">
        <v>0</v>
      </c>
      <c r="K442" s="4">
        <v>0</v>
      </c>
      <c r="L442" s="4">
        <v>47.393000000000001</v>
      </c>
      <c r="M442" s="4">
        <v>47.393000000000001</v>
      </c>
      <c r="N442" s="4">
        <v>47.393000000000001</v>
      </c>
      <c r="O442" s="4">
        <v>47.393000000000001</v>
      </c>
      <c r="P442" s="4">
        <v>25</v>
      </c>
      <c r="Q442" s="3" t="s">
        <v>26</v>
      </c>
      <c r="R442" s="3">
        <v>0</v>
      </c>
      <c r="S442" s="3" t="s">
        <v>252</v>
      </c>
      <c r="T442" s="3" t="s">
        <v>377</v>
      </c>
      <c r="U442" s="3">
        <v>0</v>
      </c>
      <c r="V442" s="3">
        <v>27</v>
      </c>
      <c r="W442" s="3">
        <v>76</v>
      </c>
    </row>
    <row r="443" spans="1:23" ht="11.25" customHeight="1" x14ac:dyDescent="0.3">
      <c r="A443" s="3" t="s">
        <v>21</v>
      </c>
      <c r="B443" s="3" t="s">
        <v>32</v>
      </c>
      <c r="C443" s="3" t="s">
        <v>23</v>
      </c>
      <c r="D443" s="3" t="s">
        <v>33</v>
      </c>
      <c r="E443" s="3" t="s">
        <v>25</v>
      </c>
      <c r="F443" s="3" t="s">
        <v>25</v>
      </c>
      <c r="G443" s="3" t="s">
        <v>25</v>
      </c>
      <c r="H443" s="3" t="s">
        <v>25</v>
      </c>
      <c r="I443" s="6">
        <v>44743</v>
      </c>
      <c r="J443" s="4">
        <v>0</v>
      </c>
      <c r="K443" s="4">
        <v>0</v>
      </c>
      <c r="L443" s="4">
        <v>219.375</v>
      </c>
      <c r="M443" s="4">
        <v>219.375</v>
      </c>
      <c r="N443" s="4">
        <v>219.375</v>
      </c>
      <c r="O443" s="4">
        <v>219.375</v>
      </c>
      <c r="P443" s="4">
        <v>103</v>
      </c>
      <c r="Q443" s="3" t="s">
        <v>26</v>
      </c>
      <c r="R443" s="3">
        <v>0</v>
      </c>
      <c r="S443" s="3" t="s">
        <v>253</v>
      </c>
      <c r="T443" s="3" t="s">
        <v>378</v>
      </c>
      <c r="U443" s="3">
        <v>0</v>
      </c>
      <c r="V443" s="3">
        <v>27</v>
      </c>
      <c r="W443" s="3">
        <v>76</v>
      </c>
    </row>
    <row r="444" spans="1:23" ht="11.25" customHeight="1" x14ac:dyDescent="0.3">
      <c r="A444" s="3" t="s">
        <v>27</v>
      </c>
      <c r="B444" s="3" t="s">
        <v>32</v>
      </c>
      <c r="C444" s="3" t="s">
        <v>23</v>
      </c>
      <c r="D444" s="3" t="s">
        <v>33</v>
      </c>
      <c r="E444" s="3" t="s">
        <v>25</v>
      </c>
      <c r="F444" s="3" t="s">
        <v>25</v>
      </c>
      <c r="G444" s="3" t="s">
        <v>25</v>
      </c>
      <c r="H444" s="3" t="s">
        <v>25</v>
      </c>
      <c r="I444" s="6">
        <v>44743</v>
      </c>
      <c r="J444" s="4">
        <v>0</v>
      </c>
      <c r="K444" s="4">
        <v>0</v>
      </c>
      <c r="L444" s="4">
        <v>58.578000000000003</v>
      </c>
      <c r="M444" s="4">
        <v>58.578000000000003</v>
      </c>
      <c r="N444" s="4">
        <v>58.578000000000003</v>
      </c>
      <c r="O444" s="4">
        <v>58.578000000000003</v>
      </c>
      <c r="P444" s="4">
        <v>26</v>
      </c>
      <c r="Q444" s="3" t="s">
        <v>26</v>
      </c>
      <c r="R444" s="3">
        <v>0</v>
      </c>
      <c r="S444" s="3" t="s">
        <v>253</v>
      </c>
      <c r="T444" s="3" t="s">
        <v>378</v>
      </c>
      <c r="U444" s="3">
        <v>0</v>
      </c>
      <c r="V444" s="3">
        <v>27</v>
      </c>
      <c r="W444" s="3">
        <v>76</v>
      </c>
    </row>
    <row r="445" spans="1:23" ht="11.25" customHeight="1" x14ac:dyDescent="0.3">
      <c r="A445" s="3" t="s">
        <v>53</v>
      </c>
      <c r="B445" s="3" t="s">
        <v>32</v>
      </c>
      <c r="C445" s="3" t="s">
        <v>23</v>
      </c>
      <c r="D445" s="3" t="s">
        <v>33</v>
      </c>
      <c r="E445" s="3" t="s">
        <v>25</v>
      </c>
      <c r="F445" s="3" t="s">
        <v>25</v>
      </c>
      <c r="G445" s="3" t="s">
        <v>25</v>
      </c>
      <c r="H445" s="3" t="s">
        <v>25</v>
      </c>
      <c r="I445" s="6">
        <v>44774</v>
      </c>
      <c r="J445" s="4">
        <v>0</v>
      </c>
      <c r="K445" s="4">
        <v>0</v>
      </c>
      <c r="L445" s="4">
        <v>219.375</v>
      </c>
      <c r="M445" s="4">
        <v>219.375</v>
      </c>
      <c r="N445" s="4">
        <v>219.375</v>
      </c>
      <c r="O445" s="4">
        <v>219.375</v>
      </c>
      <c r="P445" s="4">
        <v>103</v>
      </c>
      <c r="Q445" s="3" t="s">
        <v>26</v>
      </c>
      <c r="R445" s="3">
        <v>0</v>
      </c>
      <c r="S445" s="3" t="s">
        <v>254</v>
      </c>
      <c r="T445" s="3" t="s">
        <v>379</v>
      </c>
      <c r="U445" s="3">
        <v>0</v>
      </c>
      <c r="V445" s="3">
        <v>27</v>
      </c>
      <c r="W445" s="3">
        <v>76</v>
      </c>
    </row>
    <row r="446" spans="1:23" ht="11.25" customHeight="1" x14ac:dyDescent="0.3">
      <c r="A446" s="3" t="s">
        <v>53</v>
      </c>
      <c r="B446" s="3" t="s">
        <v>32</v>
      </c>
      <c r="C446" s="3" t="s">
        <v>23</v>
      </c>
      <c r="D446" s="3" t="s">
        <v>33</v>
      </c>
      <c r="E446" s="3" t="s">
        <v>25</v>
      </c>
      <c r="F446" s="3" t="s">
        <v>25</v>
      </c>
      <c r="G446" s="3" t="s">
        <v>25</v>
      </c>
      <c r="H446" s="3" t="s">
        <v>25</v>
      </c>
      <c r="I446" s="6">
        <v>44774</v>
      </c>
      <c r="J446" s="4">
        <v>0</v>
      </c>
      <c r="K446" s="4">
        <v>0</v>
      </c>
      <c r="L446" s="4">
        <v>58.578000000000003</v>
      </c>
      <c r="M446" s="4">
        <v>58.578000000000003</v>
      </c>
      <c r="N446" s="4">
        <v>58.578000000000003</v>
      </c>
      <c r="O446" s="4">
        <v>58.578000000000003</v>
      </c>
      <c r="P446" s="4">
        <v>26</v>
      </c>
      <c r="Q446" s="3" t="s">
        <v>26</v>
      </c>
      <c r="R446" s="3">
        <v>0</v>
      </c>
      <c r="S446" s="3" t="s">
        <v>254</v>
      </c>
      <c r="T446" s="3" t="s">
        <v>379</v>
      </c>
      <c r="U446" s="3">
        <v>0</v>
      </c>
      <c r="V446" s="3">
        <v>27</v>
      </c>
      <c r="W446" s="3">
        <v>76</v>
      </c>
    </row>
    <row r="447" spans="1:23" ht="11.25" customHeight="1" x14ac:dyDescent="0.3">
      <c r="A447" s="3" t="s">
        <v>21</v>
      </c>
      <c r="B447" s="3" t="s">
        <v>32</v>
      </c>
      <c r="C447" s="3" t="s">
        <v>23</v>
      </c>
      <c r="D447" s="3" t="s">
        <v>42</v>
      </c>
      <c r="E447" s="3" t="s">
        <v>25</v>
      </c>
      <c r="F447" s="3" t="s">
        <v>25</v>
      </c>
      <c r="G447" s="3" t="s">
        <v>25</v>
      </c>
      <c r="H447" s="3" t="s">
        <v>25</v>
      </c>
      <c r="I447" s="6">
        <v>44440</v>
      </c>
      <c r="J447" s="4">
        <v>0</v>
      </c>
      <c r="K447" s="4">
        <v>0</v>
      </c>
      <c r="L447" s="4">
        <v>55.954000000000001</v>
      </c>
      <c r="M447" s="4">
        <v>55.954000000000001</v>
      </c>
      <c r="N447" s="4">
        <v>55.954000000000001</v>
      </c>
      <c r="O447" s="4">
        <v>55.954000000000001</v>
      </c>
      <c r="P447" s="4">
        <v>100</v>
      </c>
      <c r="Q447" s="3" t="s">
        <v>26</v>
      </c>
      <c r="R447" s="3">
        <v>0</v>
      </c>
      <c r="S447" s="3" t="s">
        <v>243</v>
      </c>
      <c r="T447" s="3" t="s">
        <v>368</v>
      </c>
      <c r="U447" s="3">
        <v>0</v>
      </c>
      <c r="V447" s="3">
        <v>27</v>
      </c>
      <c r="W447" s="3">
        <v>76</v>
      </c>
    </row>
    <row r="448" spans="1:23" ht="11.25" customHeight="1" x14ac:dyDescent="0.3">
      <c r="A448" s="3" t="s">
        <v>21</v>
      </c>
      <c r="B448" s="3" t="s">
        <v>32</v>
      </c>
      <c r="C448" s="3" t="s">
        <v>23</v>
      </c>
      <c r="D448" s="3" t="s">
        <v>42</v>
      </c>
      <c r="E448" s="3" t="s">
        <v>25</v>
      </c>
      <c r="F448" s="3" t="s">
        <v>25</v>
      </c>
      <c r="G448" s="3" t="s">
        <v>25</v>
      </c>
      <c r="H448" s="3" t="s">
        <v>25</v>
      </c>
      <c r="I448" s="6">
        <v>44470</v>
      </c>
      <c r="J448" s="4">
        <v>0</v>
      </c>
      <c r="K448" s="4">
        <v>0</v>
      </c>
      <c r="L448" s="4">
        <v>59.122</v>
      </c>
      <c r="M448" s="4">
        <v>59.122</v>
      </c>
      <c r="N448" s="4">
        <v>59.122</v>
      </c>
      <c r="O448" s="4">
        <v>59.122</v>
      </c>
      <c r="P448" s="4">
        <v>100</v>
      </c>
      <c r="Q448" s="3" t="s">
        <v>26</v>
      </c>
      <c r="R448" s="3">
        <v>0</v>
      </c>
      <c r="S448" s="3" t="s">
        <v>244</v>
      </c>
      <c r="T448" s="3" t="s">
        <v>369</v>
      </c>
      <c r="U448" s="3">
        <v>0</v>
      </c>
      <c r="V448" s="3">
        <v>27</v>
      </c>
      <c r="W448" s="3">
        <v>76</v>
      </c>
    </row>
    <row r="449" spans="1:23" ht="11.25" customHeight="1" x14ac:dyDescent="0.3">
      <c r="A449" s="3" t="s">
        <v>21</v>
      </c>
      <c r="B449" s="3" t="s">
        <v>32</v>
      </c>
      <c r="C449" s="3" t="s">
        <v>23</v>
      </c>
      <c r="D449" s="3" t="s">
        <v>42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44501</v>
      </c>
      <c r="J449" s="4">
        <v>0</v>
      </c>
      <c r="K449" s="4">
        <v>0</v>
      </c>
      <c r="L449" s="4">
        <v>67.272999999999996</v>
      </c>
      <c r="M449" s="4">
        <v>67.272999999999996</v>
      </c>
      <c r="N449" s="4">
        <v>67.272999999999996</v>
      </c>
      <c r="O449" s="4">
        <v>67.272999999999996</v>
      </c>
      <c r="P449" s="4">
        <v>100</v>
      </c>
      <c r="Q449" s="3" t="s">
        <v>26</v>
      </c>
      <c r="R449" s="3">
        <v>0</v>
      </c>
      <c r="S449" s="3" t="s">
        <v>245</v>
      </c>
      <c r="T449" s="3" t="s">
        <v>370</v>
      </c>
      <c r="U449" s="3">
        <v>0</v>
      </c>
      <c r="V449" s="3">
        <v>27</v>
      </c>
      <c r="W449" s="3">
        <v>76</v>
      </c>
    </row>
    <row r="450" spans="1:23" ht="11.25" customHeight="1" x14ac:dyDescent="0.3">
      <c r="A450" s="3" t="s">
        <v>21</v>
      </c>
      <c r="B450" s="3" t="s">
        <v>32</v>
      </c>
      <c r="C450" s="3" t="s">
        <v>23</v>
      </c>
      <c r="D450" s="3" t="s">
        <v>42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44531</v>
      </c>
      <c r="J450" s="4">
        <v>0</v>
      </c>
      <c r="K450" s="4">
        <v>0</v>
      </c>
      <c r="L450" s="4">
        <v>70.724999999999994</v>
      </c>
      <c r="M450" s="4">
        <v>70.724999999999994</v>
      </c>
      <c r="N450" s="4">
        <v>70.724999999999994</v>
      </c>
      <c r="O450" s="4">
        <v>70.724999999999994</v>
      </c>
      <c r="P450" s="4">
        <v>100</v>
      </c>
      <c r="Q450" s="3" t="s">
        <v>26</v>
      </c>
      <c r="R450" s="3">
        <v>0</v>
      </c>
      <c r="S450" s="3" t="s">
        <v>246</v>
      </c>
      <c r="T450" s="3" t="s">
        <v>371</v>
      </c>
      <c r="U450" s="3">
        <v>0</v>
      </c>
      <c r="V450" s="3">
        <v>27</v>
      </c>
      <c r="W450" s="3">
        <v>76</v>
      </c>
    </row>
    <row r="451" spans="1:23" ht="11.25" customHeight="1" x14ac:dyDescent="0.3">
      <c r="A451" s="3" t="s">
        <v>21</v>
      </c>
      <c r="B451" s="3" t="s">
        <v>32</v>
      </c>
      <c r="C451" s="3" t="s">
        <v>23</v>
      </c>
      <c r="D451" s="3" t="s">
        <v>42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44562</v>
      </c>
      <c r="J451" s="4">
        <v>0</v>
      </c>
      <c r="K451" s="4">
        <v>0</v>
      </c>
      <c r="L451" s="4">
        <v>50.838000000000001</v>
      </c>
      <c r="M451" s="4">
        <v>50.838000000000001</v>
      </c>
      <c r="N451" s="4">
        <v>50.838000000000001</v>
      </c>
      <c r="O451" s="4">
        <v>50.838000000000001</v>
      </c>
      <c r="P451" s="4">
        <v>101</v>
      </c>
      <c r="Q451" s="3" t="s">
        <v>26</v>
      </c>
      <c r="R451" s="3">
        <v>0</v>
      </c>
      <c r="S451" s="3" t="s">
        <v>247</v>
      </c>
      <c r="T451" s="3" t="s">
        <v>372</v>
      </c>
      <c r="U451" s="3">
        <v>0</v>
      </c>
      <c r="V451" s="3">
        <v>27</v>
      </c>
      <c r="W451" s="3">
        <v>76</v>
      </c>
    </row>
    <row r="452" spans="1:23" ht="11.25" customHeight="1" x14ac:dyDescent="0.3">
      <c r="A452" s="3" t="s">
        <v>21</v>
      </c>
      <c r="B452" s="3" t="s">
        <v>32</v>
      </c>
      <c r="C452" s="3" t="s">
        <v>23</v>
      </c>
      <c r="D452" s="3" t="s">
        <v>42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44593</v>
      </c>
      <c r="J452" s="4">
        <v>0</v>
      </c>
      <c r="K452" s="4">
        <v>0</v>
      </c>
      <c r="L452" s="4">
        <v>84.031000000000006</v>
      </c>
      <c r="M452" s="4">
        <v>84.031000000000006</v>
      </c>
      <c r="N452" s="4">
        <v>84.031000000000006</v>
      </c>
      <c r="O452" s="4">
        <v>84.031000000000006</v>
      </c>
      <c r="P452" s="4">
        <v>102</v>
      </c>
      <c r="Q452" s="3" t="s">
        <v>26</v>
      </c>
      <c r="R452" s="3">
        <v>0</v>
      </c>
      <c r="S452" s="3" t="s">
        <v>248</v>
      </c>
      <c r="T452" s="3" t="s">
        <v>373</v>
      </c>
      <c r="U452" s="3">
        <v>0</v>
      </c>
      <c r="V452" s="3">
        <v>27</v>
      </c>
      <c r="W452" s="3">
        <v>76</v>
      </c>
    </row>
    <row r="453" spans="1:23" ht="11.25" customHeight="1" x14ac:dyDescent="0.3">
      <c r="A453" s="3" t="s">
        <v>21</v>
      </c>
      <c r="B453" s="3" t="s">
        <v>32</v>
      </c>
      <c r="C453" s="3" t="s">
        <v>23</v>
      </c>
      <c r="D453" s="3" t="s">
        <v>42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44621</v>
      </c>
      <c r="J453" s="4">
        <v>0</v>
      </c>
      <c r="K453" s="4">
        <v>0</v>
      </c>
      <c r="L453" s="4">
        <v>103.98399999999999</v>
      </c>
      <c r="M453" s="4">
        <v>103.98399999999999</v>
      </c>
      <c r="N453" s="4">
        <v>103.98399999999999</v>
      </c>
      <c r="O453" s="4">
        <v>103.98399999999999</v>
      </c>
      <c r="P453" s="4">
        <v>102</v>
      </c>
      <c r="Q453" s="3" t="s">
        <v>26</v>
      </c>
      <c r="R453" s="3">
        <v>0</v>
      </c>
      <c r="S453" s="3" t="s">
        <v>249</v>
      </c>
      <c r="T453" s="3" t="s">
        <v>374</v>
      </c>
      <c r="U453" s="3">
        <v>0</v>
      </c>
      <c r="V453" s="3">
        <v>27</v>
      </c>
      <c r="W453" s="3">
        <v>76</v>
      </c>
    </row>
    <row r="454" spans="1:23" ht="11.25" customHeight="1" x14ac:dyDescent="0.3">
      <c r="A454" s="3" t="s">
        <v>21</v>
      </c>
      <c r="B454" s="3" t="s">
        <v>32</v>
      </c>
      <c r="C454" s="3" t="s">
        <v>23</v>
      </c>
      <c r="D454" s="3" t="s">
        <v>42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44652</v>
      </c>
      <c r="J454" s="4">
        <v>0</v>
      </c>
      <c r="K454" s="4">
        <v>0</v>
      </c>
      <c r="L454" s="4">
        <v>70.608000000000004</v>
      </c>
      <c r="M454" s="4">
        <v>70.608000000000004</v>
      </c>
      <c r="N454" s="4">
        <v>70.608000000000004</v>
      </c>
      <c r="O454" s="4">
        <v>70.608000000000004</v>
      </c>
      <c r="P454" s="4">
        <v>102</v>
      </c>
      <c r="Q454" s="3" t="s">
        <v>26</v>
      </c>
      <c r="R454" s="3">
        <v>0</v>
      </c>
      <c r="S454" s="3" t="s">
        <v>250</v>
      </c>
      <c r="T454" s="3" t="s">
        <v>375</v>
      </c>
      <c r="U454" s="3">
        <v>0</v>
      </c>
      <c r="V454" s="3">
        <v>27</v>
      </c>
      <c r="W454" s="3">
        <v>76</v>
      </c>
    </row>
    <row r="455" spans="1:23" ht="11.25" customHeight="1" x14ac:dyDescent="0.3">
      <c r="A455" s="3" t="s">
        <v>21</v>
      </c>
      <c r="B455" s="3" t="s">
        <v>32</v>
      </c>
      <c r="C455" s="3" t="s">
        <v>23</v>
      </c>
      <c r="D455" s="3" t="s">
        <v>42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44682</v>
      </c>
      <c r="J455" s="4">
        <v>0</v>
      </c>
      <c r="K455" s="4">
        <v>0</v>
      </c>
      <c r="L455" s="4">
        <v>61.956000000000003</v>
      </c>
      <c r="M455" s="4">
        <v>61.956000000000003</v>
      </c>
      <c r="N455" s="4">
        <v>61.956000000000003</v>
      </c>
      <c r="O455" s="4">
        <v>61.956000000000003</v>
      </c>
      <c r="P455" s="4">
        <v>102</v>
      </c>
      <c r="Q455" s="3" t="s">
        <v>26</v>
      </c>
      <c r="R455" s="3">
        <v>0</v>
      </c>
      <c r="S455" s="3" t="s">
        <v>251</v>
      </c>
      <c r="T455" s="3" t="s">
        <v>376</v>
      </c>
      <c r="U455" s="3">
        <v>0</v>
      </c>
      <c r="V455" s="3">
        <v>27</v>
      </c>
      <c r="W455" s="3">
        <v>76</v>
      </c>
    </row>
    <row r="456" spans="1:23" ht="11.25" customHeight="1" x14ac:dyDescent="0.3">
      <c r="A456" s="3" t="s">
        <v>21</v>
      </c>
      <c r="B456" s="3" t="s">
        <v>32</v>
      </c>
      <c r="C456" s="3" t="s">
        <v>23</v>
      </c>
      <c r="D456" s="3" t="s">
        <v>42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44713</v>
      </c>
      <c r="J456" s="4">
        <v>0</v>
      </c>
      <c r="K456" s="4">
        <v>0</v>
      </c>
      <c r="L456" s="4">
        <v>68.695999999999998</v>
      </c>
      <c r="M456" s="4">
        <v>68.695999999999998</v>
      </c>
      <c r="N456" s="4">
        <v>68.695999999999998</v>
      </c>
      <c r="O456" s="4">
        <v>68.695999999999998</v>
      </c>
      <c r="P456" s="4">
        <v>104</v>
      </c>
      <c r="Q456" s="3" t="s">
        <v>26</v>
      </c>
      <c r="R456" s="3">
        <v>0</v>
      </c>
      <c r="S456" s="3" t="s">
        <v>252</v>
      </c>
      <c r="T456" s="3" t="s">
        <v>377</v>
      </c>
      <c r="U456" s="3">
        <v>0</v>
      </c>
      <c r="V456" s="3">
        <v>27</v>
      </c>
      <c r="W456" s="3">
        <v>76</v>
      </c>
    </row>
    <row r="457" spans="1:23" ht="11.25" customHeight="1" x14ac:dyDescent="0.3">
      <c r="A457" s="3" t="s">
        <v>21</v>
      </c>
      <c r="B457" s="3" t="s">
        <v>32</v>
      </c>
      <c r="C457" s="3" t="s">
        <v>23</v>
      </c>
      <c r="D457" s="3" t="s">
        <v>42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44743</v>
      </c>
      <c r="J457" s="4">
        <v>0</v>
      </c>
      <c r="K457" s="4">
        <v>0</v>
      </c>
      <c r="L457" s="4">
        <v>59.814</v>
      </c>
      <c r="M457" s="4">
        <v>59.814</v>
      </c>
      <c r="N457" s="4">
        <v>59.814</v>
      </c>
      <c r="O457" s="4">
        <v>59.814</v>
      </c>
      <c r="P457" s="4">
        <v>104</v>
      </c>
      <c r="Q457" s="3" t="s">
        <v>26</v>
      </c>
      <c r="R457" s="3">
        <v>0</v>
      </c>
      <c r="S457" s="3" t="s">
        <v>253</v>
      </c>
      <c r="T457" s="3" t="s">
        <v>378</v>
      </c>
      <c r="U457" s="3">
        <v>0</v>
      </c>
      <c r="V457" s="3">
        <v>27</v>
      </c>
      <c r="W457" s="3">
        <v>76</v>
      </c>
    </row>
    <row r="458" spans="1:23" ht="11.25" customHeight="1" x14ac:dyDescent="0.3">
      <c r="A458" s="3" t="s">
        <v>53</v>
      </c>
      <c r="B458" s="3" t="s">
        <v>32</v>
      </c>
      <c r="C458" s="3" t="s">
        <v>23</v>
      </c>
      <c r="D458" s="3" t="s">
        <v>42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44774</v>
      </c>
      <c r="J458" s="4">
        <v>0</v>
      </c>
      <c r="K458" s="4">
        <v>0</v>
      </c>
      <c r="L458" s="4">
        <v>59.814</v>
      </c>
      <c r="M458" s="4">
        <v>59.814</v>
      </c>
      <c r="N458" s="4">
        <v>59.814</v>
      </c>
      <c r="O458" s="4">
        <v>59.814</v>
      </c>
      <c r="P458" s="4">
        <v>104</v>
      </c>
      <c r="Q458" s="3" t="s">
        <v>26</v>
      </c>
      <c r="R458" s="3">
        <v>0</v>
      </c>
      <c r="S458" s="3" t="s">
        <v>254</v>
      </c>
      <c r="T458" s="3" t="s">
        <v>379</v>
      </c>
      <c r="U458" s="3">
        <v>0</v>
      </c>
      <c r="V458" s="3">
        <v>27</v>
      </c>
      <c r="W458" s="3">
        <v>76</v>
      </c>
    </row>
    <row r="459" spans="1:23" ht="11.25" customHeight="1" x14ac:dyDescent="0.3">
      <c r="A459" s="3" t="s">
        <v>21</v>
      </c>
      <c r="B459" s="3" t="s">
        <v>32</v>
      </c>
      <c r="C459" s="3" t="s">
        <v>23</v>
      </c>
      <c r="D459" s="3" t="s">
        <v>46</v>
      </c>
      <c r="E459" s="3" t="s">
        <v>47</v>
      </c>
      <c r="F459" s="3" t="s">
        <v>25</v>
      </c>
      <c r="G459" s="3" t="s">
        <v>25</v>
      </c>
      <c r="H459" s="3" t="s">
        <v>25</v>
      </c>
      <c r="I459" s="6">
        <v>44440</v>
      </c>
      <c r="J459" s="4">
        <v>0</v>
      </c>
      <c r="K459" s="4">
        <v>0</v>
      </c>
      <c r="L459" s="4">
        <v>14.595000000000001</v>
      </c>
      <c r="M459" s="4">
        <v>13.7193</v>
      </c>
      <c r="N459" s="4">
        <v>14.595000000000001</v>
      </c>
      <c r="O459" s="4">
        <v>13.7193</v>
      </c>
      <c r="P459" s="4">
        <v>16</v>
      </c>
      <c r="Q459" s="3" t="s">
        <v>26</v>
      </c>
      <c r="R459" s="3">
        <v>0</v>
      </c>
      <c r="S459" s="3" t="s">
        <v>243</v>
      </c>
      <c r="T459" s="3" t="s">
        <v>368</v>
      </c>
      <c r="U459" s="3">
        <v>0</v>
      </c>
      <c r="V459" s="3">
        <v>27</v>
      </c>
      <c r="W459" s="3">
        <v>76</v>
      </c>
    </row>
    <row r="460" spans="1:23" ht="11.25" customHeight="1" x14ac:dyDescent="0.3">
      <c r="A460" s="3" t="s">
        <v>48</v>
      </c>
      <c r="B460" s="3" t="s">
        <v>32</v>
      </c>
      <c r="C460" s="3" t="s">
        <v>23</v>
      </c>
      <c r="D460" s="3" t="s">
        <v>46</v>
      </c>
      <c r="E460" s="3" t="s">
        <v>47</v>
      </c>
      <c r="F460" s="3" t="s">
        <v>25</v>
      </c>
      <c r="G460" s="3" t="s">
        <v>25</v>
      </c>
      <c r="H460" s="3" t="s">
        <v>25</v>
      </c>
      <c r="I460" s="6">
        <v>44440</v>
      </c>
      <c r="J460" s="4">
        <v>0</v>
      </c>
      <c r="K460" s="4">
        <v>0</v>
      </c>
      <c r="L460" s="4">
        <v>-0.498</v>
      </c>
      <c r="M460" s="4">
        <v>-0.46811999999999998</v>
      </c>
      <c r="N460" s="4">
        <v>-0.498</v>
      </c>
      <c r="O460" s="4">
        <v>-0.46811999999999998</v>
      </c>
      <c r="P460" s="4">
        <v>0</v>
      </c>
      <c r="Q460" s="3" t="s">
        <v>26</v>
      </c>
      <c r="R460" s="3">
        <v>0</v>
      </c>
      <c r="S460" s="3" t="s">
        <v>243</v>
      </c>
      <c r="T460" s="3" t="s">
        <v>368</v>
      </c>
      <c r="U460" s="3">
        <v>0</v>
      </c>
      <c r="V460" s="3">
        <v>27</v>
      </c>
      <c r="W460" s="3">
        <v>76</v>
      </c>
    </row>
    <row r="461" spans="1:23" ht="11.25" customHeight="1" x14ac:dyDescent="0.3">
      <c r="A461" s="3" t="s">
        <v>21</v>
      </c>
      <c r="B461" s="3" t="s">
        <v>32</v>
      </c>
      <c r="C461" s="3" t="s">
        <v>23</v>
      </c>
      <c r="D461" s="3" t="s">
        <v>46</v>
      </c>
      <c r="E461" s="3" t="s">
        <v>47</v>
      </c>
      <c r="F461" s="3" t="s">
        <v>25</v>
      </c>
      <c r="G461" s="3" t="s">
        <v>25</v>
      </c>
      <c r="H461" s="3" t="s">
        <v>25</v>
      </c>
      <c r="I461" s="6">
        <v>44470</v>
      </c>
      <c r="J461" s="4">
        <v>0</v>
      </c>
      <c r="K461" s="4">
        <v>0</v>
      </c>
      <c r="L461" s="4">
        <v>14.583</v>
      </c>
      <c r="M461" s="4">
        <v>13.708019999999999</v>
      </c>
      <c r="N461" s="4">
        <v>14.583</v>
      </c>
      <c r="O461" s="4">
        <v>13.708019999999999</v>
      </c>
      <c r="P461" s="4">
        <v>16</v>
      </c>
      <c r="Q461" s="3" t="s">
        <v>26</v>
      </c>
      <c r="R461" s="3">
        <v>0</v>
      </c>
      <c r="S461" s="3" t="s">
        <v>244</v>
      </c>
      <c r="T461" s="3" t="s">
        <v>369</v>
      </c>
      <c r="U461" s="3">
        <v>0</v>
      </c>
      <c r="V461" s="3">
        <v>27</v>
      </c>
      <c r="W461" s="3">
        <v>76</v>
      </c>
    </row>
    <row r="462" spans="1:23" ht="11.25" customHeight="1" x14ac:dyDescent="0.3">
      <c r="A462" s="3" t="s">
        <v>21</v>
      </c>
      <c r="B462" s="3" t="s">
        <v>32</v>
      </c>
      <c r="C462" s="3" t="s">
        <v>23</v>
      </c>
      <c r="D462" s="3" t="s">
        <v>46</v>
      </c>
      <c r="E462" s="3" t="s">
        <v>47</v>
      </c>
      <c r="F462" s="3" t="s">
        <v>25</v>
      </c>
      <c r="G462" s="3" t="s">
        <v>25</v>
      </c>
      <c r="H462" s="3" t="s">
        <v>25</v>
      </c>
      <c r="I462" s="6">
        <v>44501</v>
      </c>
      <c r="J462" s="4">
        <v>0</v>
      </c>
      <c r="K462" s="4">
        <v>0</v>
      </c>
      <c r="L462" s="4">
        <v>15.177</v>
      </c>
      <c r="M462" s="4">
        <v>14.26638</v>
      </c>
      <c r="N462" s="4">
        <v>15.177</v>
      </c>
      <c r="O462" s="4">
        <v>14.26638</v>
      </c>
      <c r="P462" s="4">
        <v>16</v>
      </c>
      <c r="Q462" s="3" t="s">
        <v>26</v>
      </c>
      <c r="R462" s="3">
        <v>0</v>
      </c>
      <c r="S462" s="3" t="s">
        <v>245</v>
      </c>
      <c r="T462" s="3" t="s">
        <v>370</v>
      </c>
      <c r="U462" s="3">
        <v>0</v>
      </c>
      <c r="V462" s="3">
        <v>27</v>
      </c>
      <c r="W462" s="3">
        <v>76</v>
      </c>
    </row>
    <row r="463" spans="1:23" ht="11.25" customHeight="1" x14ac:dyDescent="0.3">
      <c r="A463" s="3" t="s">
        <v>21</v>
      </c>
      <c r="B463" s="3" t="s">
        <v>32</v>
      </c>
      <c r="C463" s="3" t="s">
        <v>23</v>
      </c>
      <c r="D463" s="3" t="s">
        <v>46</v>
      </c>
      <c r="E463" s="3" t="s">
        <v>47</v>
      </c>
      <c r="F463" s="3" t="s">
        <v>25</v>
      </c>
      <c r="G463" s="3" t="s">
        <v>25</v>
      </c>
      <c r="H463" s="3" t="s">
        <v>25</v>
      </c>
      <c r="I463" s="6">
        <v>44531</v>
      </c>
      <c r="J463" s="4">
        <v>0</v>
      </c>
      <c r="K463" s="4">
        <v>0</v>
      </c>
      <c r="L463" s="4">
        <v>13.978</v>
      </c>
      <c r="M463" s="4">
        <v>13.13932</v>
      </c>
      <c r="N463" s="4">
        <v>13.978</v>
      </c>
      <c r="O463" s="4">
        <v>13.13932</v>
      </c>
      <c r="P463" s="4">
        <v>16</v>
      </c>
      <c r="Q463" s="3" t="s">
        <v>26</v>
      </c>
      <c r="R463" s="3">
        <v>0</v>
      </c>
      <c r="S463" s="3" t="s">
        <v>246</v>
      </c>
      <c r="T463" s="3" t="s">
        <v>371</v>
      </c>
      <c r="U463" s="3">
        <v>0</v>
      </c>
      <c r="V463" s="3">
        <v>27</v>
      </c>
      <c r="W463" s="3">
        <v>76</v>
      </c>
    </row>
    <row r="464" spans="1:23" ht="11.25" customHeight="1" x14ac:dyDescent="0.3">
      <c r="A464" s="3" t="s">
        <v>21</v>
      </c>
      <c r="B464" s="3" t="s">
        <v>32</v>
      </c>
      <c r="C464" s="3" t="s">
        <v>23</v>
      </c>
      <c r="D464" s="3" t="s">
        <v>46</v>
      </c>
      <c r="E464" s="3" t="s">
        <v>47</v>
      </c>
      <c r="F464" s="3" t="s">
        <v>25</v>
      </c>
      <c r="G464" s="3" t="s">
        <v>25</v>
      </c>
      <c r="H464" s="3" t="s">
        <v>25</v>
      </c>
      <c r="I464" s="6">
        <v>44562</v>
      </c>
      <c r="J464" s="4">
        <v>0</v>
      </c>
      <c r="K464" s="4">
        <v>0</v>
      </c>
      <c r="L464" s="4">
        <v>13.185</v>
      </c>
      <c r="M464" s="4">
        <v>12.3939</v>
      </c>
      <c r="N464" s="4">
        <v>13.185</v>
      </c>
      <c r="O464" s="4">
        <v>12.3939</v>
      </c>
      <c r="P464" s="4">
        <v>16</v>
      </c>
      <c r="Q464" s="3" t="s">
        <v>26</v>
      </c>
      <c r="R464" s="3">
        <v>0</v>
      </c>
      <c r="S464" s="3" t="s">
        <v>247</v>
      </c>
      <c r="T464" s="3" t="s">
        <v>372</v>
      </c>
      <c r="U464" s="3">
        <v>0</v>
      </c>
      <c r="V464" s="3">
        <v>27</v>
      </c>
      <c r="W464" s="3">
        <v>76</v>
      </c>
    </row>
    <row r="465" spans="1:23" ht="11.25" customHeight="1" x14ac:dyDescent="0.3">
      <c r="A465" s="3" t="s">
        <v>21</v>
      </c>
      <c r="B465" s="3" t="s">
        <v>32</v>
      </c>
      <c r="C465" s="3" t="s">
        <v>23</v>
      </c>
      <c r="D465" s="3" t="s">
        <v>46</v>
      </c>
      <c r="E465" s="3" t="s">
        <v>47</v>
      </c>
      <c r="F465" s="3" t="s">
        <v>25</v>
      </c>
      <c r="G465" s="3" t="s">
        <v>25</v>
      </c>
      <c r="H465" s="3" t="s">
        <v>25</v>
      </c>
      <c r="I465" s="6">
        <v>44593</v>
      </c>
      <c r="J465" s="4">
        <v>0</v>
      </c>
      <c r="K465" s="4">
        <v>0</v>
      </c>
      <c r="L465" s="4">
        <v>15.356999999999999</v>
      </c>
      <c r="M465" s="4">
        <v>14.43558</v>
      </c>
      <c r="N465" s="4">
        <v>15.356999999999999</v>
      </c>
      <c r="O465" s="4">
        <v>14.43558</v>
      </c>
      <c r="P465" s="4">
        <v>16</v>
      </c>
      <c r="Q465" s="3" t="s">
        <v>26</v>
      </c>
      <c r="R465" s="3">
        <v>0</v>
      </c>
      <c r="S465" s="3" t="s">
        <v>248</v>
      </c>
      <c r="T465" s="3" t="s">
        <v>373</v>
      </c>
      <c r="U465" s="3">
        <v>0</v>
      </c>
      <c r="V465" s="3">
        <v>27</v>
      </c>
      <c r="W465" s="3">
        <v>76</v>
      </c>
    </row>
    <row r="466" spans="1:23" ht="11.25" customHeight="1" x14ac:dyDescent="0.3">
      <c r="A466" s="3" t="s">
        <v>21</v>
      </c>
      <c r="B466" s="3" t="s">
        <v>32</v>
      </c>
      <c r="C466" s="3" t="s">
        <v>23</v>
      </c>
      <c r="D466" s="3" t="s">
        <v>46</v>
      </c>
      <c r="E466" s="3" t="s">
        <v>47</v>
      </c>
      <c r="F466" s="3" t="s">
        <v>25</v>
      </c>
      <c r="G466" s="3" t="s">
        <v>25</v>
      </c>
      <c r="H466" s="3" t="s">
        <v>25</v>
      </c>
      <c r="I466" s="6">
        <v>44621</v>
      </c>
      <c r="J466" s="4">
        <v>0</v>
      </c>
      <c r="K466" s="4">
        <v>0</v>
      </c>
      <c r="L466" s="4">
        <v>14.31</v>
      </c>
      <c r="M466" s="4">
        <v>13.4514</v>
      </c>
      <c r="N466" s="4">
        <v>14.31</v>
      </c>
      <c r="O466" s="4">
        <v>13.4514</v>
      </c>
      <c r="P466" s="4">
        <v>16</v>
      </c>
      <c r="Q466" s="3" t="s">
        <v>26</v>
      </c>
      <c r="R466" s="3">
        <v>0</v>
      </c>
      <c r="S466" s="3" t="s">
        <v>249</v>
      </c>
      <c r="T466" s="3" t="s">
        <v>374</v>
      </c>
      <c r="U466" s="3">
        <v>0</v>
      </c>
      <c r="V466" s="3">
        <v>27</v>
      </c>
      <c r="W466" s="3">
        <v>76</v>
      </c>
    </row>
    <row r="467" spans="1:23" ht="11.25" customHeight="1" x14ac:dyDescent="0.3">
      <c r="A467" s="3" t="s">
        <v>21</v>
      </c>
      <c r="B467" s="3" t="s">
        <v>32</v>
      </c>
      <c r="C467" s="3" t="s">
        <v>23</v>
      </c>
      <c r="D467" s="3" t="s">
        <v>46</v>
      </c>
      <c r="E467" s="3" t="s">
        <v>47</v>
      </c>
      <c r="F467" s="3" t="s">
        <v>25</v>
      </c>
      <c r="G467" s="3" t="s">
        <v>25</v>
      </c>
      <c r="H467" s="3" t="s">
        <v>25</v>
      </c>
      <c r="I467" s="6">
        <v>44652</v>
      </c>
      <c r="J467" s="4">
        <v>0</v>
      </c>
      <c r="K467" s="4">
        <v>0</v>
      </c>
      <c r="L467" s="4">
        <v>14.478999999999999</v>
      </c>
      <c r="M467" s="4">
        <v>13.61026</v>
      </c>
      <c r="N467" s="4">
        <v>14.478999999999999</v>
      </c>
      <c r="O467" s="4">
        <v>13.61026</v>
      </c>
      <c r="P467" s="4">
        <v>16</v>
      </c>
      <c r="Q467" s="3" t="s">
        <v>26</v>
      </c>
      <c r="R467" s="3">
        <v>0</v>
      </c>
      <c r="S467" s="3" t="s">
        <v>250</v>
      </c>
      <c r="T467" s="3" t="s">
        <v>375</v>
      </c>
      <c r="U467" s="3">
        <v>0</v>
      </c>
      <c r="V467" s="3">
        <v>27</v>
      </c>
      <c r="W467" s="3">
        <v>76</v>
      </c>
    </row>
    <row r="468" spans="1:23" ht="11.25" customHeight="1" x14ac:dyDescent="0.3">
      <c r="A468" s="3" t="s">
        <v>21</v>
      </c>
      <c r="B468" s="3" t="s">
        <v>32</v>
      </c>
      <c r="C468" s="3" t="s">
        <v>23</v>
      </c>
      <c r="D468" s="3" t="s">
        <v>46</v>
      </c>
      <c r="E468" s="3" t="s">
        <v>47</v>
      </c>
      <c r="F468" s="3" t="s">
        <v>25</v>
      </c>
      <c r="G468" s="3" t="s">
        <v>25</v>
      </c>
      <c r="H468" s="3" t="s">
        <v>25</v>
      </c>
      <c r="I468" s="6">
        <v>44682</v>
      </c>
      <c r="J468" s="4">
        <v>0</v>
      </c>
      <c r="K468" s="4">
        <v>0</v>
      </c>
      <c r="L468" s="4">
        <v>14.087</v>
      </c>
      <c r="M468" s="4">
        <v>13.24178</v>
      </c>
      <c r="N468" s="4">
        <v>14.087</v>
      </c>
      <c r="O468" s="4">
        <v>13.24178</v>
      </c>
      <c r="P468" s="4">
        <v>16</v>
      </c>
      <c r="Q468" s="3" t="s">
        <v>26</v>
      </c>
      <c r="R468" s="3">
        <v>0</v>
      </c>
      <c r="S468" s="3" t="s">
        <v>251</v>
      </c>
      <c r="T468" s="3" t="s">
        <v>376</v>
      </c>
      <c r="U468" s="3">
        <v>0</v>
      </c>
      <c r="V468" s="3">
        <v>27</v>
      </c>
      <c r="W468" s="3">
        <v>76</v>
      </c>
    </row>
    <row r="469" spans="1:23" ht="11.25" customHeight="1" x14ac:dyDescent="0.3">
      <c r="A469" s="3" t="s">
        <v>21</v>
      </c>
      <c r="B469" s="3" t="s">
        <v>32</v>
      </c>
      <c r="C469" s="3" t="s">
        <v>23</v>
      </c>
      <c r="D469" s="3" t="s">
        <v>46</v>
      </c>
      <c r="E469" s="3" t="s">
        <v>47</v>
      </c>
      <c r="F469" s="3" t="s">
        <v>25</v>
      </c>
      <c r="G469" s="3" t="s">
        <v>25</v>
      </c>
      <c r="H469" s="3" t="s">
        <v>25</v>
      </c>
      <c r="I469" s="6">
        <v>44713</v>
      </c>
      <c r="J469" s="4">
        <v>0</v>
      </c>
      <c r="K469" s="4">
        <v>0</v>
      </c>
      <c r="L469" s="4">
        <v>15.03</v>
      </c>
      <c r="M469" s="4">
        <v>14.1282</v>
      </c>
      <c r="N469" s="4">
        <v>15.03</v>
      </c>
      <c r="O469" s="4">
        <v>14.1282</v>
      </c>
      <c r="P469" s="4">
        <v>16</v>
      </c>
      <c r="Q469" s="3" t="s">
        <v>26</v>
      </c>
      <c r="R469" s="3">
        <v>0</v>
      </c>
      <c r="S469" s="3" t="s">
        <v>252</v>
      </c>
      <c r="T469" s="3" t="s">
        <v>377</v>
      </c>
      <c r="U469" s="3">
        <v>0</v>
      </c>
      <c r="V469" s="3">
        <v>27</v>
      </c>
      <c r="W469" s="3">
        <v>76</v>
      </c>
    </row>
    <row r="470" spans="1:23" ht="11.25" customHeight="1" x14ac:dyDescent="0.3">
      <c r="A470" s="3" t="s">
        <v>21</v>
      </c>
      <c r="B470" s="3" t="s">
        <v>32</v>
      </c>
      <c r="C470" s="3" t="s">
        <v>23</v>
      </c>
      <c r="D470" s="3" t="s">
        <v>46</v>
      </c>
      <c r="E470" s="3" t="s">
        <v>47</v>
      </c>
      <c r="F470" s="3" t="s">
        <v>25</v>
      </c>
      <c r="G470" s="3" t="s">
        <v>25</v>
      </c>
      <c r="H470" s="3" t="s">
        <v>25</v>
      </c>
      <c r="I470" s="6">
        <v>44743</v>
      </c>
      <c r="J470" s="4">
        <v>0</v>
      </c>
      <c r="K470" s="4">
        <v>0</v>
      </c>
      <c r="L470" s="4">
        <v>13.217000000000001</v>
      </c>
      <c r="M470" s="4">
        <v>12.42398</v>
      </c>
      <c r="N470" s="4">
        <v>13.217000000000001</v>
      </c>
      <c r="O470" s="4">
        <v>12.42398</v>
      </c>
      <c r="P470" s="4">
        <v>16</v>
      </c>
      <c r="Q470" s="3" t="s">
        <v>26</v>
      </c>
      <c r="R470" s="3">
        <v>0</v>
      </c>
      <c r="S470" s="3" t="s">
        <v>253</v>
      </c>
      <c r="T470" s="3" t="s">
        <v>378</v>
      </c>
      <c r="U470" s="3">
        <v>0</v>
      </c>
      <c r="V470" s="3">
        <v>27</v>
      </c>
      <c r="W470" s="3">
        <v>76</v>
      </c>
    </row>
    <row r="471" spans="1:23" ht="11.25" customHeight="1" x14ac:dyDescent="0.3">
      <c r="A471" s="3" t="s">
        <v>53</v>
      </c>
      <c r="B471" s="3" t="s">
        <v>32</v>
      </c>
      <c r="C471" s="3" t="s">
        <v>23</v>
      </c>
      <c r="D471" s="3" t="s">
        <v>46</v>
      </c>
      <c r="E471" s="3" t="s">
        <v>47</v>
      </c>
      <c r="F471" s="3" t="s">
        <v>25</v>
      </c>
      <c r="G471" s="3" t="s">
        <v>25</v>
      </c>
      <c r="H471" s="3" t="s">
        <v>25</v>
      </c>
      <c r="I471" s="6">
        <v>44774</v>
      </c>
      <c r="J471" s="4">
        <v>0</v>
      </c>
      <c r="K471" s="4">
        <v>0</v>
      </c>
      <c r="L471" s="4">
        <v>13.217000000000001</v>
      </c>
      <c r="M471" s="4">
        <v>12.42398</v>
      </c>
      <c r="N471" s="4">
        <v>13.217000000000001</v>
      </c>
      <c r="O471" s="4">
        <v>12.42398</v>
      </c>
      <c r="P471" s="4">
        <v>16</v>
      </c>
      <c r="Q471" s="3" t="s">
        <v>26</v>
      </c>
      <c r="R471" s="3">
        <v>0</v>
      </c>
      <c r="S471" s="3" t="s">
        <v>254</v>
      </c>
      <c r="T471" s="3" t="s">
        <v>379</v>
      </c>
      <c r="U471" s="3">
        <v>0</v>
      </c>
      <c r="V471" s="3">
        <v>27</v>
      </c>
      <c r="W471" s="3">
        <v>76</v>
      </c>
    </row>
    <row r="472" spans="1:23" ht="11.25" customHeight="1" x14ac:dyDescent="0.3">
      <c r="A472" s="3" t="s">
        <v>21</v>
      </c>
      <c r="B472" s="3" t="s">
        <v>43</v>
      </c>
      <c r="C472" s="3" t="s">
        <v>23</v>
      </c>
      <c r="D472" s="3" t="s">
        <v>44</v>
      </c>
      <c r="E472" s="3" t="s">
        <v>45</v>
      </c>
      <c r="F472" s="3" t="s">
        <v>25</v>
      </c>
      <c r="G472" s="3" t="s">
        <v>25</v>
      </c>
      <c r="H472" s="3" t="s">
        <v>25</v>
      </c>
      <c r="I472" s="6">
        <v>44440</v>
      </c>
      <c r="J472" s="4">
        <v>0</v>
      </c>
      <c r="K472" s="4">
        <v>0</v>
      </c>
      <c r="L472" s="4">
        <v>151.68799999999999</v>
      </c>
      <c r="M472" s="4">
        <v>151.68799999999999</v>
      </c>
      <c r="N472" s="4">
        <v>151.68799999999999</v>
      </c>
      <c r="O472" s="4">
        <v>151.68799999999999</v>
      </c>
      <c r="P472" s="4">
        <v>6</v>
      </c>
      <c r="Q472" s="3" t="s">
        <v>26</v>
      </c>
      <c r="R472" s="3">
        <v>0</v>
      </c>
      <c r="S472" s="3" t="s">
        <v>255</v>
      </c>
      <c r="T472" s="3" t="s">
        <v>380</v>
      </c>
      <c r="U472" s="3">
        <v>0</v>
      </c>
      <c r="V472" s="3">
        <v>40</v>
      </c>
      <c r="W472" s="3">
        <v>82</v>
      </c>
    </row>
    <row r="473" spans="1:23" ht="11.25" customHeight="1" x14ac:dyDescent="0.3">
      <c r="A473" s="3" t="s">
        <v>21</v>
      </c>
      <c r="B473" s="3" t="s">
        <v>43</v>
      </c>
      <c r="C473" s="3" t="s">
        <v>23</v>
      </c>
      <c r="D473" s="3" t="s">
        <v>44</v>
      </c>
      <c r="E473" s="3" t="s">
        <v>45</v>
      </c>
      <c r="F473" s="3" t="s">
        <v>25</v>
      </c>
      <c r="G473" s="3" t="s">
        <v>25</v>
      </c>
      <c r="H473" s="3" t="s">
        <v>25</v>
      </c>
      <c r="I473" s="6">
        <v>44470</v>
      </c>
      <c r="J473" s="4">
        <v>0</v>
      </c>
      <c r="K473" s="4">
        <v>0</v>
      </c>
      <c r="L473" s="4">
        <v>156.339</v>
      </c>
      <c r="M473" s="4">
        <v>156.339</v>
      </c>
      <c r="N473" s="4">
        <v>156.339</v>
      </c>
      <c r="O473" s="4">
        <v>156.339</v>
      </c>
      <c r="P473" s="4">
        <v>6</v>
      </c>
      <c r="Q473" s="3" t="s">
        <v>26</v>
      </c>
      <c r="R473" s="3">
        <v>0</v>
      </c>
      <c r="S473" s="3" t="s">
        <v>256</v>
      </c>
      <c r="T473" s="3" t="s">
        <v>381</v>
      </c>
      <c r="U473" s="3">
        <v>0</v>
      </c>
      <c r="V473" s="3">
        <v>40</v>
      </c>
      <c r="W473" s="3">
        <v>82</v>
      </c>
    </row>
    <row r="474" spans="1:23" ht="11.25" customHeight="1" x14ac:dyDescent="0.3">
      <c r="A474" s="3" t="s">
        <v>21</v>
      </c>
      <c r="B474" s="3" t="s">
        <v>43</v>
      </c>
      <c r="C474" s="3" t="s">
        <v>23</v>
      </c>
      <c r="D474" s="3" t="s">
        <v>44</v>
      </c>
      <c r="E474" s="3" t="s">
        <v>45</v>
      </c>
      <c r="F474" s="3" t="s">
        <v>25</v>
      </c>
      <c r="G474" s="3" t="s">
        <v>25</v>
      </c>
      <c r="H474" s="3" t="s">
        <v>25</v>
      </c>
      <c r="I474" s="6">
        <v>44501</v>
      </c>
      <c r="J474" s="4">
        <v>0</v>
      </c>
      <c r="K474" s="4">
        <v>0</v>
      </c>
      <c r="L474" s="4">
        <v>151.298</v>
      </c>
      <c r="M474" s="4">
        <v>151.298</v>
      </c>
      <c r="N474" s="4">
        <v>151.298</v>
      </c>
      <c r="O474" s="4">
        <v>151.298</v>
      </c>
      <c r="P474" s="4">
        <v>6</v>
      </c>
      <c r="Q474" s="3" t="s">
        <v>26</v>
      </c>
      <c r="R474" s="3">
        <v>0</v>
      </c>
      <c r="S474" s="3" t="s">
        <v>257</v>
      </c>
      <c r="T474" s="3" t="s">
        <v>382</v>
      </c>
      <c r="U474" s="3">
        <v>0</v>
      </c>
      <c r="V474" s="3">
        <v>40</v>
      </c>
      <c r="W474" s="3">
        <v>82</v>
      </c>
    </row>
    <row r="475" spans="1:23" ht="11.25" customHeight="1" x14ac:dyDescent="0.3">
      <c r="A475" s="3" t="s">
        <v>21</v>
      </c>
      <c r="B475" s="3" t="s">
        <v>43</v>
      </c>
      <c r="C475" s="3" t="s">
        <v>23</v>
      </c>
      <c r="D475" s="3" t="s">
        <v>44</v>
      </c>
      <c r="E475" s="3" t="s">
        <v>45</v>
      </c>
      <c r="F475" s="3" t="s">
        <v>25</v>
      </c>
      <c r="G475" s="3" t="s">
        <v>25</v>
      </c>
      <c r="H475" s="3" t="s">
        <v>25</v>
      </c>
      <c r="I475" s="6">
        <v>44531</v>
      </c>
      <c r="J475" s="4">
        <v>0</v>
      </c>
      <c r="K475" s="4">
        <v>0</v>
      </c>
      <c r="L475" s="4">
        <v>151.13900000000001</v>
      </c>
      <c r="M475" s="4">
        <v>151.13900000000001</v>
      </c>
      <c r="N475" s="4">
        <v>151.13900000000001</v>
      </c>
      <c r="O475" s="4">
        <v>151.13900000000001</v>
      </c>
      <c r="P475" s="4">
        <v>6</v>
      </c>
      <c r="Q475" s="3" t="s">
        <v>26</v>
      </c>
      <c r="R475" s="3">
        <v>0</v>
      </c>
      <c r="S475" s="3" t="s">
        <v>258</v>
      </c>
      <c r="T475" s="3" t="s">
        <v>383</v>
      </c>
      <c r="U475" s="3">
        <v>0</v>
      </c>
      <c r="V475" s="3">
        <v>40</v>
      </c>
      <c r="W475" s="3">
        <v>82</v>
      </c>
    </row>
    <row r="476" spans="1:23" ht="11.25" customHeight="1" x14ac:dyDescent="0.3">
      <c r="A476" s="3" t="s">
        <v>21</v>
      </c>
      <c r="B476" s="3" t="s">
        <v>43</v>
      </c>
      <c r="C476" s="3" t="s">
        <v>23</v>
      </c>
      <c r="D476" s="3" t="s">
        <v>44</v>
      </c>
      <c r="E476" s="3" t="s">
        <v>45</v>
      </c>
      <c r="F476" s="3" t="s">
        <v>25</v>
      </c>
      <c r="G476" s="3" t="s">
        <v>25</v>
      </c>
      <c r="H476" s="3" t="s">
        <v>25</v>
      </c>
      <c r="I476" s="6">
        <v>44562</v>
      </c>
      <c r="J476" s="4">
        <v>0</v>
      </c>
      <c r="K476" s="4">
        <v>0</v>
      </c>
      <c r="L476" s="4">
        <v>145.63</v>
      </c>
      <c r="M476" s="4">
        <v>145.63</v>
      </c>
      <c r="N476" s="4">
        <v>145.63</v>
      </c>
      <c r="O476" s="4">
        <v>145.63</v>
      </c>
      <c r="P476" s="4">
        <v>6</v>
      </c>
      <c r="Q476" s="3" t="s">
        <v>26</v>
      </c>
      <c r="R476" s="3">
        <v>0</v>
      </c>
      <c r="S476" s="3" t="s">
        <v>259</v>
      </c>
      <c r="T476" s="3" t="s">
        <v>384</v>
      </c>
      <c r="U476" s="3">
        <v>0</v>
      </c>
      <c r="V476" s="3">
        <v>40</v>
      </c>
      <c r="W476" s="3">
        <v>82</v>
      </c>
    </row>
    <row r="477" spans="1:23" ht="11.25" customHeight="1" x14ac:dyDescent="0.3">
      <c r="A477" s="3" t="s">
        <v>21</v>
      </c>
      <c r="B477" s="3" t="s">
        <v>43</v>
      </c>
      <c r="C477" s="3" t="s">
        <v>23</v>
      </c>
      <c r="D477" s="3" t="s">
        <v>44</v>
      </c>
      <c r="E477" s="3" t="s">
        <v>45</v>
      </c>
      <c r="F477" s="3" t="s">
        <v>25</v>
      </c>
      <c r="G477" s="3" t="s">
        <v>25</v>
      </c>
      <c r="H477" s="3" t="s">
        <v>25</v>
      </c>
      <c r="I477" s="6">
        <v>44593</v>
      </c>
      <c r="J477" s="4">
        <v>0</v>
      </c>
      <c r="K477" s="4">
        <v>0</v>
      </c>
      <c r="L477" s="4">
        <v>134.91399999999999</v>
      </c>
      <c r="M477" s="4">
        <v>134.91399999999999</v>
      </c>
      <c r="N477" s="4">
        <v>134.91399999999999</v>
      </c>
      <c r="O477" s="4">
        <v>134.91399999999999</v>
      </c>
      <c r="P477" s="4">
        <v>6</v>
      </c>
      <c r="Q477" s="3" t="s">
        <v>26</v>
      </c>
      <c r="R477" s="3">
        <v>0</v>
      </c>
      <c r="S477" s="3" t="s">
        <v>260</v>
      </c>
      <c r="T477" s="3" t="s">
        <v>385</v>
      </c>
      <c r="U477" s="3">
        <v>0</v>
      </c>
      <c r="V477" s="3">
        <v>40</v>
      </c>
      <c r="W477" s="3">
        <v>82</v>
      </c>
    </row>
    <row r="478" spans="1:23" ht="11.25" customHeight="1" x14ac:dyDescent="0.3">
      <c r="A478" s="3" t="s">
        <v>21</v>
      </c>
      <c r="B478" s="3" t="s">
        <v>43</v>
      </c>
      <c r="C478" s="3" t="s">
        <v>23</v>
      </c>
      <c r="D478" s="3" t="s">
        <v>44</v>
      </c>
      <c r="E478" s="3" t="s">
        <v>45</v>
      </c>
      <c r="F478" s="3" t="s">
        <v>25</v>
      </c>
      <c r="G478" s="3" t="s">
        <v>25</v>
      </c>
      <c r="H478" s="3" t="s">
        <v>25</v>
      </c>
      <c r="I478" s="6">
        <v>44621</v>
      </c>
      <c r="J478" s="4">
        <v>0</v>
      </c>
      <c r="K478" s="4">
        <v>0</v>
      </c>
      <c r="L478" s="4">
        <v>149.76599999999999</v>
      </c>
      <c r="M478" s="4">
        <v>149.76599999999999</v>
      </c>
      <c r="N478" s="4">
        <v>149.76599999999999</v>
      </c>
      <c r="O478" s="4">
        <v>149.76599999999999</v>
      </c>
      <c r="P478" s="4">
        <v>6</v>
      </c>
      <c r="Q478" s="3" t="s">
        <v>26</v>
      </c>
      <c r="R478" s="3">
        <v>0</v>
      </c>
      <c r="S478" s="3" t="s">
        <v>261</v>
      </c>
      <c r="T478" s="3" t="s">
        <v>386</v>
      </c>
      <c r="U478" s="3">
        <v>0</v>
      </c>
      <c r="V478" s="3">
        <v>40</v>
      </c>
      <c r="W478" s="3">
        <v>82</v>
      </c>
    </row>
    <row r="479" spans="1:23" ht="11.25" customHeight="1" x14ac:dyDescent="0.3">
      <c r="A479" s="3" t="s">
        <v>21</v>
      </c>
      <c r="B479" s="3" t="s">
        <v>43</v>
      </c>
      <c r="C479" s="3" t="s">
        <v>23</v>
      </c>
      <c r="D479" s="3" t="s">
        <v>44</v>
      </c>
      <c r="E479" s="3" t="s">
        <v>45</v>
      </c>
      <c r="F479" s="3" t="s">
        <v>25</v>
      </c>
      <c r="G479" s="3" t="s">
        <v>25</v>
      </c>
      <c r="H479" s="3" t="s">
        <v>25</v>
      </c>
      <c r="I479" s="6">
        <v>44652</v>
      </c>
      <c r="J479" s="4">
        <v>0</v>
      </c>
      <c r="K479" s="4">
        <v>0</v>
      </c>
      <c r="L479" s="4">
        <v>141.10400000000001</v>
      </c>
      <c r="M479" s="4">
        <v>141.10400000000001</v>
      </c>
      <c r="N479" s="4">
        <v>141.10400000000001</v>
      </c>
      <c r="O479" s="4">
        <v>141.10400000000001</v>
      </c>
      <c r="P479" s="4">
        <v>6</v>
      </c>
      <c r="Q479" s="3" t="s">
        <v>26</v>
      </c>
      <c r="R479" s="3">
        <v>0</v>
      </c>
      <c r="S479" s="3" t="s">
        <v>262</v>
      </c>
      <c r="T479" s="3" t="s">
        <v>387</v>
      </c>
      <c r="U479" s="3">
        <v>0</v>
      </c>
      <c r="V479" s="3">
        <v>40</v>
      </c>
      <c r="W479" s="3">
        <v>82</v>
      </c>
    </row>
    <row r="480" spans="1:23" ht="11.25" customHeight="1" x14ac:dyDescent="0.3">
      <c r="A480" s="3" t="s">
        <v>21</v>
      </c>
      <c r="B480" s="3" t="s">
        <v>43</v>
      </c>
      <c r="C480" s="3" t="s">
        <v>23</v>
      </c>
      <c r="D480" s="3" t="s">
        <v>44</v>
      </c>
      <c r="E480" s="3" t="s">
        <v>45</v>
      </c>
      <c r="F480" s="3" t="s">
        <v>25</v>
      </c>
      <c r="G480" s="3" t="s">
        <v>25</v>
      </c>
      <c r="H480" s="3" t="s">
        <v>25</v>
      </c>
      <c r="I480" s="6">
        <v>44682</v>
      </c>
      <c r="J480" s="4">
        <v>0</v>
      </c>
      <c r="K480" s="4">
        <v>0</v>
      </c>
      <c r="L480" s="4">
        <v>147.321</v>
      </c>
      <c r="M480" s="4">
        <v>147.321</v>
      </c>
      <c r="N480" s="4">
        <v>147.321</v>
      </c>
      <c r="O480" s="4">
        <v>147.321</v>
      </c>
      <c r="P480" s="4">
        <v>6</v>
      </c>
      <c r="Q480" s="3" t="s">
        <v>26</v>
      </c>
      <c r="R480" s="3">
        <v>0</v>
      </c>
      <c r="S480" s="3" t="s">
        <v>263</v>
      </c>
      <c r="T480" s="3" t="s">
        <v>388</v>
      </c>
      <c r="U480" s="3">
        <v>0</v>
      </c>
      <c r="V480" s="3">
        <v>40</v>
      </c>
      <c r="W480" s="3">
        <v>82</v>
      </c>
    </row>
    <row r="481" spans="1:23" ht="11.25" customHeight="1" x14ac:dyDescent="0.3">
      <c r="A481" s="3" t="s">
        <v>21</v>
      </c>
      <c r="B481" s="3" t="s">
        <v>43</v>
      </c>
      <c r="C481" s="3" t="s">
        <v>23</v>
      </c>
      <c r="D481" s="3" t="s">
        <v>44</v>
      </c>
      <c r="E481" s="3" t="s">
        <v>45</v>
      </c>
      <c r="F481" s="3" t="s">
        <v>25</v>
      </c>
      <c r="G481" s="3" t="s">
        <v>25</v>
      </c>
      <c r="H481" s="3" t="s">
        <v>25</v>
      </c>
      <c r="I481" s="6">
        <v>44713</v>
      </c>
      <c r="J481" s="4">
        <v>0</v>
      </c>
      <c r="K481" s="4">
        <v>0</v>
      </c>
      <c r="L481" s="4">
        <v>145.928</v>
      </c>
      <c r="M481" s="4">
        <v>145.928</v>
      </c>
      <c r="N481" s="4">
        <v>145.928</v>
      </c>
      <c r="O481" s="4">
        <v>145.928</v>
      </c>
      <c r="P481" s="4">
        <v>6</v>
      </c>
      <c r="Q481" s="3" t="s">
        <v>26</v>
      </c>
      <c r="R481" s="3">
        <v>0</v>
      </c>
      <c r="S481" s="3" t="s">
        <v>264</v>
      </c>
      <c r="T481" s="3" t="s">
        <v>389</v>
      </c>
      <c r="U481" s="3">
        <v>0</v>
      </c>
      <c r="V481" s="3">
        <v>40</v>
      </c>
      <c r="W481" s="3">
        <v>82</v>
      </c>
    </row>
    <row r="482" spans="1:23" ht="11.25" customHeight="1" x14ac:dyDescent="0.3">
      <c r="A482" s="3" t="s">
        <v>21</v>
      </c>
      <c r="B482" s="3" t="s">
        <v>43</v>
      </c>
      <c r="C482" s="3" t="s">
        <v>23</v>
      </c>
      <c r="D482" s="3" t="s">
        <v>44</v>
      </c>
      <c r="E482" s="3" t="s">
        <v>45</v>
      </c>
      <c r="F482" s="3" t="s">
        <v>25</v>
      </c>
      <c r="G482" s="3" t="s">
        <v>25</v>
      </c>
      <c r="H482" s="3" t="s">
        <v>25</v>
      </c>
      <c r="I482" s="6">
        <v>44743</v>
      </c>
      <c r="J482" s="4">
        <v>0</v>
      </c>
      <c r="K482" s="4">
        <v>0</v>
      </c>
      <c r="L482" s="4">
        <v>150.80000000000001</v>
      </c>
      <c r="M482" s="4">
        <v>150.80000000000001</v>
      </c>
      <c r="N482" s="4">
        <v>150.80000000000001</v>
      </c>
      <c r="O482" s="4">
        <v>150.80000000000001</v>
      </c>
      <c r="P482" s="4">
        <v>6</v>
      </c>
      <c r="Q482" s="3" t="s">
        <v>26</v>
      </c>
      <c r="R482" s="3">
        <v>0</v>
      </c>
      <c r="S482" s="3" t="s">
        <v>265</v>
      </c>
      <c r="T482" s="3" t="s">
        <v>390</v>
      </c>
      <c r="U482" s="3">
        <v>0</v>
      </c>
      <c r="V482" s="3">
        <v>40</v>
      </c>
      <c r="W482" s="3">
        <v>82</v>
      </c>
    </row>
    <row r="483" spans="1:23" ht="11.25" customHeight="1" x14ac:dyDescent="0.3">
      <c r="A483" s="3" t="s">
        <v>53</v>
      </c>
      <c r="B483" s="3" t="s">
        <v>43</v>
      </c>
      <c r="C483" s="3" t="s">
        <v>23</v>
      </c>
      <c r="D483" s="3" t="s">
        <v>44</v>
      </c>
      <c r="E483" s="3" t="s">
        <v>45</v>
      </c>
      <c r="F483" s="3" t="s">
        <v>25</v>
      </c>
      <c r="G483" s="3" t="s">
        <v>25</v>
      </c>
      <c r="H483" s="3" t="s">
        <v>25</v>
      </c>
      <c r="I483" s="6">
        <v>44774</v>
      </c>
      <c r="J483" s="4">
        <v>0</v>
      </c>
      <c r="K483" s="4">
        <v>0</v>
      </c>
      <c r="L483" s="4">
        <v>150.80000000000001</v>
      </c>
      <c r="M483" s="4">
        <v>150.80000000000001</v>
      </c>
      <c r="N483" s="4">
        <v>150.80000000000001</v>
      </c>
      <c r="O483" s="4">
        <v>150.80000000000001</v>
      </c>
      <c r="P483" s="4">
        <v>6</v>
      </c>
      <c r="Q483" s="3" t="s">
        <v>26</v>
      </c>
      <c r="R483" s="3">
        <v>0</v>
      </c>
      <c r="S483" s="3" t="s">
        <v>266</v>
      </c>
      <c r="T483" s="3" t="s">
        <v>391</v>
      </c>
      <c r="U483" s="3">
        <v>0</v>
      </c>
      <c r="V483" s="3">
        <v>40</v>
      </c>
      <c r="W483" s="3">
        <v>82</v>
      </c>
    </row>
  </sheetData>
  <sortState xmlns:xlrd2="http://schemas.microsoft.com/office/spreadsheetml/2017/richdata2" ref="A2:W483">
    <sortCondition ref="B2:B483"/>
    <sortCondition ref="C2:C483"/>
    <sortCondition ref="D2:D483"/>
    <sortCondition ref="E2:E483"/>
    <sortCondition ref="F2:F483"/>
    <sortCondition ref="H2:H48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4ACD-2902-49F1-8E85-04A9986F8209}">
  <dimension ref="A1:H37"/>
  <sheetViews>
    <sheetView showGridLines="0" workbookViewId="0">
      <selection activeCell="H1" sqref="H1"/>
    </sheetView>
  </sheetViews>
  <sheetFormatPr defaultRowHeight="11.25" customHeight="1" x14ac:dyDescent="0.3"/>
  <cols>
    <col min="1" max="1" width="11.5546875" style="8" bestFit="1" customWidth="1"/>
    <col min="2" max="2" width="15.21875" style="8" bestFit="1" customWidth="1"/>
    <col min="3" max="3" width="4.33203125" style="8" bestFit="1" customWidth="1"/>
    <col min="4" max="4" width="6.109375" style="8" bestFit="1" customWidth="1"/>
    <col min="5" max="5" width="8.109375" style="8" bestFit="1" customWidth="1"/>
    <col min="6" max="6" width="8.88671875" style="8"/>
    <col min="7" max="7" width="17.33203125" style="8" bestFit="1" customWidth="1"/>
    <col min="8" max="8" width="2" style="8" bestFit="1" customWidth="1"/>
    <col min="9" max="16384" width="8.88671875" style="8"/>
  </cols>
  <sheetData>
    <row r="1" spans="1:8" s="7" customFormat="1" ht="11.25" customHeight="1" x14ac:dyDescent="0.3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G1" s="7" t="s">
        <v>68</v>
      </c>
      <c r="H1" s="7">
        <f>COUNTA(A:A)</f>
        <v>37</v>
      </c>
    </row>
    <row r="2" spans="1:8" ht="11.25" customHeight="1" x14ac:dyDescent="0.3">
      <c r="A2" s="8" t="s">
        <v>292</v>
      </c>
      <c r="B2" s="8" t="s">
        <v>293</v>
      </c>
      <c r="C2" s="8" t="s">
        <v>294</v>
      </c>
      <c r="D2" s="8">
        <v>146</v>
      </c>
      <c r="E2" s="8" t="s">
        <v>295</v>
      </c>
    </row>
    <row r="3" spans="1:8" ht="11.25" customHeight="1" x14ac:dyDescent="0.3">
      <c r="A3" s="8" t="s">
        <v>292</v>
      </c>
      <c r="B3" s="8" t="s">
        <v>293</v>
      </c>
      <c r="C3" s="8" t="s">
        <v>294</v>
      </c>
      <c r="D3" s="8">
        <v>147</v>
      </c>
      <c r="E3" s="8" t="s">
        <v>295</v>
      </c>
    </row>
    <row r="4" spans="1:8" ht="11.25" customHeight="1" x14ac:dyDescent="0.3">
      <c r="A4" s="8" t="s">
        <v>292</v>
      </c>
      <c r="B4" s="8" t="s">
        <v>293</v>
      </c>
      <c r="C4" s="8" t="s">
        <v>294</v>
      </c>
      <c r="D4" s="8">
        <v>148</v>
      </c>
      <c r="E4" s="8" t="s">
        <v>295</v>
      </c>
    </row>
    <row r="5" spans="1:8" ht="11.25" customHeight="1" x14ac:dyDescent="0.3">
      <c r="A5" s="8" t="s">
        <v>292</v>
      </c>
      <c r="B5" s="8" t="s">
        <v>293</v>
      </c>
      <c r="C5" s="8" t="s">
        <v>294</v>
      </c>
      <c r="D5" s="8">
        <v>149</v>
      </c>
      <c r="E5" s="8" t="s">
        <v>295</v>
      </c>
    </row>
    <row r="6" spans="1:8" ht="11.25" customHeight="1" x14ac:dyDescent="0.3">
      <c r="A6" s="8" t="s">
        <v>292</v>
      </c>
      <c r="B6" s="8" t="s">
        <v>293</v>
      </c>
      <c r="C6" s="8" t="s">
        <v>294</v>
      </c>
      <c r="D6" s="8">
        <v>150</v>
      </c>
      <c r="E6" s="8" t="s">
        <v>295</v>
      </c>
    </row>
    <row r="7" spans="1:8" ht="11.25" customHeight="1" x14ac:dyDescent="0.3">
      <c r="A7" s="8" t="s">
        <v>292</v>
      </c>
      <c r="B7" s="8" t="s">
        <v>293</v>
      </c>
      <c r="C7" s="8" t="s">
        <v>294</v>
      </c>
      <c r="D7" s="8">
        <v>151</v>
      </c>
      <c r="E7" s="8" t="s">
        <v>295</v>
      </c>
    </row>
    <row r="8" spans="1:8" ht="11.25" customHeight="1" x14ac:dyDescent="0.3">
      <c r="A8" s="8" t="s">
        <v>292</v>
      </c>
      <c r="B8" s="8" t="s">
        <v>293</v>
      </c>
      <c r="C8" s="8" t="s">
        <v>294</v>
      </c>
      <c r="D8" s="8">
        <v>152</v>
      </c>
      <c r="E8" s="8" t="s">
        <v>295</v>
      </c>
    </row>
    <row r="9" spans="1:8" ht="11.25" customHeight="1" x14ac:dyDescent="0.3">
      <c r="A9" s="8" t="s">
        <v>292</v>
      </c>
      <c r="B9" s="8" t="s">
        <v>293</v>
      </c>
      <c r="C9" s="8" t="s">
        <v>294</v>
      </c>
      <c r="D9" s="8">
        <v>153</v>
      </c>
      <c r="E9" s="8" t="s">
        <v>295</v>
      </c>
    </row>
    <row r="10" spans="1:8" ht="11.25" customHeight="1" x14ac:dyDescent="0.3">
      <c r="A10" s="8" t="s">
        <v>292</v>
      </c>
      <c r="B10" s="8" t="s">
        <v>293</v>
      </c>
      <c r="C10" s="8" t="s">
        <v>294</v>
      </c>
      <c r="D10" s="8">
        <v>154</v>
      </c>
      <c r="E10" s="8" t="s">
        <v>295</v>
      </c>
    </row>
    <row r="11" spans="1:8" ht="11.25" customHeight="1" x14ac:dyDescent="0.3">
      <c r="A11" s="8" t="s">
        <v>292</v>
      </c>
      <c r="B11" s="8" t="s">
        <v>293</v>
      </c>
      <c r="C11" s="8" t="s">
        <v>294</v>
      </c>
      <c r="D11" s="8">
        <v>155</v>
      </c>
      <c r="E11" s="8" t="s">
        <v>295</v>
      </c>
    </row>
    <row r="12" spans="1:8" ht="11.25" customHeight="1" x14ac:dyDescent="0.3">
      <c r="A12" s="8" t="s">
        <v>292</v>
      </c>
      <c r="B12" s="8" t="s">
        <v>293</v>
      </c>
      <c r="C12" s="8" t="s">
        <v>294</v>
      </c>
      <c r="D12" s="8">
        <v>156</v>
      </c>
      <c r="E12" s="8" t="s">
        <v>295</v>
      </c>
    </row>
    <row r="13" spans="1:8" ht="11.25" customHeight="1" x14ac:dyDescent="0.3">
      <c r="A13" s="8" t="s">
        <v>292</v>
      </c>
      <c r="B13" s="8" t="s">
        <v>293</v>
      </c>
      <c r="C13" s="8" t="s">
        <v>294</v>
      </c>
      <c r="D13" s="8">
        <v>157</v>
      </c>
      <c r="E13" s="8" t="s">
        <v>295</v>
      </c>
    </row>
    <row r="14" spans="1:8" ht="11.25" customHeight="1" x14ac:dyDescent="0.3">
      <c r="A14" s="8" t="s">
        <v>292</v>
      </c>
      <c r="B14" s="8" t="s">
        <v>293</v>
      </c>
      <c r="C14" s="8" t="s">
        <v>294</v>
      </c>
      <c r="D14" s="8">
        <v>158</v>
      </c>
      <c r="E14" s="8" t="s">
        <v>295</v>
      </c>
    </row>
    <row r="15" spans="1:8" ht="11.25" customHeight="1" x14ac:dyDescent="0.3">
      <c r="A15" s="8" t="s">
        <v>292</v>
      </c>
      <c r="B15" s="8" t="s">
        <v>293</v>
      </c>
      <c r="C15" s="8" t="s">
        <v>294</v>
      </c>
      <c r="D15" s="8">
        <v>159</v>
      </c>
      <c r="E15" s="8" t="s">
        <v>295</v>
      </c>
    </row>
    <row r="16" spans="1:8" ht="11.25" customHeight="1" x14ac:dyDescent="0.3">
      <c r="A16" s="8" t="s">
        <v>292</v>
      </c>
      <c r="B16" s="8" t="s">
        <v>293</v>
      </c>
      <c r="C16" s="8" t="s">
        <v>294</v>
      </c>
      <c r="D16" s="8">
        <v>160</v>
      </c>
      <c r="E16" s="8" t="s">
        <v>295</v>
      </c>
    </row>
    <row r="17" spans="1:5" ht="11.25" customHeight="1" x14ac:dyDescent="0.3">
      <c r="A17" s="8" t="s">
        <v>292</v>
      </c>
      <c r="B17" s="8" t="s">
        <v>293</v>
      </c>
      <c r="C17" s="8" t="s">
        <v>294</v>
      </c>
      <c r="D17" s="8">
        <v>161</v>
      </c>
      <c r="E17" s="8" t="s">
        <v>295</v>
      </c>
    </row>
    <row r="18" spans="1:5" ht="11.25" customHeight="1" x14ac:dyDescent="0.3">
      <c r="A18" s="8" t="s">
        <v>292</v>
      </c>
      <c r="B18" s="8" t="s">
        <v>293</v>
      </c>
      <c r="C18" s="8" t="s">
        <v>294</v>
      </c>
      <c r="D18" s="8">
        <v>162</v>
      </c>
      <c r="E18" s="8" t="s">
        <v>295</v>
      </c>
    </row>
    <row r="19" spans="1:5" ht="11.25" customHeight="1" x14ac:dyDescent="0.3">
      <c r="A19" s="8" t="s">
        <v>292</v>
      </c>
      <c r="B19" s="8" t="s">
        <v>293</v>
      </c>
      <c r="C19" s="8" t="s">
        <v>294</v>
      </c>
      <c r="D19" s="8">
        <v>163</v>
      </c>
      <c r="E19" s="8" t="s">
        <v>295</v>
      </c>
    </row>
    <row r="20" spans="1:5" ht="11.25" customHeight="1" x14ac:dyDescent="0.3">
      <c r="A20" s="8" t="s">
        <v>292</v>
      </c>
      <c r="B20" s="8" t="s">
        <v>293</v>
      </c>
      <c r="C20" s="8" t="s">
        <v>294</v>
      </c>
      <c r="D20" s="8">
        <v>164</v>
      </c>
      <c r="E20" s="8" t="s">
        <v>295</v>
      </c>
    </row>
    <row r="21" spans="1:5" ht="11.25" customHeight="1" x14ac:dyDescent="0.3">
      <c r="A21" s="8" t="s">
        <v>292</v>
      </c>
      <c r="B21" s="8" t="s">
        <v>293</v>
      </c>
      <c r="C21" s="8" t="s">
        <v>294</v>
      </c>
      <c r="D21" s="8">
        <v>165</v>
      </c>
      <c r="E21" s="8" t="s">
        <v>295</v>
      </c>
    </row>
    <row r="22" spans="1:5" ht="11.25" customHeight="1" x14ac:dyDescent="0.3">
      <c r="A22" s="8" t="s">
        <v>292</v>
      </c>
      <c r="B22" s="8" t="s">
        <v>293</v>
      </c>
      <c r="C22" s="8" t="s">
        <v>294</v>
      </c>
      <c r="D22" s="8">
        <v>166</v>
      </c>
      <c r="E22" s="8" t="s">
        <v>295</v>
      </c>
    </row>
    <row r="23" spans="1:5" ht="11.25" customHeight="1" x14ac:dyDescent="0.3">
      <c r="A23" s="8" t="s">
        <v>292</v>
      </c>
      <c r="B23" s="8" t="s">
        <v>293</v>
      </c>
      <c r="C23" s="8" t="s">
        <v>294</v>
      </c>
      <c r="D23" s="8">
        <v>167</v>
      </c>
      <c r="E23" s="8" t="s">
        <v>295</v>
      </c>
    </row>
    <row r="24" spans="1:5" ht="11.25" customHeight="1" x14ac:dyDescent="0.3">
      <c r="A24" s="8" t="s">
        <v>292</v>
      </c>
      <c r="B24" s="8" t="s">
        <v>293</v>
      </c>
      <c r="C24" s="8" t="s">
        <v>294</v>
      </c>
      <c r="D24" s="8">
        <v>168</v>
      </c>
      <c r="E24" s="8" t="s">
        <v>295</v>
      </c>
    </row>
    <row r="25" spans="1:5" ht="11.25" customHeight="1" x14ac:dyDescent="0.3">
      <c r="A25" s="8" t="s">
        <v>292</v>
      </c>
      <c r="B25" s="8" t="s">
        <v>293</v>
      </c>
      <c r="C25" s="8" t="s">
        <v>294</v>
      </c>
      <c r="D25" s="8">
        <v>169</v>
      </c>
      <c r="E25" s="8" t="s">
        <v>295</v>
      </c>
    </row>
    <row r="26" spans="1:5" ht="11.25" customHeight="1" x14ac:dyDescent="0.3">
      <c r="A26" s="8" t="s">
        <v>292</v>
      </c>
      <c r="B26" s="8" t="s">
        <v>293</v>
      </c>
      <c r="C26" s="8" t="s">
        <v>294</v>
      </c>
      <c r="D26" s="8">
        <v>204</v>
      </c>
      <c r="E26" s="8" t="s">
        <v>295</v>
      </c>
    </row>
    <row r="27" spans="1:5" ht="11.25" customHeight="1" x14ac:dyDescent="0.3">
      <c r="A27" s="8" t="s">
        <v>292</v>
      </c>
      <c r="B27" s="8" t="s">
        <v>293</v>
      </c>
      <c r="C27" s="8" t="s">
        <v>294</v>
      </c>
      <c r="D27" s="8">
        <v>205</v>
      </c>
      <c r="E27" s="8" t="s">
        <v>295</v>
      </c>
    </row>
    <row r="28" spans="1:5" ht="11.25" customHeight="1" x14ac:dyDescent="0.3">
      <c r="A28" s="8" t="s">
        <v>292</v>
      </c>
      <c r="B28" s="8" t="s">
        <v>293</v>
      </c>
      <c r="C28" s="8" t="s">
        <v>294</v>
      </c>
      <c r="D28" s="8">
        <v>206</v>
      </c>
      <c r="E28" s="8" t="s">
        <v>295</v>
      </c>
    </row>
    <row r="29" spans="1:5" ht="11.25" customHeight="1" x14ac:dyDescent="0.3">
      <c r="A29" s="8" t="s">
        <v>292</v>
      </c>
      <c r="B29" s="8" t="s">
        <v>293</v>
      </c>
      <c r="C29" s="8" t="s">
        <v>294</v>
      </c>
      <c r="D29" s="8">
        <v>207</v>
      </c>
      <c r="E29" s="8" t="s">
        <v>295</v>
      </c>
    </row>
    <row r="30" spans="1:5" ht="11.25" customHeight="1" x14ac:dyDescent="0.3">
      <c r="A30" s="8" t="s">
        <v>292</v>
      </c>
      <c r="B30" s="8" t="s">
        <v>293</v>
      </c>
      <c r="C30" s="8" t="s">
        <v>294</v>
      </c>
      <c r="D30" s="8">
        <v>208</v>
      </c>
      <c r="E30" s="8" t="s">
        <v>295</v>
      </c>
    </row>
    <row r="31" spans="1:5" ht="11.25" customHeight="1" x14ac:dyDescent="0.3">
      <c r="A31" s="8" t="s">
        <v>292</v>
      </c>
      <c r="B31" s="8" t="s">
        <v>293</v>
      </c>
      <c r="C31" s="8" t="s">
        <v>294</v>
      </c>
      <c r="D31" s="8">
        <v>209</v>
      </c>
      <c r="E31" s="8" t="s">
        <v>295</v>
      </c>
    </row>
    <row r="32" spans="1:5" ht="11.25" customHeight="1" x14ac:dyDescent="0.3">
      <c r="A32" s="8" t="s">
        <v>292</v>
      </c>
      <c r="B32" s="8" t="s">
        <v>293</v>
      </c>
      <c r="C32" s="8" t="s">
        <v>294</v>
      </c>
      <c r="D32" s="8">
        <v>210</v>
      </c>
      <c r="E32" s="8" t="s">
        <v>295</v>
      </c>
    </row>
    <row r="33" spans="1:5" ht="11.25" customHeight="1" x14ac:dyDescent="0.3">
      <c r="A33" s="8" t="s">
        <v>292</v>
      </c>
      <c r="B33" s="8" t="s">
        <v>293</v>
      </c>
      <c r="C33" s="8" t="s">
        <v>294</v>
      </c>
      <c r="D33" s="8">
        <v>211</v>
      </c>
      <c r="E33" s="8" t="s">
        <v>295</v>
      </c>
    </row>
    <row r="34" spans="1:5" ht="11.25" customHeight="1" x14ac:dyDescent="0.3">
      <c r="A34" s="8" t="s">
        <v>292</v>
      </c>
      <c r="B34" s="8" t="s">
        <v>293</v>
      </c>
      <c r="C34" s="8" t="s">
        <v>294</v>
      </c>
      <c r="D34" s="8">
        <v>212</v>
      </c>
      <c r="E34" s="8" t="s">
        <v>295</v>
      </c>
    </row>
    <row r="35" spans="1:5" ht="11.25" customHeight="1" x14ac:dyDescent="0.3">
      <c r="A35" s="8" t="s">
        <v>292</v>
      </c>
      <c r="B35" s="8" t="s">
        <v>293</v>
      </c>
      <c r="C35" s="8" t="s">
        <v>294</v>
      </c>
      <c r="D35" s="8">
        <v>213</v>
      </c>
      <c r="E35" s="8" t="s">
        <v>295</v>
      </c>
    </row>
    <row r="36" spans="1:5" ht="11.25" customHeight="1" x14ac:dyDescent="0.3">
      <c r="A36" s="8" t="s">
        <v>292</v>
      </c>
      <c r="C36" s="8" t="s">
        <v>481</v>
      </c>
      <c r="D36" s="8">
        <v>40</v>
      </c>
      <c r="E36" s="8" t="s">
        <v>9</v>
      </c>
    </row>
    <row r="37" spans="1:5" ht="11.25" customHeight="1" x14ac:dyDescent="0.3">
      <c r="A37" s="8" t="s">
        <v>292</v>
      </c>
      <c r="C37" s="8" t="s">
        <v>481</v>
      </c>
      <c r="D37" s="8">
        <v>40</v>
      </c>
      <c r="E37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49DE-24F7-476D-937B-FE25DD2AB23A}">
  <dimension ref="A1:AX85"/>
  <sheetViews>
    <sheetView showGridLines="0" workbookViewId="0"/>
  </sheetViews>
  <sheetFormatPr defaultRowHeight="10.199999999999999" x14ac:dyDescent="0.3"/>
  <cols>
    <col min="1" max="1" width="4.33203125" style="8" bestFit="1" customWidth="1"/>
    <col min="2" max="2" width="8" style="8" bestFit="1" customWidth="1"/>
    <col min="3" max="3" width="7.6640625" style="8" bestFit="1" customWidth="1"/>
    <col min="4" max="4" width="24.6640625" style="8" bestFit="1" customWidth="1"/>
    <col min="5" max="5" width="12.6640625" style="8" bestFit="1" customWidth="1"/>
    <col min="6" max="6" width="23.109375" style="8" bestFit="1" customWidth="1"/>
    <col min="7" max="9" width="9.5546875" style="8" bestFit="1" customWidth="1"/>
    <col min="10" max="10" width="6.44140625" style="8" bestFit="1" customWidth="1"/>
    <col min="11" max="11" width="3.88671875" style="8" bestFit="1" customWidth="1"/>
    <col min="12" max="12" width="4.21875" style="8" bestFit="1" customWidth="1"/>
    <col min="13" max="13" width="5.88671875" style="8" bestFit="1" customWidth="1"/>
    <col min="14" max="14" width="5.5546875" style="8" bestFit="1" customWidth="1"/>
    <col min="15" max="15" width="10.33203125" style="8" bestFit="1" customWidth="1"/>
    <col min="16" max="16" width="9.33203125" style="8" bestFit="1" customWidth="1"/>
    <col min="17" max="16384" width="8.88671875" style="8"/>
  </cols>
  <sheetData>
    <row r="1" spans="1:50" ht="11.25" customHeight="1" x14ac:dyDescent="0.3">
      <c r="A1" s="30" t="s">
        <v>542</v>
      </c>
      <c r="B1" s="30" t="s">
        <v>532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533</v>
      </c>
      <c r="K1" s="30" t="s">
        <v>534</v>
      </c>
      <c r="L1" s="30" t="s">
        <v>535</v>
      </c>
      <c r="M1" s="30" t="s">
        <v>536</v>
      </c>
      <c r="N1" s="30" t="s">
        <v>537</v>
      </c>
      <c r="O1" s="30" t="s">
        <v>413</v>
      </c>
      <c r="P1" s="30" t="s">
        <v>399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3">
      <c r="A2" s="31">
        <v>1</v>
      </c>
      <c r="B2" s="31" t="s">
        <v>393</v>
      </c>
      <c r="C2" s="31" t="s">
        <v>34</v>
      </c>
      <c r="D2" s="31" t="s">
        <v>56</v>
      </c>
      <c r="E2" s="31" t="s">
        <v>25</v>
      </c>
      <c r="F2" s="31" t="s">
        <v>25</v>
      </c>
      <c r="G2" s="31" t="s">
        <v>25</v>
      </c>
      <c r="H2" s="31" t="s">
        <v>25</v>
      </c>
      <c r="I2" s="31" t="s">
        <v>25</v>
      </c>
      <c r="J2" s="31" t="s">
        <v>538</v>
      </c>
      <c r="K2" s="31" t="s">
        <v>539</v>
      </c>
      <c r="L2" s="31" t="s">
        <v>84</v>
      </c>
      <c r="M2" s="31">
        <v>2021</v>
      </c>
      <c r="N2" s="31">
        <v>0</v>
      </c>
      <c r="O2" s="31">
        <v>5.7</v>
      </c>
      <c r="P2" s="31">
        <v>0</v>
      </c>
    </row>
    <row r="3" spans="1:50" ht="11.25" customHeight="1" x14ac:dyDescent="0.3">
      <c r="A3" s="31">
        <v>2</v>
      </c>
      <c r="B3" s="31" t="s">
        <v>393</v>
      </c>
      <c r="C3" s="31" t="s">
        <v>22</v>
      </c>
      <c r="D3" s="31" t="s">
        <v>23</v>
      </c>
      <c r="E3" s="31" t="s">
        <v>24</v>
      </c>
      <c r="F3" s="31" t="s">
        <v>30</v>
      </c>
      <c r="G3" s="31" t="s">
        <v>25</v>
      </c>
      <c r="H3" s="31" t="s">
        <v>25</v>
      </c>
      <c r="I3" s="31" t="s">
        <v>25</v>
      </c>
      <c r="J3" s="31" t="s">
        <v>540</v>
      </c>
      <c r="K3" s="31" t="s">
        <v>539</v>
      </c>
      <c r="L3" s="31" t="s">
        <v>79</v>
      </c>
      <c r="M3" s="31">
        <v>2021</v>
      </c>
      <c r="N3" s="31">
        <v>0</v>
      </c>
      <c r="O3" s="31">
        <v>274.58999999999997</v>
      </c>
      <c r="P3" s="31">
        <v>0</v>
      </c>
    </row>
    <row r="4" spans="1:50" ht="11.25" customHeight="1" x14ac:dyDescent="0.3">
      <c r="A4" s="31">
        <v>3</v>
      </c>
      <c r="B4" s="31" t="s">
        <v>393</v>
      </c>
      <c r="C4" s="31" t="s">
        <v>34</v>
      </c>
      <c r="D4" s="31" t="s">
        <v>38</v>
      </c>
      <c r="E4" s="31" t="s">
        <v>25</v>
      </c>
      <c r="F4" s="31" t="s">
        <v>25</v>
      </c>
      <c r="G4" s="31" t="s">
        <v>25</v>
      </c>
      <c r="H4" s="31" t="s">
        <v>25</v>
      </c>
      <c r="I4" s="31" t="s">
        <v>37</v>
      </c>
      <c r="J4" s="31" t="s">
        <v>540</v>
      </c>
      <c r="K4" s="31" t="s">
        <v>539</v>
      </c>
      <c r="L4" s="31" t="s">
        <v>79</v>
      </c>
      <c r="M4" s="31">
        <v>2021</v>
      </c>
      <c r="N4" s="31">
        <v>0</v>
      </c>
      <c r="O4" s="31">
        <v>80.73</v>
      </c>
      <c r="P4" s="31">
        <v>49.335187630177998</v>
      </c>
    </row>
    <row r="5" spans="1:50" ht="11.25" customHeight="1" x14ac:dyDescent="0.3">
      <c r="A5" s="31">
        <v>4</v>
      </c>
      <c r="B5" s="31" t="s">
        <v>393</v>
      </c>
      <c r="C5" s="31" t="s">
        <v>22</v>
      </c>
      <c r="D5" s="31" t="s">
        <v>94</v>
      </c>
      <c r="E5" s="31" t="s">
        <v>24</v>
      </c>
      <c r="F5" s="31" t="s">
        <v>24</v>
      </c>
      <c r="G5" s="31" t="s">
        <v>25</v>
      </c>
      <c r="H5" s="31" t="s">
        <v>25</v>
      </c>
      <c r="I5" s="31" t="s">
        <v>25</v>
      </c>
      <c r="J5" s="31" t="s">
        <v>540</v>
      </c>
      <c r="K5" s="31" t="s">
        <v>539</v>
      </c>
      <c r="L5" s="31" t="s">
        <v>79</v>
      </c>
      <c r="M5" s="31">
        <v>2021</v>
      </c>
      <c r="N5" s="31">
        <v>0</v>
      </c>
      <c r="O5" s="31">
        <v>370.66</v>
      </c>
      <c r="P5" s="31">
        <v>56.707112218595398</v>
      </c>
    </row>
    <row r="6" spans="1:50" ht="11.25" customHeight="1" x14ac:dyDescent="0.3">
      <c r="A6" s="31">
        <v>5</v>
      </c>
      <c r="B6" s="31" t="s">
        <v>393</v>
      </c>
      <c r="C6" s="31" t="s">
        <v>34</v>
      </c>
      <c r="D6" s="31" t="s">
        <v>38</v>
      </c>
      <c r="E6" s="31" t="s">
        <v>25</v>
      </c>
      <c r="F6" s="31" t="s">
        <v>25</v>
      </c>
      <c r="G6" s="31" t="s">
        <v>25</v>
      </c>
      <c r="H6" s="31" t="s">
        <v>25</v>
      </c>
      <c r="I6" s="31" t="s">
        <v>25</v>
      </c>
      <c r="J6" s="31" t="s">
        <v>538</v>
      </c>
      <c r="K6" s="31" t="s">
        <v>539</v>
      </c>
      <c r="L6" s="31" t="s">
        <v>84</v>
      </c>
      <c r="M6" s="31">
        <v>2021</v>
      </c>
      <c r="N6" s="31">
        <v>0</v>
      </c>
      <c r="O6" s="31">
        <v>20.34</v>
      </c>
      <c r="P6" s="31">
        <v>0</v>
      </c>
    </row>
    <row r="7" spans="1:50" ht="11.25" customHeight="1" x14ac:dyDescent="0.3">
      <c r="A7" s="31">
        <v>6</v>
      </c>
      <c r="B7" s="31" t="s">
        <v>393</v>
      </c>
      <c r="C7" s="31" t="s">
        <v>22</v>
      </c>
      <c r="D7" s="31" t="s">
        <v>23</v>
      </c>
      <c r="E7" s="31" t="s">
        <v>24</v>
      </c>
      <c r="F7" s="31" t="s">
        <v>31</v>
      </c>
      <c r="G7" s="31" t="s">
        <v>25</v>
      </c>
      <c r="H7" s="31" t="s">
        <v>25</v>
      </c>
      <c r="I7" s="31" t="s">
        <v>25</v>
      </c>
      <c r="J7" s="31" t="s">
        <v>540</v>
      </c>
      <c r="K7" s="31" t="s">
        <v>539</v>
      </c>
      <c r="L7" s="31" t="s">
        <v>79</v>
      </c>
      <c r="M7" s="31">
        <v>2021</v>
      </c>
      <c r="N7" s="31">
        <v>0</v>
      </c>
      <c r="O7" s="31">
        <v>305.10000000000002</v>
      </c>
      <c r="P7" s="31">
        <v>0</v>
      </c>
    </row>
    <row r="8" spans="1:50" ht="11.25" customHeight="1" x14ac:dyDescent="0.3">
      <c r="A8" s="31">
        <v>7</v>
      </c>
      <c r="B8" s="31" t="s">
        <v>393</v>
      </c>
      <c r="C8" s="31" t="s">
        <v>34</v>
      </c>
      <c r="D8" s="31" t="s">
        <v>35</v>
      </c>
      <c r="E8" s="31" t="s">
        <v>25</v>
      </c>
      <c r="F8" s="31" t="s">
        <v>25</v>
      </c>
      <c r="G8" s="31" t="s">
        <v>25</v>
      </c>
      <c r="H8" s="31" t="s">
        <v>25</v>
      </c>
      <c r="I8" s="31" t="s">
        <v>36</v>
      </c>
      <c r="J8" s="31" t="s">
        <v>538</v>
      </c>
      <c r="K8" s="31" t="s">
        <v>539</v>
      </c>
      <c r="L8" s="31" t="s">
        <v>84</v>
      </c>
      <c r="M8" s="31">
        <v>2021</v>
      </c>
      <c r="N8" s="31">
        <v>0</v>
      </c>
      <c r="O8" s="31">
        <v>64.150000000000006</v>
      </c>
      <c r="P8" s="31">
        <v>0</v>
      </c>
    </row>
    <row r="9" spans="1:50" ht="11.25" customHeight="1" x14ac:dyDescent="0.3">
      <c r="A9" s="31">
        <v>8</v>
      </c>
      <c r="B9" s="31" t="s">
        <v>393</v>
      </c>
      <c r="C9" s="31" t="s">
        <v>22</v>
      </c>
      <c r="D9" s="31" t="s">
        <v>92</v>
      </c>
      <c r="E9" s="31" t="s">
        <v>24</v>
      </c>
      <c r="F9" s="31" t="s">
        <v>24</v>
      </c>
      <c r="G9" s="31" t="s">
        <v>25</v>
      </c>
      <c r="H9" s="31" t="s">
        <v>25</v>
      </c>
      <c r="I9" s="31" t="s">
        <v>541</v>
      </c>
      <c r="J9" s="31" t="s">
        <v>540</v>
      </c>
      <c r="K9" s="31" t="s">
        <v>539</v>
      </c>
      <c r="L9" s="31" t="s">
        <v>79</v>
      </c>
      <c r="M9" s="31">
        <v>2021</v>
      </c>
      <c r="N9" s="31">
        <v>0</v>
      </c>
      <c r="O9" s="31">
        <v>525.6</v>
      </c>
      <c r="P9" s="31">
        <v>56.707112218595398</v>
      </c>
    </row>
    <row r="10" spans="1:50" ht="11.25" customHeight="1" x14ac:dyDescent="0.3">
      <c r="A10" s="31">
        <v>9</v>
      </c>
      <c r="B10" s="31" t="s">
        <v>393</v>
      </c>
      <c r="C10" s="31" t="s">
        <v>34</v>
      </c>
      <c r="D10" s="31" t="s">
        <v>35</v>
      </c>
      <c r="E10" s="31" t="s">
        <v>25</v>
      </c>
      <c r="F10" s="31" t="s">
        <v>25</v>
      </c>
      <c r="G10" s="31" t="s">
        <v>25</v>
      </c>
      <c r="H10" s="31" t="s">
        <v>25</v>
      </c>
      <c r="I10" s="31" t="s">
        <v>37</v>
      </c>
      <c r="J10" s="31" t="s">
        <v>538</v>
      </c>
      <c r="K10" s="31" t="s">
        <v>539</v>
      </c>
      <c r="L10" s="31" t="s">
        <v>84</v>
      </c>
      <c r="M10" s="31">
        <v>2021</v>
      </c>
      <c r="N10" s="31">
        <v>0</v>
      </c>
      <c r="O10" s="31">
        <v>20.34</v>
      </c>
      <c r="P10" s="31">
        <v>0</v>
      </c>
    </row>
    <row r="11" spans="1:50" ht="11.25" customHeight="1" x14ac:dyDescent="0.3">
      <c r="A11" s="31">
        <v>10</v>
      </c>
      <c r="B11" s="31" t="s">
        <v>393</v>
      </c>
      <c r="C11" s="31" t="s">
        <v>22</v>
      </c>
      <c r="D11" s="31" t="s">
        <v>92</v>
      </c>
      <c r="E11" s="31" t="s">
        <v>24</v>
      </c>
      <c r="F11" s="31" t="s">
        <v>24</v>
      </c>
      <c r="G11" s="31" t="s">
        <v>25</v>
      </c>
      <c r="H11" s="31" t="s">
        <v>25</v>
      </c>
      <c r="I11" s="31" t="s">
        <v>37</v>
      </c>
      <c r="J11" s="31" t="s">
        <v>540</v>
      </c>
      <c r="K11" s="31" t="s">
        <v>539</v>
      </c>
      <c r="L11" s="31" t="s">
        <v>79</v>
      </c>
      <c r="M11" s="31">
        <v>2021</v>
      </c>
      <c r="N11" s="31">
        <v>0</v>
      </c>
      <c r="O11" s="31">
        <v>255.81</v>
      </c>
      <c r="P11" s="31">
        <v>56.707112218595398</v>
      </c>
    </row>
    <row r="12" spans="1:50" ht="11.25" customHeight="1" x14ac:dyDescent="0.3">
      <c r="A12" s="31">
        <v>11</v>
      </c>
      <c r="B12" s="31" t="s">
        <v>393</v>
      </c>
      <c r="C12" s="31" t="s">
        <v>34</v>
      </c>
      <c r="D12" s="31" t="s">
        <v>35</v>
      </c>
      <c r="E12" s="31" t="s">
        <v>25</v>
      </c>
      <c r="F12" s="31" t="s">
        <v>25</v>
      </c>
      <c r="G12" s="31" t="s">
        <v>87</v>
      </c>
      <c r="H12" s="31" t="s">
        <v>25</v>
      </c>
      <c r="I12" s="31" t="s">
        <v>25</v>
      </c>
      <c r="J12" s="31" t="s">
        <v>540</v>
      </c>
      <c r="K12" s="31" t="s">
        <v>539</v>
      </c>
      <c r="L12" s="31" t="s">
        <v>79</v>
      </c>
      <c r="M12" s="31">
        <v>2021</v>
      </c>
      <c r="N12" s="31">
        <v>0</v>
      </c>
      <c r="O12" s="31">
        <v>22.54</v>
      </c>
      <c r="P12" s="31">
        <v>0</v>
      </c>
    </row>
    <row r="13" spans="1:50" ht="11.25" customHeight="1" x14ac:dyDescent="0.3">
      <c r="A13" s="31">
        <v>12</v>
      </c>
      <c r="B13" s="31" t="s">
        <v>393</v>
      </c>
      <c r="C13" s="31" t="s">
        <v>22</v>
      </c>
      <c r="D13" s="31" t="s">
        <v>23</v>
      </c>
      <c r="E13" s="31" t="s">
        <v>24</v>
      </c>
      <c r="F13" s="31" t="s">
        <v>29</v>
      </c>
      <c r="G13" s="31" t="s">
        <v>25</v>
      </c>
      <c r="H13" s="31" t="s">
        <v>25</v>
      </c>
      <c r="I13" s="31" t="s">
        <v>25</v>
      </c>
      <c r="J13" s="31" t="s">
        <v>540</v>
      </c>
      <c r="K13" s="31" t="s">
        <v>539</v>
      </c>
      <c r="L13" s="31" t="s">
        <v>79</v>
      </c>
      <c r="M13" s="31">
        <v>2021</v>
      </c>
      <c r="N13" s="31">
        <v>0</v>
      </c>
      <c r="O13" s="31">
        <v>183.06</v>
      </c>
      <c r="P13" s="31">
        <v>0</v>
      </c>
    </row>
    <row r="14" spans="1:50" ht="11.25" customHeight="1" x14ac:dyDescent="0.3">
      <c r="A14" s="31">
        <v>13</v>
      </c>
      <c r="B14" s="31" t="s">
        <v>393</v>
      </c>
      <c r="C14" s="31" t="s">
        <v>34</v>
      </c>
      <c r="D14" s="31" t="s">
        <v>38</v>
      </c>
      <c r="E14" s="31" t="s">
        <v>25</v>
      </c>
      <c r="F14" s="31" t="s">
        <v>25</v>
      </c>
      <c r="G14" s="31" t="s">
        <v>25</v>
      </c>
      <c r="H14" s="31" t="s">
        <v>25</v>
      </c>
      <c r="I14" s="31" t="s">
        <v>36</v>
      </c>
      <c r="J14" s="31" t="s">
        <v>540</v>
      </c>
      <c r="K14" s="31" t="s">
        <v>539</v>
      </c>
      <c r="L14" s="31" t="s">
        <v>79</v>
      </c>
      <c r="M14" s="31">
        <v>2021</v>
      </c>
      <c r="N14" s="31">
        <v>0</v>
      </c>
      <c r="O14" s="31">
        <v>1624.27</v>
      </c>
      <c r="P14" s="31">
        <v>49.335187630177998</v>
      </c>
    </row>
    <row r="15" spans="1:50" ht="11.25" customHeight="1" x14ac:dyDescent="0.3">
      <c r="A15" s="31">
        <v>14</v>
      </c>
      <c r="B15" s="31" t="s">
        <v>393</v>
      </c>
      <c r="C15" s="31" t="s">
        <v>22</v>
      </c>
      <c r="D15" s="31" t="s">
        <v>23</v>
      </c>
      <c r="E15" s="31" t="s">
        <v>24</v>
      </c>
      <c r="F15" s="31" t="s">
        <v>28</v>
      </c>
      <c r="G15" s="31" t="s">
        <v>25</v>
      </c>
      <c r="H15" s="31" t="s">
        <v>25</v>
      </c>
      <c r="I15" s="31" t="s">
        <v>25</v>
      </c>
      <c r="J15" s="31" t="s">
        <v>540</v>
      </c>
      <c r="K15" s="31" t="s">
        <v>539</v>
      </c>
      <c r="L15" s="31" t="s">
        <v>79</v>
      </c>
      <c r="M15" s="31">
        <v>2021</v>
      </c>
      <c r="N15" s="31">
        <v>0</v>
      </c>
      <c r="O15" s="31">
        <v>106.78</v>
      </c>
      <c r="P15" s="31">
        <v>0</v>
      </c>
    </row>
    <row r="16" spans="1:50" ht="11.25" customHeight="1" x14ac:dyDescent="0.3">
      <c r="A16" s="31">
        <v>15</v>
      </c>
      <c r="B16" s="31" t="s">
        <v>393</v>
      </c>
      <c r="C16" s="31" t="s">
        <v>34</v>
      </c>
      <c r="D16" s="31" t="s">
        <v>35</v>
      </c>
      <c r="E16" s="31" t="s">
        <v>25</v>
      </c>
      <c r="F16" s="31" t="s">
        <v>25</v>
      </c>
      <c r="G16" s="31" t="s">
        <v>25</v>
      </c>
      <c r="H16" s="31" t="s">
        <v>25</v>
      </c>
      <c r="I16" s="31" t="s">
        <v>25</v>
      </c>
      <c r="J16" s="31" t="s">
        <v>540</v>
      </c>
      <c r="K16" s="31" t="s">
        <v>539</v>
      </c>
      <c r="L16" s="31" t="s">
        <v>79</v>
      </c>
      <c r="M16" s="31">
        <v>2021</v>
      </c>
      <c r="N16" s="31">
        <v>0</v>
      </c>
      <c r="O16" s="31">
        <v>80.73</v>
      </c>
      <c r="P16" s="31">
        <v>49.335187630177998</v>
      </c>
    </row>
    <row r="17" spans="1:16" ht="11.25" customHeight="1" x14ac:dyDescent="0.3">
      <c r="A17" s="31">
        <v>16</v>
      </c>
      <c r="B17" s="31" t="s">
        <v>393</v>
      </c>
      <c r="C17" s="31" t="s">
        <v>22</v>
      </c>
      <c r="D17" s="31" t="s">
        <v>23</v>
      </c>
      <c r="E17" s="31" t="s">
        <v>24</v>
      </c>
      <c r="F17" s="31" t="s">
        <v>24</v>
      </c>
      <c r="G17" s="31" t="s">
        <v>25</v>
      </c>
      <c r="H17" s="31" t="s">
        <v>25</v>
      </c>
      <c r="I17" s="31" t="s">
        <v>25</v>
      </c>
      <c r="J17" s="31" t="s">
        <v>540</v>
      </c>
      <c r="K17" s="31" t="s">
        <v>539</v>
      </c>
      <c r="L17" s="31" t="s">
        <v>79</v>
      </c>
      <c r="M17" s="31">
        <v>2021</v>
      </c>
      <c r="N17" s="31">
        <v>0</v>
      </c>
      <c r="O17" s="31">
        <v>370.66</v>
      </c>
      <c r="P17" s="31">
        <v>56.707112218595398</v>
      </c>
    </row>
    <row r="18" spans="1:16" ht="11.25" customHeight="1" x14ac:dyDescent="0.3">
      <c r="A18" s="31">
        <v>17</v>
      </c>
      <c r="B18" s="31" t="s">
        <v>393</v>
      </c>
      <c r="C18" s="31" t="s">
        <v>40</v>
      </c>
      <c r="D18" s="31" t="s">
        <v>92</v>
      </c>
      <c r="E18" s="31" t="s">
        <v>41</v>
      </c>
      <c r="F18" s="31" t="s">
        <v>95</v>
      </c>
      <c r="G18" s="31" t="s">
        <v>25</v>
      </c>
      <c r="H18" s="31" t="s">
        <v>25</v>
      </c>
      <c r="I18" s="31" t="s">
        <v>37</v>
      </c>
      <c r="J18" s="31" t="s">
        <v>540</v>
      </c>
      <c r="K18" s="31" t="s">
        <v>539</v>
      </c>
      <c r="L18" s="31" t="s">
        <v>79</v>
      </c>
      <c r="M18" s="31">
        <v>2021</v>
      </c>
      <c r="N18" s="31">
        <v>0</v>
      </c>
      <c r="O18" s="31">
        <v>236.08</v>
      </c>
      <c r="P18" s="31">
        <v>49.902258752363899</v>
      </c>
    </row>
    <row r="19" spans="1:16" ht="11.25" customHeight="1" x14ac:dyDescent="0.3">
      <c r="A19" s="31">
        <v>18</v>
      </c>
      <c r="B19" s="31" t="s">
        <v>393</v>
      </c>
      <c r="C19" s="31" t="s">
        <v>32</v>
      </c>
      <c r="D19" s="31" t="s">
        <v>94</v>
      </c>
      <c r="E19" s="31" t="s">
        <v>25</v>
      </c>
      <c r="F19" s="31" t="s">
        <v>25</v>
      </c>
      <c r="G19" s="31" t="s">
        <v>25</v>
      </c>
      <c r="H19" s="31" t="s">
        <v>25</v>
      </c>
      <c r="I19" s="31" t="s">
        <v>25</v>
      </c>
      <c r="J19" s="31" t="s">
        <v>540</v>
      </c>
      <c r="K19" s="31" t="s">
        <v>539</v>
      </c>
      <c r="L19" s="31" t="s">
        <v>79</v>
      </c>
      <c r="M19" s="31">
        <v>2021</v>
      </c>
      <c r="N19" s="31">
        <v>0</v>
      </c>
      <c r="O19" s="31">
        <v>370.66</v>
      </c>
      <c r="P19" s="31">
        <v>56.707112218595398</v>
      </c>
    </row>
    <row r="20" spans="1:16" ht="11.25" customHeight="1" x14ac:dyDescent="0.3">
      <c r="A20" s="31">
        <v>19</v>
      </c>
      <c r="B20" s="31" t="s">
        <v>393</v>
      </c>
      <c r="C20" s="31" t="s">
        <v>88</v>
      </c>
      <c r="D20" s="31" t="s">
        <v>56</v>
      </c>
      <c r="E20" s="31" t="s">
        <v>25</v>
      </c>
      <c r="F20" s="31" t="s">
        <v>25</v>
      </c>
      <c r="G20" s="31" t="s">
        <v>90</v>
      </c>
      <c r="H20" s="31" t="s">
        <v>25</v>
      </c>
      <c r="I20" s="31" t="s">
        <v>25</v>
      </c>
      <c r="J20" s="31" t="s">
        <v>538</v>
      </c>
      <c r="K20" s="31" t="s">
        <v>539</v>
      </c>
      <c r="L20" s="31" t="s">
        <v>84</v>
      </c>
      <c r="M20" s="31">
        <v>2021</v>
      </c>
      <c r="N20" s="31">
        <v>0</v>
      </c>
      <c r="O20" s="31">
        <v>11.94</v>
      </c>
      <c r="P20" s="31">
        <v>0</v>
      </c>
    </row>
    <row r="21" spans="1:16" ht="11.25" customHeight="1" x14ac:dyDescent="0.3">
      <c r="A21" s="31">
        <v>20</v>
      </c>
      <c r="B21" s="31" t="s">
        <v>393</v>
      </c>
      <c r="C21" s="31" t="s">
        <v>22</v>
      </c>
      <c r="D21" s="31" t="s">
        <v>94</v>
      </c>
      <c r="E21" s="31" t="s">
        <v>24</v>
      </c>
      <c r="F21" s="31" t="s">
        <v>31</v>
      </c>
      <c r="G21" s="31" t="s">
        <v>25</v>
      </c>
      <c r="H21" s="31" t="s">
        <v>25</v>
      </c>
      <c r="I21" s="31" t="s">
        <v>25</v>
      </c>
      <c r="J21" s="31" t="s">
        <v>540</v>
      </c>
      <c r="K21" s="31" t="s">
        <v>539</v>
      </c>
      <c r="L21" s="31" t="s">
        <v>79</v>
      </c>
      <c r="M21" s="31">
        <v>2021</v>
      </c>
      <c r="N21" s="31">
        <v>0</v>
      </c>
      <c r="O21" s="31">
        <v>305.10000000000002</v>
      </c>
      <c r="P21" s="31">
        <v>0</v>
      </c>
    </row>
    <row r="22" spans="1:16" ht="11.25" customHeight="1" x14ac:dyDescent="0.3">
      <c r="A22" s="31">
        <v>21</v>
      </c>
      <c r="B22" s="31" t="s">
        <v>393</v>
      </c>
      <c r="C22" s="31" t="s">
        <v>40</v>
      </c>
      <c r="D22" s="31" t="s">
        <v>92</v>
      </c>
      <c r="E22" s="31" t="s">
        <v>41</v>
      </c>
      <c r="F22" s="31" t="s">
        <v>96</v>
      </c>
      <c r="G22" s="31" t="s">
        <v>25</v>
      </c>
      <c r="H22" s="31" t="s">
        <v>25</v>
      </c>
      <c r="I22" s="31" t="s">
        <v>36</v>
      </c>
      <c r="J22" s="31" t="s">
        <v>540</v>
      </c>
      <c r="K22" s="31" t="s">
        <v>539</v>
      </c>
      <c r="L22" s="31" t="s">
        <v>79</v>
      </c>
      <c r="M22" s="31">
        <v>2021</v>
      </c>
      <c r="N22" s="31">
        <v>0</v>
      </c>
      <c r="O22" s="31">
        <v>720.54</v>
      </c>
      <c r="P22" s="31">
        <v>47.633974263620097</v>
      </c>
    </row>
    <row r="23" spans="1:16" ht="11.25" customHeight="1" x14ac:dyDescent="0.3">
      <c r="A23" s="31">
        <v>22</v>
      </c>
      <c r="B23" s="31" t="s">
        <v>421</v>
      </c>
      <c r="C23" s="31" t="s">
        <v>34</v>
      </c>
      <c r="D23" s="31" t="s">
        <v>78</v>
      </c>
      <c r="E23" s="31" t="s">
        <v>25</v>
      </c>
      <c r="F23" s="31" t="s">
        <v>25</v>
      </c>
      <c r="G23" s="31" t="s">
        <v>25</v>
      </c>
      <c r="H23" s="31" t="s">
        <v>25</v>
      </c>
      <c r="I23" s="31" t="s">
        <v>36</v>
      </c>
      <c r="J23" s="31" t="s">
        <v>540</v>
      </c>
      <c r="K23" s="31" t="s">
        <v>539</v>
      </c>
      <c r="L23" s="31" t="s">
        <v>79</v>
      </c>
      <c r="M23" s="31">
        <v>2021</v>
      </c>
      <c r="N23" s="31">
        <v>0</v>
      </c>
      <c r="O23" s="31">
        <v>291.85000000000002</v>
      </c>
      <c r="P23" s="31"/>
    </row>
    <row r="24" spans="1:16" ht="11.25" customHeight="1" x14ac:dyDescent="0.3">
      <c r="A24" s="31">
        <v>23</v>
      </c>
      <c r="B24" s="31" t="s">
        <v>393</v>
      </c>
      <c r="C24" s="31" t="s">
        <v>40</v>
      </c>
      <c r="D24" s="31" t="s">
        <v>92</v>
      </c>
      <c r="E24" s="31" t="s">
        <v>41</v>
      </c>
      <c r="F24" s="31" t="s">
        <v>25</v>
      </c>
      <c r="G24" s="31" t="s">
        <v>25</v>
      </c>
      <c r="H24" s="31" t="s">
        <v>25</v>
      </c>
      <c r="I24" s="31" t="s">
        <v>36</v>
      </c>
      <c r="J24" s="31" t="s">
        <v>540</v>
      </c>
      <c r="K24" s="31" t="s">
        <v>539</v>
      </c>
      <c r="L24" s="31" t="s">
        <v>79</v>
      </c>
      <c r="M24" s="31">
        <v>2021</v>
      </c>
      <c r="N24" s="31">
        <v>0</v>
      </c>
      <c r="O24" s="31">
        <v>754.85</v>
      </c>
      <c r="P24" s="31">
        <v>49.902258752363899</v>
      </c>
    </row>
    <row r="25" spans="1:16" ht="11.25" customHeight="1" x14ac:dyDescent="0.3">
      <c r="A25" s="31">
        <v>24</v>
      </c>
      <c r="B25" s="31" t="s">
        <v>393</v>
      </c>
      <c r="C25" s="31" t="s">
        <v>88</v>
      </c>
      <c r="D25" s="31" t="s">
        <v>56</v>
      </c>
      <c r="E25" s="31" t="s">
        <v>25</v>
      </c>
      <c r="F25" s="31" t="s">
        <v>25</v>
      </c>
      <c r="G25" s="31" t="s">
        <v>89</v>
      </c>
      <c r="H25" s="31" t="s">
        <v>25</v>
      </c>
      <c r="I25" s="31" t="s">
        <v>25</v>
      </c>
      <c r="J25" s="31" t="s">
        <v>538</v>
      </c>
      <c r="K25" s="31" t="s">
        <v>539</v>
      </c>
      <c r="L25" s="31" t="s">
        <v>84</v>
      </c>
      <c r="M25" s="31">
        <v>2021</v>
      </c>
      <c r="N25" s="31">
        <v>0</v>
      </c>
      <c r="O25" s="31">
        <v>5.88</v>
      </c>
      <c r="P25" s="31">
        <v>0</v>
      </c>
    </row>
    <row r="26" spans="1:16" ht="11.25" customHeight="1" x14ac:dyDescent="0.3">
      <c r="A26" s="31">
        <v>25</v>
      </c>
      <c r="B26" s="31" t="s">
        <v>393</v>
      </c>
      <c r="C26" s="31" t="s">
        <v>22</v>
      </c>
      <c r="D26" s="31" t="s">
        <v>94</v>
      </c>
      <c r="E26" s="31" t="s">
        <v>24</v>
      </c>
      <c r="F26" s="31" t="s">
        <v>30</v>
      </c>
      <c r="G26" s="31" t="s">
        <v>25</v>
      </c>
      <c r="H26" s="31" t="s">
        <v>25</v>
      </c>
      <c r="I26" s="31" t="s">
        <v>25</v>
      </c>
      <c r="J26" s="31" t="s">
        <v>540</v>
      </c>
      <c r="K26" s="31" t="s">
        <v>539</v>
      </c>
      <c r="L26" s="31" t="s">
        <v>79</v>
      </c>
      <c r="M26" s="31">
        <v>2021</v>
      </c>
      <c r="N26" s="31">
        <v>0</v>
      </c>
      <c r="O26" s="31">
        <v>274.58999999999997</v>
      </c>
      <c r="P26" s="31">
        <v>0</v>
      </c>
    </row>
    <row r="27" spans="1:16" ht="11.25" customHeight="1" x14ac:dyDescent="0.3">
      <c r="A27" s="31">
        <v>26</v>
      </c>
      <c r="B27" s="31" t="s">
        <v>393</v>
      </c>
      <c r="C27" s="31" t="s">
        <v>40</v>
      </c>
      <c r="D27" s="31" t="s">
        <v>92</v>
      </c>
      <c r="E27" s="31" t="s">
        <v>41</v>
      </c>
      <c r="F27" s="31" t="s">
        <v>95</v>
      </c>
      <c r="G27" s="31" t="s">
        <v>25</v>
      </c>
      <c r="H27" s="31" t="s">
        <v>25</v>
      </c>
      <c r="I27" s="31" t="s">
        <v>541</v>
      </c>
      <c r="J27" s="31" t="s">
        <v>540</v>
      </c>
      <c r="K27" s="31" t="s">
        <v>539</v>
      </c>
      <c r="L27" s="31" t="s">
        <v>79</v>
      </c>
      <c r="M27" s="31">
        <v>2021</v>
      </c>
      <c r="N27" s="31">
        <v>0</v>
      </c>
      <c r="O27" s="31">
        <v>495.46</v>
      </c>
      <c r="P27" s="31">
        <v>49.902258752363899</v>
      </c>
    </row>
    <row r="28" spans="1:16" ht="11.25" customHeight="1" x14ac:dyDescent="0.3">
      <c r="A28" s="31">
        <v>27</v>
      </c>
      <c r="B28" s="31" t="s">
        <v>393</v>
      </c>
      <c r="C28" s="31" t="s">
        <v>32</v>
      </c>
      <c r="D28" s="31" t="s">
        <v>23</v>
      </c>
      <c r="E28" s="31" t="s">
        <v>25</v>
      </c>
      <c r="F28" s="31" t="s">
        <v>25</v>
      </c>
      <c r="G28" s="31" t="s">
        <v>25</v>
      </c>
      <c r="H28" s="31" t="s">
        <v>25</v>
      </c>
      <c r="I28" s="31" t="s">
        <v>25</v>
      </c>
      <c r="J28" s="31" t="s">
        <v>540</v>
      </c>
      <c r="K28" s="31" t="s">
        <v>539</v>
      </c>
      <c r="L28" s="31" t="s">
        <v>79</v>
      </c>
      <c r="M28" s="31">
        <v>2021</v>
      </c>
      <c r="N28" s="31">
        <v>0</v>
      </c>
      <c r="O28" s="31">
        <v>370.66</v>
      </c>
      <c r="P28" s="31">
        <v>56.707112218595398</v>
      </c>
    </row>
    <row r="29" spans="1:16" ht="11.25" customHeight="1" x14ac:dyDescent="0.3">
      <c r="A29" s="31">
        <v>28</v>
      </c>
      <c r="B29" s="31" t="s">
        <v>393</v>
      </c>
      <c r="C29" s="31" t="s">
        <v>34</v>
      </c>
      <c r="D29" s="31" t="s">
        <v>38</v>
      </c>
      <c r="E29" s="31" t="s">
        <v>25</v>
      </c>
      <c r="F29" s="31" t="s">
        <v>25</v>
      </c>
      <c r="G29" s="31" t="s">
        <v>87</v>
      </c>
      <c r="H29" s="31" t="s">
        <v>25</v>
      </c>
      <c r="I29" s="31" t="s">
        <v>36</v>
      </c>
      <c r="J29" s="31" t="s">
        <v>540</v>
      </c>
      <c r="K29" s="31" t="s">
        <v>539</v>
      </c>
      <c r="L29" s="31" t="s">
        <v>79</v>
      </c>
      <c r="M29" s="31">
        <v>2021</v>
      </c>
      <c r="N29" s="31">
        <v>0</v>
      </c>
      <c r="O29" s="31">
        <v>1566.08</v>
      </c>
      <c r="P29" s="31">
        <v>0</v>
      </c>
    </row>
    <row r="30" spans="1:16" ht="11.25" customHeight="1" x14ac:dyDescent="0.3">
      <c r="A30" s="31">
        <v>29</v>
      </c>
      <c r="B30" s="31" t="s">
        <v>393</v>
      </c>
      <c r="C30" s="31" t="s">
        <v>22</v>
      </c>
      <c r="D30" s="31" t="s">
        <v>94</v>
      </c>
      <c r="E30" s="31" t="s">
        <v>24</v>
      </c>
      <c r="F30" s="31" t="s">
        <v>28</v>
      </c>
      <c r="G30" s="31" t="s">
        <v>25</v>
      </c>
      <c r="H30" s="31" t="s">
        <v>25</v>
      </c>
      <c r="I30" s="31" t="s">
        <v>25</v>
      </c>
      <c r="J30" s="31" t="s">
        <v>540</v>
      </c>
      <c r="K30" s="31" t="s">
        <v>539</v>
      </c>
      <c r="L30" s="31" t="s">
        <v>79</v>
      </c>
      <c r="M30" s="31">
        <v>2021</v>
      </c>
      <c r="N30" s="31">
        <v>0</v>
      </c>
      <c r="O30" s="31">
        <v>106.78</v>
      </c>
      <c r="P30" s="31">
        <v>0</v>
      </c>
    </row>
    <row r="31" spans="1:16" ht="11.25" customHeight="1" x14ac:dyDescent="0.3">
      <c r="A31" s="31">
        <v>30</v>
      </c>
      <c r="B31" s="31" t="s">
        <v>393</v>
      </c>
      <c r="C31" s="31" t="s">
        <v>34</v>
      </c>
      <c r="D31" s="31" t="s">
        <v>38</v>
      </c>
      <c r="E31" s="31" t="s">
        <v>25</v>
      </c>
      <c r="F31" s="31" t="s">
        <v>25</v>
      </c>
      <c r="G31" s="31" t="s">
        <v>87</v>
      </c>
      <c r="H31" s="31" t="s">
        <v>25</v>
      </c>
      <c r="I31" s="31" t="s">
        <v>37</v>
      </c>
      <c r="J31" s="31" t="s">
        <v>540</v>
      </c>
      <c r="K31" s="31" t="s">
        <v>539</v>
      </c>
      <c r="L31" s="31" t="s">
        <v>79</v>
      </c>
      <c r="M31" s="31">
        <v>2021</v>
      </c>
      <c r="N31" s="31">
        <v>0</v>
      </c>
      <c r="O31" s="31">
        <v>22.54</v>
      </c>
      <c r="P31" s="31">
        <v>0</v>
      </c>
    </row>
    <row r="32" spans="1:16" ht="11.25" customHeight="1" x14ac:dyDescent="0.3">
      <c r="A32" s="31">
        <v>31</v>
      </c>
      <c r="B32" s="31" t="s">
        <v>393</v>
      </c>
      <c r="C32" s="31" t="s">
        <v>22</v>
      </c>
      <c r="D32" s="31" t="s">
        <v>94</v>
      </c>
      <c r="E32" s="31" t="s">
        <v>24</v>
      </c>
      <c r="F32" s="31" t="s">
        <v>29</v>
      </c>
      <c r="G32" s="31" t="s">
        <v>25</v>
      </c>
      <c r="H32" s="31" t="s">
        <v>25</v>
      </c>
      <c r="I32" s="31" t="s">
        <v>25</v>
      </c>
      <c r="J32" s="31" t="s">
        <v>540</v>
      </c>
      <c r="K32" s="31" t="s">
        <v>539</v>
      </c>
      <c r="L32" s="31" t="s">
        <v>79</v>
      </c>
      <c r="M32" s="31">
        <v>2021</v>
      </c>
      <c r="N32" s="31">
        <v>0</v>
      </c>
      <c r="O32" s="31">
        <v>183.06</v>
      </c>
      <c r="P32" s="31">
        <v>0</v>
      </c>
    </row>
    <row r="33" spans="1:16" ht="11.25" customHeight="1" x14ac:dyDescent="0.3">
      <c r="A33" s="31">
        <v>32</v>
      </c>
      <c r="B33" s="31" t="s">
        <v>393</v>
      </c>
      <c r="C33" s="31" t="s">
        <v>40</v>
      </c>
      <c r="D33" s="31" t="s">
        <v>92</v>
      </c>
      <c r="E33" s="31" t="s">
        <v>41</v>
      </c>
      <c r="F33" s="31" t="s">
        <v>95</v>
      </c>
      <c r="G33" s="31" t="s">
        <v>25</v>
      </c>
      <c r="H33" s="31" t="s">
        <v>25</v>
      </c>
      <c r="I33" s="31" t="s">
        <v>36</v>
      </c>
      <c r="J33" s="31" t="s">
        <v>540</v>
      </c>
      <c r="K33" s="31" t="s">
        <v>539</v>
      </c>
      <c r="L33" s="31" t="s">
        <v>79</v>
      </c>
      <c r="M33" s="31">
        <v>2021</v>
      </c>
      <c r="N33" s="31">
        <v>0</v>
      </c>
      <c r="O33" s="31">
        <v>754.85</v>
      </c>
      <c r="P33" s="31">
        <v>49.902258752363899</v>
      </c>
    </row>
    <row r="34" spans="1:16" ht="11.25" customHeight="1" x14ac:dyDescent="0.3">
      <c r="A34" s="31">
        <v>33</v>
      </c>
      <c r="B34" s="31" t="s">
        <v>393</v>
      </c>
      <c r="C34" s="31" t="s">
        <v>32</v>
      </c>
      <c r="D34" s="31" t="s">
        <v>92</v>
      </c>
      <c r="E34" s="31" t="s">
        <v>25</v>
      </c>
      <c r="F34" s="31" t="s">
        <v>25</v>
      </c>
      <c r="G34" s="31" t="s">
        <v>25</v>
      </c>
      <c r="H34" s="31" t="s">
        <v>25</v>
      </c>
      <c r="I34" s="31" t="s">
        <v>37</v>
      </c>
      <c r="J34" s="31" t="s">
        <v>540</v>
      </c>
      <c r="K34" s="31" t="s">
        <v>539</v>
      </c>
      <c r="L34" s="31" t="s">
        <v>79</v>
      </c>
      <c r="M34" s="31">
        <v>2021</v>
      </c>
      <c r="N34" s="31">
        <v>0</v>
      </c>
      <c r="O34" s="31">
        <v>293.25</v>
      </c>
      <c r="P34" s="31">
        <v>56.707112218595398</v>
      </c>
    </row>
    <row r="35" spans="1:16" ht="11.25" customHeight="1" x14ac:dyDescent="0.3">
      <c r="A35" s="31">
        <v>34</v>
      </c>
      <c r="B35" s="31" t="s">
        <v>393</v>
      </c>
      <c r="C35" s="31" t="s">
        <v>40</v>
      </c>
      <c r="D35" s="31" t="s">
        <v>92</v>
      </c>
      <c r="E35" s="31" t="s">
        <v>41</v>
      </c>
      <c r="F35" s="31" t="s">
        <v>25</v>
      </c>
      <c r="G35" s="31" t="s">
        <v>25</v>
      </c>
      <c r="H35" s="31" t="s">
        <v>25</v>
      </c>
      <c r="I35" s="31" t="s">
        <v>37</v>
      </c>
      <c r="J35" s="31" t="s">
        <v>540</v>
      </c>
      <c r="K35" s="31" t="s">
        <v>539</v>
      </c>
      <c r="L35" s="31" t="s">
        <v>79</v>
      </c>
      <c r="M35" s="31">
        <v>2021</v>
      </c>
      <c r="N35" s="31">
        <v>0</v>
      </c>
      <c r="O35" s="31">
        <v>236.08</v>
      </c>
      <c r="P35" s="31">
        <v>49.902258752363899</v>
      </c>
    </row>
    <row r="36" spans="1:16" ht="11.25" customHeight="1" x14ac:dyDescent="0.3">
      <c r="A36" s="31">
        <v>35</v>
      </c>
      <c r="B36" s="31" t="s">
        <v>393</v>
      </c>
      <c r="C36" s="31" t="s">
        <v>32</v>
      </c>
      <c r="D36" s="31" t="s">
        <v>92</v>
      </c>
      <c r="E36" s="31" t="s">
        <v>25</v>
      </c>
      <c r="F36" s="31" t="s">
        <v>25</v>
      </c>
      <c r="G36" s="31" t="s">
        <v>25</v>
      </c>
      <c r="H36" s="31" t="s">
        <v>25</v>
      </c>
      <c r="I36" s="31" t="s">
        <v>36</v>
      </c>
      <c r="J36" s="31" t="s">
        <v>540</v>
      </c>
      <c r="K36" s="31" t="s">
        <v>539</v>
      </c>
      <c r="L36" s="31" t="s">
        <v>79</v>
      </c>
      <c r="M36" s="31">
        <v>2021</v>
      </c>
      <c r="N36" s="31">
        <v>0</v>
      </c>
      <c r="O36" s="31">
        <v>982.7</v>
      </c>
      <c r="P36" s="31">
        <v>56.707112218595398</v>
      </c>
    </row>
    <row r="37" spans="1:16" ht="11.25" customHeight="1" x14ac:dyDescent="0.3">
      <c r="A37" s="31">
        <v>36</v>
      </c>
      <c r="B37" s="31" t="s">
        <v>393</v>
      </c>
      <c r="C37" s="31" t="s">
        <v>40</v>
      </c>
      <c r="D37" s="31" t="s">
        <v>23</v>
      </c>
      <c r="E37" s="31" t="s">
        <v>41</v>
      </c>
      <c r="F37" s="31" t="s">
        <v>25</v>
      </c>
      <c r="G37" s="31" t="s">
        <v>25</v>
      </c>
      <c r="H37" s="31" t="s">
        <v>25</v>
      </c>
      <c r="I37" s="31" t="s">
        <v>25</v>
      </c>
      <c r="J37" s="31" t="s">
        <v>540</v>
      </c>
      <c r="K37" s="31" t="s">
        <v>539</v>
      </c>
      <c r="L37" s="31" t="s">
        <v>79</v>
      </c>
      <c r="M37" s="31">
        <v>2021</v>
      </c>
      <c r="N37" s="31">
        <v>0</v>
      </c>
      <c r="O37" s="31">
        <v>326.19</v>
      </c>
      <c r="P37" s="31">
        <v>49.902258752363899</v>
      </c>
    </row>
    <row r="38" spans="1:16" ht="11.25" customHeight="1" x14ac:dyDescent="0.3">
      <c r="A38" s="31">
        <v>37</v>
      </c>
      <c r="B38" s="31" t="s">
        <v>393</v>
      </c>
      <c r="C38" s="31" t="s">
        <v>32</v>
      </c>
      <c r="D38" s="31" t="s">
        <v>92</v>
      </c>
      <c r="E38" s="31" t="s">
        <v>25</v>
      </c>
      <c r="F38" s="31" t="s">
        <v>25</v>
      </c>
      <c r="G38" s="31" t="s">
        <v>25</v>
      </c>
      <c r="H38" s="31" t="s">
        <v>25</v>
      </c>
      <c r="I38" s="31" t="s">
        <v>541</v>
      </c>
      <c r="J38" s="31" t="s">
        <v>540</v>
      </c>
      <c r="K38" s="31" t="s">
        <v>539</v>
      </c>
      <c r="L38" s="31" t="s">
        <v>79</v>
      </c>
      <c r="M38" s="31">
        <v>2021</v>
      </c>
      <c r="N38" s="31">
        <v>0</v>
      </c>
      <c r="O38" s="31">
        <v>637.99</v>
      </c>
      <c r="P38" s="31">
        <v>56.707112218595398</v>
      </c>
    </row>
    <row r="39" spans="1:16" ht="11.25" customHeight="1" x14ac:dyDescent="0.3">
      <c r="A39" s="31">
        <v>38</v>
      </c>
      <c r="B39" s="31" t="s">
        <v>393</v>
      </c>
      <c r="C39" s="31" t="s">
        <v>40</v>
      </c>
      <c r="D39" s="31" t="s">
        <v>23</v>
      </c>
      <c r="E39" s="31" t="s">
        <v>41</v>
      </c>
      <c r="F39" s="31" t="s">
        <v>95</v>
      </c>
      <c r="G39" s="31" t="s">
        <v>25</v>
      </c>
      <c r="H39" s="31" t="s">
        <v>25</v>
      </c>
      <c r="I39" s="31" t="s">
        <v>25</v>
      </c>
      <c r="J39" s="31" t="s">
        <v>540</v>
      </c>
      <c r="K39" s="31" t="s">
        <v>539</v>
      </c>
      <c r="L39" s="31" t="s">
        <v>79</v>
      </c>
      <c r="M39" s="31">
        <v>2021</v>
      </c>
      <c r="N39" s="31">
        <v>0</v>
      </c>
      <c r="O39" s="31">
        <v>326.19</v>
      </c>
      <c r="P39" s="31">
        <v>49.902258752363899</v>
      </c>
    </row>
    <row r="40" spans="1:16" ht="11.25" customHeight="1" x14ac:dyDescent="0.3">
      <c r="A40" s="31">
        <v>39</v>
      </c>
      <c r="B40" s="31" t="s">
        <v>393</v>
      </c>
      <c r="C40" s="31" t="s">
        <v>43</v>
      </c>
      <c r="D40" s="31" t="s">
        <v>23</v>
      </c>
      <c r="E40" s="31" t="s">
        <v>44</v>
      </c>
      <c r="F40" s="31" t="s">
        <v>97</v>
      </c>
      <c r="G40" s="31" t="s">
        <v>25</v>
      </c>
      <c r="H40" s="31" t="s">
        <v>25</v>
      </c>
      <c r="I40" s="31" t="s">
        <v>25</v>
      </c>
      <c r="J40" s="31" t="s">
        <v>540</v>
      </c>
      <c r="K40" s="31" t="s">
        <v>539</v>
      </c>
      <c r="L40" s="31" t="s">
        <v>79</v>
      </c>
      <c r="M40" s="31">
        <v>2021</v>
      </c>
      <c r="N40" s="31">
        <v>0</v>
      </c>
      <c r="O40" s="31">
        <v>203.87</v>
      </c>
      <c r="P40" s="31">
        <v>31.188911720227502</v>
      </c>
    </row>
    <row r="41" spans="1:16" ht="11.25" customHeight="1" x14ac:dyDescent="0.3">
      <c r="A41" s="31">
        <v>40</v>
      </c>
      <c r="B41" s="31" t="s">
        <v>393</v>
      </c>
      <c r="C41" s="31" t="s">
        <v>43</v>
      </c>
      <c r="D41" s="31" t="s">
        <v>23</v>
      </c>
      <c r="E41" s="31" t="s">
        <v>44</v>
      </c>
      <c r="F41" s="31" t="s">
        <v>45</v>
      </c>
      <c r="G41" s="31" t="s">
        <v>25</v>
      </c>
      <c r="H41" s="31" t="s">
        <v>25</v>
      </c>
      <c r="I41" s="31" t="s">
        <v>25</v>
      </c>
      <c r="J41" s="31" t="s">
        <v>540</v>
      </c>
      <c r="K41" s="31" t="s">
        <v>539</v>
      </c>
      <c r="L41" s="31" t="s">
        <v>79</v>
      </c>
      <c r="M41" s="31">
        <v>2021</v>
      </c>
      <c r="N41" s="31">
        <v>0</v>
      </c>
      <c r="O41" s="31">
        <v>222.4</v>
      </c>
      <c r="P41" s="31">
        <v>34.024267331157198</v>
      </c>
    </row>
    <row r="42" spans="1:16" ht="11.25" customHeight="1" x14ac:dyDescent="0.3">
      <c r="A42" s="31">
        <v>41</v>
      </c>
      <c r="B42" s="31" t="s">
        <v>393</v>
      </c>
      <c r="C42" s="31" t="s">
        <v>40</v>
      </c>
      <c r="D42" s="31" t="s">
        <v>92</v>
      </c>
      <c r="E42" s="31" t="s">
        <v>41</v>
      </c>
      <c r="F42" s="31" t="s">
        <v>25</v>
      </c>
      <c r="G42" s="31" t="s">
        <v>25</v>
      </c>
      <c r="H42" s="31" t="s">
        <v>25</v>
      </c>
      <c r="I42" s="31" t="s">
        <v>541</v>
      </c>
      <c r="J42" s="31" t="s">
        <v>540</v>
      </c>
      <c r="K42" s="31" t="s">
        <v>539</v>
      </c>
      <c r="L42" s="31" t="s">
        <v>79</v>
      </c>
      <c r="M42" s="31">
        <v>2021</v>
      </c>
      <c r="N42" s="31">
        <v>0</v>
      </c>
      <c r="O42" s="31">
        <v>495.46</v>
      </c>
      <c r="P42" s="31">
        <v>49.902258752363899</v>
      </c>
    </row>
    <row r="43" spans="1:16" ht="11.25" customHeight="1" x14ac:dyDescent="0.3">
      <c r="A43" s="31">
        <v>42</v>
      </c>
      <c r="B43" s="31" t="s">
        <v>393</v>
      </c>
      <c r="C43" s="31" t="s">
        <v>40</v>
      </c>
      <c r="D43" s="31" t="s">
        <v>23</v>
      </c>
      <c r="E43" s="31" t="s">
        <v>41</v>
      </c>
      <c r="F43" s="31" t="s">
        <v>96</v>
      </c>
      <c r="G43" s="31" t="s">
        <v>25</v>
      </c>
      <c r="H43" s="31" t="s">
        <v>25</v>
      </c>
      <c r="I43" s="31" t="s">
        <v>25</v>
      </c>
      <c r="J43" s="31" t="s">
        <v>540</v>
      </c>
      <c r="K43" s="31" t="s">
        <v>539</v>
      </c>
      <c r="L43" s="31" t="s">
        <v>79</v>
      </c>
      <c r="M43" s="31">
        <v>2021</v>
      </c>
      <c r="N43" s="31">
        <v>0</v>
      </c>
      <c r="O43" s="31">
        <v>311.36</v>
      </c>
      <c r="P43" s="31">
        <v>47.633974263620097</v>
      </c>
    </row>
    <row r="44" spans="1:16" ht="11.25" customHeight="1" x14ac:dyDescent="0.3">
      <c r="A44" s="31">
        <v>43</v>
      </c>
      <c r="B44" s="31" t="s">
        <v>421</v>
      </c>
      <c r="C44" s="31" t="s">
        <v>22</v>
      </c>
      <c r="D44" s="31" t="s">
        <v>78</v>
      </c>
      <c r="E44" s="31" t="s">
        <v>24</v>
      </c>
      <c r="F44" s="31" t="s">
        <v>24</v>
      </c>
      <c r="G44" s="31" t="s">
        <v>25</v>
      </c>
      <c r="H44" s="31" t="s">
        <v>25</v>
      </c>
      <c r="I44" s="31" t="s">
        <v>541</v>
      </c>
      <c r="J44" s="31" t="s">
        <v>540</v>
      </c>
      <c r="K44" s="31" t="s">
        <v>539</v>
      </c>
      <c r="L44" s="31" t="s">
        <v>79</v>
      </c>
      <c r="M44" s="31">
        <v>2021</v>
      </c>
      <c r="N44" s="31">
        <v>0</v>
      </c>
      <c r="O44" s="31">
        <v>291.85000000000002</v>
      </c>
      <c r="P44" s="31"/>
    </row>
    <row r="45" spans="1:16" ht="11.25" customHeight="1" x14ac:dyDescent="0.3">
      <c r="A45" s="31">
        <v>44</v>
      </c>
      <c r="B45" s="31" t="s">
        <v>393</v>
      </c>
      <c r="C45" s="31" t="s">
        <v>22</v>
      </c>
      <c r="D45" s="31" t="s">
        <v>92</v>
      </c>
      <c r="E45" s="31" t="s">
        <v>24</v>
      </c>
      <c r="F45" s="31" t="s">
        <v>24</v>
      </c>
      <c r="G45" s="31" t="s">
        <v>25</v>
      </c>
      <c r="H45" s="31" t="s">
        <v>25</v>
      </c>
      <c r="I45" s="31" t="s">
        <v>36</v>
      </c>
      <c r="J45" s="31" t="s">
        <v>540</v>
      </c>
      <c r="K45" s="31" t="s">
        <v>539</v>
      </c>
      <c r="L45" s="31" t="s">
        <v>79</v>
      </c>
      <c r="M45" s="31">
        <v>2021</v>
      </c>
      <c r="N45" s="31">
        <v>0</v>
      </c>
      <c r="O45" s="31">
        <v>795.38</v>
      </c>
      <c r="P45" s="31">
        <v>56.707112218595398</v>
      </c>
    </row>
    <row r="46" spans="1:16" ht="11.25" customHeight="1" x14ac:dyDescent="0.3">
      <c r="A46" s="31">
        <v>45</v>
      </c>
      <c r="B46" s="31" t="s">
        <v>393</v>
      </c>
      <c r="C46" s="31" t="s">
        <v>40</v>
      </c>
      <c r="D46" s="31" t="s">
        <v>94</v>
      </c>
      <c r="E46" s="31" t="s">
        <v>41</v>
      </c>
      <c r="F46" s="31" t="s">
        <v>95</v>
      </c>
      <c r="G46" s="31" t="s">
        <v>25</v>
      </c>
      <c r="H46" s="31" t="s">
        <v>25</v>
      </c>
      <c r="I46" s="31" t="s">
        <v>25</v>
      </c>
      <c r="J46" s="31" t="s">
        <v>540</v>
      </c>
      <c r="K46" s="31" t="s">
        <v>539</v>
      </c>
      <c r="L46" s="31" t="s">
        <v>79</v>
      </c>
      <c r="M46" s="31">
        <v>2021</v>
      </c>
      <c r="N46" s="31">
        <v>0</v>
      </c>
      <c r="O46" s="31">
        <v>326.19</v>
      </c>
      <c r="P46" s="31">
        <v>49.902258752363899</v>
      </c>
    </row>
    <row r="47" spans="1:16" ht="11.25" customHeight="1" x14ac:dyDescent="0.3">
      <c r="A47" s="31">
        <v>46</v>
      </c>
      <c r="B47" s="31" t="s">
        <v>421</v>
      </c>
      <c r="C47" s="31" t="s">
        <v>22</v>
      </c>
      <c r="D47" s="31" t="s">
        <v>78</v>
      </c>
      <c r="E47" s="31" t="s">
        <v>24</v>
      </c>
      <c r="F47" s="31" t="s">
        <v>24</v>
      </c>
      <c r="G47" s="31" t="s">
        <v>25</v>
      </c>
      <c r="H47" s="31" t="s">
        <v>25</v>
      </c>
      <c r="I47" s="31" t="s">
        <v>37</v>
      </c>
      <c r="J47" s="31" t="s">
        <v>540</v>
      </c>
      <c r="K47" s="31" t="s">
        <v>539</v>
      </c>
      <c r="L47" s="31" t="s">
        <v>79</v>
      </c>
      <c r="M47" s="31">
        <v>2021</v>
      </c>
      <c r="N47" s="31">
        <v>0</v>
      </c>
      <c r="O47" s="31">
        <v>291.85000000000002</v>
      </c>
      <c r="P47" s="31"/>
    </row>
    <row r="48" spans="1:16" ht="11.25" customHeight="1" x14ac:dyDescent="0.3">
      <c r="A48" s="31">
        <v>47</v>
      </c>
      <c r="B48" s="31" t="s">
        <v>393</v>
      </c>
      <c r="C48" s="31" t="s">
        <v>40</v>
      </c>
      <c r="D48" s="31" t="s">
        <v>94</v>
      </c>
      <c r="E48" s="31" t="s">
        <v>41</v>
      </c>
      <c r="F48" s="31" t="s">
        <v>25</v>
      </c>
      <c r="G48" s="31" t="s">
        <v>25</v>
      </c>
      <c r="H48" s="31" t="s">
        <v>25</v>
      </c>
      <c r="I48" s="31" t="s">
        <v>25</v>
      </c>
      <c r="J48" s="31" t="s">
        <v>540</v>
      </c>
      <c r="K48" s="31" t="s">
        <v>539</v>
      </c>
      <c r="L48" s="31" t="s">
        <v>79</v>
      </c>
      <c r="M48" s="31">
        <v>2021</v>
      </c>
      <c r="N48" s="31">
        <v>0</v>
      </c>
      <c r="O48" s="31">
        <v>326.19</v>
      </c>
      <c r="P48" s="31">
        <v>49.902258752363899</v>
      </c>
    </row>
    <row r="49" spans="1:16" ht="11.25" customHeight="1" x14ac:dyDescent="0.3">
      <c r="A49" s="31">
        <v>48</v>
      </c>
      <c r="B49" s="31" t="s">
        <v>393</v>
      </c>
      <c r="C49" s="31" t="s">
        <v>40</v>
      </c>
      <c r="D49" s="31" t="s">
        <v>92</v>
      </c>
      <c r="E49" s="31" t="s">
        <v>41</v>
      </c>
      <c r="F49" s="31" t="s">
        <v>96</v>
      </c>
      <c r="G49" s="31" t="s">
        <v>25</v>
      </c>
      <c r="H49" s="31" t="s">
        <v>25</v>
      </c>
      <c r="I49" s="31" t="s">
        <v>37</v>
      </c>
      <c r="J49" s="31" t="s">
        <v>540</v>
      </c>
      <c r="K49" s="31" t="s">
        <v>539</v>
      </c>
      <c r="L49" s="31" t="s">
        <v>79</v>
      </c>
      <c r="M49" s="31">
        <v>2021</v>
      </c>
      <c r="N49" s="31">
        <v>0</v>
      </c>
      <c r="O49" s="31">
        <v>225.35</v>
      </c>
      <c r="P49" s="31">
        <v>47.633974263620097</v>
      </c>
    </row>
    <row r="50" spans="1:16" ht="11.25" customHeight="1" x14ac:dyDescent="0.3">
      <c r="A50" s="31">
        <v>49</v>
      </c>
      <c r="B50" s="31" t="s">
        <v>421</v>
      </c>
      <c r="C50" s="31" t="s">
        <v>22</v>
      </c>
      <c r="D50" s="31" t="s">
        <v>78</v>
      </c>
      <c r="E50" s="31" t="s">
        <v>24</v>
      </c>
      <c r="F50" s="31" t="s">
        <v>24</v>
      </c>
      <c r="G50" s="31" t="s">
        <v>25</v>
      </c>
      <c r="H50" s="31" t="s">
        <v>25</v>
      </c>
      <c r="I50" s="31" t="s">
        <v>36</v>
      </c>
      <c r="J50" s="31" t="s">
        <v>540</v>
      </c>
      <c r="K50" s="31" t="s">
        <v>539</v>
      </c>
      <c r="L50" s="31" t="s">
        <v>79</v>
      </c>
      <c r="M50" s="31">
        <v>2021</v>
      </c>
      <c r="N50" s="31">
        <v>0</v>
      </c>
      <c r="O50" s="31">
        <v>291.85000000000002</v>
      </c>
      <c r="P50" s="31"/>
    </row>
    <row r="51" spans="1:16" ht="11.25" customHeight="1" x14ac:dyDescent="0.3">
      <c r="A51" s="31">
        <v>50</v>
      </c>
      <c r="B51" s="31" t="s">
        <v>393</v>
      </c>
      <c r="C51" s="31" t="s">
        <v>40</v>
      </c>
      <c r="D51" s="31" t="s">
        <v>92</v>
      </c>
      <c r="E51" s="31" t="s">
        <v>41</v>
      </c>
      <c r="F51" s="31" t="s">
        <v>96</v>
      </c>
      <c r="G51" s="31" t="s">
        <v>25</v>
      </c>
      <c r="H51" s="31" t="s">
        <v>25</v>
      </c>
      <c r="I51" s="31" t="s">
        <v>541</v>
      </c>
      <c r="J51" s="31" t="s">
        <v>540</v>
      </c>
      <c r="K51" s="31" t="s">
        <v>539</v>
      </c>
      <c r="L51" s="31" t="s">
        <v>79</v>
      </c>
      <c r="M51" s="31">
        <v>2021</v>
      </c>
      <c r="N51" s="31">
        <v>0</v>
      </c>
      <c r="O51" s="31">
        <v>472.94</v>
      </c>
      <c r="P51" s="31">
        <v>47.633974263620097</v>
      </c>
    </row>
    <row r="52" spans="1:16" ht="11.25" customHeight="1" x14ac:dyDescent="0.3">
      <c r="A52" s="31">
        <v>51</v>
      </c>
      <c r="B52" s="31" t="s">
        <v>393</v>
      </c>
      <c r="C52" s="31" t="s">
        <v>40</v>
      </c>
      <c r="D52" s="31" t="s">
        <v>94</v>
      </c>
      <c r="E52" s="31" t="s">
        <v>41</v>
      </c>
      <c r="F52" s="31" t="s">
        <v>96</v>
      </c>
      <c r="G52" s="31" t="s">
        <v>25</v>
      </c>
      <c r="H52" s="31" t="s">
        <v>25</v>
      </c>
      <c r="I52" s="31" t="s">
        <v>25</v>
      </c>
      <c r="J52" s="31" t="s">
        <v>540</v>
      </c>
      <c r="K52" s="31" t="s">
        <v>539</v>
      </c>
      <c r="L52" s="31" t="s">
        <v>79</v>
      </c>
      <c r="M52" s="31">
        <v>2021</v>
      </c>
      <c r="N52" s="31">
        <v>0</v>
      </c>
      <c r="O52" s="31">
        <v>311.36</v>
      </c>
      <c r="P52" s="31">
        <v>47.633974263620097</v>
      </c>
    </row>
    <row r="53" spans="1:16" ht="11.25" customHeight="1" x14ac:dyDescent="0.3">
      <c r="A53" s="31">
        <v>52</v>
      </c>
      <c r="B53" s="31" t="s">
        <v>421</v>
      </c>
      <c r="C53" s="31" t="s">
        <v>22</v>
      </c>
      <c r="D53" s="31" t="s">
        <v>82</v>
      </c>
      <c r="E53" s="31" t="s">
        <v>24</v>
      </c>
      <c r="F53" s="31" t="s">
        <v>28</v>
      </c>
      <c r="G53" s="31" t="s">
        <v>25</v>
      </c>
      <c r="H53" s="31" t="s">
        <v>25</v>
      </c>
      <c r="I53" s="31" t="s">
        <v>25</v>
      </c>
      <c r="J53" s="31" t="s">
        <v>540</v>
      </c>
      <c r="K53" s="31" t="s">
        <v>539</v>
      </c>
      <c r="L53" s="31" t="s">
        <v>79</v>
      </c>
      <c r="M53" s="31">
        <v>2021</v>
      </c>
      <c r="N53" s="31">
        <v>0</v>
      </c>
      <c r="O53" s="31">
        <v>102.15</v>
      </c>
      <c r="P53" s="31"/>
    </row>
    <row r="54" spans="1:16" ht="11.25" customHeight="1" x14ac:dyDescent="0.3">
      <c r="A54" s="31">
        <v>53</v>
      </c>
      <c r="B54" s="31" t="s">
        <v>421</v>
      </c>
      <c r="C54" s="31" t="s">
        <v>22</v>
      </c>
      <c r="D54" s="31" t="s">
        <v>82</v>
      </c>
      <c r="E54" s="31" t="s">
        <v>24</v>
      </c>
      <c r="F54" s="31" t="s">
        <v>24</v>
      </c>
      <c r="G54" s="31" t="s">
        <v>25</v>
      </c>
      <c r="H54" s="31" t="s">
        <v>25</v>
      </c>
      <c r="I54" s="31" t="s">
        <v>25</v>
      </c>
      <c r="J54" s="31" t="s">
        <v>540</v>
      </c>
      <c r="K54" s="31" t="s">
        <v>539</v>
      </c>
      <c r="L54" s="31" t="s">
        <v>79</v>
      </c>
      <c r="M54" s="31">
        <v>2021</v>
      </c>
      <c r="N54" s="31">
        <v>0</v>
      </c>
      <c r="O54" s="31">
        <v>291.85000000000002</v>
      </c>
      <c r="P54" s="31"/>
    </row>
    <row r="55" spans="1:16" ht="11.25" customHeight="1" x14ac:dyDescent="0.3">
      <c r="A55" s="31">
        <v>54</v>
      </c>
      <c r="B55" s="31" t="s">
        <v>421</v>
      </c>
      <c r="C55" s="31" t="s">
        <v>22</v>
      </c>
      <c r="D55" s="31" t="s">
        <v>82</v>
      </c>
      <c r="E55" s="31" t="s">
        <v>24</v>
      </c>
      <c r="F55" s="31" t="s">
        <v>31</v>
      </c>
      <c r="G55" s="31" t="s">
        <v>25</v>
      </c>
      <c r="H55" s="31" t="s">
        <v>25</v>
      </c>
      <c r="I55" s="31" t="s">
        <v>25</v>
      </c>
      <c r="J55" s="31" t="s">
        <v>540</v>
      </c>
      <c r="K55" s="31" t="s">
        <v>539</v>
      </c>
      <c r="L55" s="31" t="s">
        <v>79</v>
      </c>
      <c r="M55" s="31">
        <v>2021</v>
      </c>
      <c r="N55" s="31">
        <v>0</v>
      </c>
      <c r="O55" s="31">
        <v>291.85000000000002</v>
      </c>
      <c r="P55" s="31"/>
    </row>
    <row r="56" spans="1:16" ht="11.25" customHeight="1" x14ac:dyDescent="0.3">
      <c r="A56" s="31">
        <v>55</v>
      </c>
      <c r="B56" s="31" t="s">
        <v>421</v>
      </c>
      <c r="C56" s="31" t="s">
        <v>40</v>
      </c>
      <c r="D56" s="31" t="s">
        <v>78</v>
      </c>
      <c r="E56" s="31" t="s">
        <v>41</v>
      </c>
      <c r="F56" s="31" t="s">
        <v>96</v>
      </c>
      <c r="G56" s="31" t="s">
        <v>25</v>
      </c>
      <c r="H56" s="31" t="s">
        <v>25</v>
      </c>
      <c r="I56" s="31" t="s">
        <v>37</v>
      </c>
      <c r="J56" s="31" t="s">
        <v>540</v>
      </c>
      <c r="K56" s="31" t="s">
        <v>539</v>
      </c>
      <c r="L56" s="31" t="s">
        <v>79</v>
      </c>
      <c r="M56" s="31">
        <v>2021</v>
      </c>
      <c r="N56" s="31">
        <v>0</v>
      </c>
      <c r="O56" s="31">
        <v>245.16</v>
      </c>
      <c r="P56" s="31"/>
    </row>
    <row r="57" spans="1:16" ht="11.25" customHeight="1" x14ac:dyDescent="0.3">
      <c r="A57" s="31">
        <v>56</v>
      </c>
      <c r="B57" s="31" t="s">
        <v>421</v>
      </c>
      <c r="C57" s="31" t="s">
        <v>22</v>
      </c>
      <c r="D57" s="31" t="s">
        <v>93</v>
      </c>
      <c r="E57" s="31" t="s">
        <v>24</v>
      </c>
      <c r="F57" s="31" t="s">
        <v>29</v>
      </c>
      <c r="G57" s="31" t="s">
        <v>25</v>
      </c>
      <c r="H57" s="31" t="s">
        <v>25</v>
      </c>
      <c r="I57" s="31" t="s">
        <v>25</v>
      </c>
      <c r="J57" s="31" t="s">
        <v>540</v>
      </c>
      <c r="K57" s="31" t="s">
        <v>539</v>
      </c>
      <c r="L57" s="31" t="s">
        <v>79</v>
      </c>
      <c r="M57" s="31">
        <v>2021</v>
      </c>
      <c r="N57" s="31">
        <v>0</v>
      </c>
      <c r="O57" s="31">
        <v>175.11</v>
      </c>
      <c r="P57" s="31"/>
    </row>
    <row r="58" spans="1:16" ht="11.25" customHeight="1" x14ac:dyDescent="0.3">
      <c r="A58" s="31">
        <v>57</v>
      </c>
      <c r="B58" s="31" t="s">
        <v>421</v>
      </c>
      <c r="C58" s="31" t="s">
        <v>22</v>
      </c>
      <c r="D58" s="31" t="s">
        <v>93</v>
      </c>
      <c r="E58" s="31" t="s">
        <v>24</v>
      </c>
      <c r="F58" s="31" t="s">
        <v>31</v>
      </c>
      <c r="G58" s="31" t="s">
        <v>25</v>
      </c>
      <c r="H58" s="31" t="s">
        <v>25</v>
      </c>
      <c r="I58" s="31" t="s">
        <v>25</v>
      </c>
      <c r="J58" s="31" t="s">
        <v>540</v>
      </c>
      <c r="K58" s="31" t="s">
        <v>539</v>
      </c>
      <c r="L58" s="31" t="s">
        <v>79</v>
      </c>
      <c r="M58" s="31">
        <v>2021</v>
      </c>
      <c r="N58" s="31">
        <v>0</v>
      </c>
      <c r="O58" s="31">
        <v>291.85000000000002</v>
      </c>
      <c r="P58" s="31"/>
    </row>
    <row r="59" spans="1:16" ht="11.25" customHeight="1" x14ac:dyDescent="0.3">
      <c r="A59" s="31">
        <v>58</v>
      </c>
      <c r="B59" s="31" t="s">
        <v>421</v>
      </c>
      <c r="C59" s="31" t="s">
        <v>22</v>
      </c>
      <c r="D59" s="31" t="s">
        <v>93</v>
      </c>
      <c r="E59" s="31" t="s">
        <v>24</v>
      </c>
      <c r="F59" s="31" t="s">
        <v>24</v>
      </c>
      <c r="G59" s="31" t="s">
        <v>25</v>
      </c>
      <c r="H59" s="31" t="s">
        <v>25</v>
      </c>
      <c r="I59" s="31" t="s">
        <v>25</v>
      </c>
      <c r="J59" s="31" t="s">
        <v>540</v>
      </c>
      <c r="K59" s="31" t="s">
        <v>539</v>
      </c>
      <c r="L59" s="31" t="s">
        <v>79</v>
      </c>
      <c r="M59" s="31">
        <v>2021</v>
      </c>
      <c r="N59" s="31">
        <v>0</v>
      </c>
      <c r="O59" s="31">
        <v>291.85000000000002</v>
      </c>
      <c r="P59" s="31"/>
    </row>
    <row r="60" spans="1:16" ht="11.25" customHeight="1" x14ac:dyDescent="0.3">
      <c r="A60" s="31">
        <v>59</v>
      </c>
      <c r="B60" s="31" t="s">
        <v>421</v>
      </c>
      <c r="C60" s="31" t="s">
        <v>40</v>
      </c>
      <c r="D60" s="31" t="s">
        <v>82</v>
      </c>
      <c r="E60" s="31" t="s">
        <v>41</v>
      </c>
      <c r="F60" s="31" t="s">
        <v>96</v>
      </c>
      <c r="G60" s="31" t="s">
        <v>25</v>
      </c>
      <c r="H60" s="31" t="s">
        <v>25</v>
      </c>
      <c r="I60" s="31" t="s">
        <v>25</v>
      </c>
      <c r="J60" s="31" t="s">
        <v>540</v>
      </c>
      <c r="K60" s="31" t="s">
        <v>539</v>
      </c>
      <c r="L60" s="31" t="s">
        <v>79</v>
      </c>
      <c r="M60" s="31">
        <v>2021</v>
      </c>
      <c r="N60" s="31">
        <v>0</v>
      </c>
      <c r="O60" s="31">
        <v>245.16</v>
      </c>
      <c r="P60" s="31"/>
    </row>
    <row r="61" spans="1:16" ht="11.25" customHeight="1" x14ac:dyDescent="0.3">
      <c r="A61" s="31">
        <v>60</v>
      </c>
      <c r="B61" s="31" t="s">
        <v>421</v>
      </c>
      <c r="C61" s="31" t="s">
        <v>22</v>
      </c>
      <c r="D61" s="31" t="s">
        <v>82</v>
      </c>
      <c r="E61" s="31" t="s">
        <v>24</v>
      </c>
      <c r="F61" s="31" t="s">
        <v>30</v>
      </c>
      <c r="G61" s="31" t="s">
        <v>25</v>
      </c>
      <c r="H61" s="31" t="s">
        <v>25</v>
      </c>
      <c r="I61" s="31" t="s">
        <v>25</v>
      </c>
      <c r="J61" s="31" t="s">
        <v>540</v>
      </c>
      <c r="K61" s="31" t="s">
        <v>539</v>
      </c>
      <c r="L61" s="31" t="s">
        <v>79</v>
      </c>
      <c r="M61" s="31">
        <v>2021</v>
      </c>
      <c r="N61" s="31">
        <v>0</v>
      </c>
      <c r="O61" s="31">
        <v>262.67</v>
      </c>
      <c r="P61" s="31"/>
    </row>
    <row r="62" spans="1:16" ht="11.25" customHeight="1" x14ac:dyDescent="0.3">
      <c r="A62" s="31">
        <v>61</v>
      </c>
      <c r="B62" s="31" t="s">
        <v>421</v>
      </c>
      <c r="C62" s="31" t="s">
        <v>40</v>
      </c>
      <c r="D62" s="31" t="s">
        <v>78</v>
      </c>
      <c r="E62" s="31" t="s">
        <v>41</v>
      </c>
      <c r="F62" s="31" t="s">
        <v>96</v>
      </c>
      <c r="G62" s="31" t="s">
        <v>25</v>
      </c>
      <c r="H62" s="31" t="s">
        <v>25</v>
      </c>
      <c r="I62" s="31" t="s">
        <v>541</v>
      </c>
      <c r="J62" s="31" t="s">
        <v>540</v>
      </c>
      <c r="K62" s="31" t="s">
        <v>539</v>
      </c>
      <c r="L62" s="31" t="s">
        <v>79</v>
      </c>
      <c r="M62" s="31">
        <v>2021</v>
      </c>
      <c r="N62" s="31">
        <v>0</v>
      </c>
      <c r="O62" s="31">
        <v>245.16</v>
      </c>
      <c r="P62" s="31"/>
    </row>
    <row r="63" spans="1:16" ht="11.25" customHeight="1" x14ac:dyDescent="0.3">
      <c r="A63" s="31">
        <v>62</v>
      </c>
      <c r="B63" s="31" t="s">
        <v>421</v>
      </c>
      <c r="C63" s="31" t="s">
        <v>34</v>
      </c>
      <c r="D63" s="31" t="s">
        <v>78</v>
      </c>
      <c r="E63" s="31" t="s">
        <v>25</v>
      </c>
      <c r="F63" s="31" t="s">
        <v>25</v>
      </c>
      <c r="G63" s="31" t="s">
        <v>25</v>
      </c>
      <c r="H63" s="31" t="s">
        <v>25</v>
      </c>
      <c r="I63" s="31" t="s">
        <v>37</v>
      </c>
      <c r="J63" s="31" t="s">
        <v>540</v>
      </c>
      <c r="K63" s="31" t="s">
        <v>539</v>
      </c>
      <c r="L63" s="31" t="s">
        <v>79</v>
      </c>
      <c r="M63" s="31">
        <v>2021</v>
      </c>
      <c r="N63" s="31">
        <v>0</v>
      </c>
      <c r="O63" s="31">
        <v>291.85000000000002</v>
      </c>
      <c r="P63" s="31"/>
    </row>
    <row r="64" spans="1:16" ht="11.25" customHeight="1" x14ac:dyDescent="0.3">
      <c r="A64" s="31">
        <v>63</v>
      </c>
      <c r="B64" s="31" t="s">
        <v>421</v>
      </c>
      <c r="C64" s="31" t="s">
        <v>22</v>
      </c>
      <c r="D64" s="31" t="s">
        <v>82</v>
      </c>
      <c r="E64" s="31" t="s">
        <v>24</v>
      </c>
      <c r="F64" s="31" t="s">
        <v>29</v>
      </c>
      <c r="G64" s="31" t="s">
        <v>25</v>
      </c>
      <c r="H64" s="31" t="s">
        <v>25</v>
      </c>
      <c r="I64" s="31" t="s">
        <v>25</v>
      </c>
      <c r="J64" s="31" t="s">
        <v>540</v>
      </c>
      <c r="K64" s="31" t="s">
        <v>539</v>
      </c>
      <c r="L64" s="31" t="s">
        <v>79</v>
      </c>
      <c r="M64" s="31">
        <v>2021</v>
      </c>
      <c r="N64" s="31">
        <v>0</v>
      </c>
      <c r="O64" s="31">
        <v>175.11</v>
      </c>
      <c r="P64" s="31"/>
    </row>
    <row r="65" spans="1:16" ht="11.25" customHeight="1" x14ac:dyDescent="0.3">
      <c r="A65" s="31">
        <v>64</v>
      </c>
      <c r="B65" s="31" t="s">
        <v>421</v>
      </c>
      <c r="C65" s="31" t="s">
        <v>40</v>
      </c>
      <c r="D65" s="31" t="s">
        <v>78</v>
      </c>
      <c r="E65" s="31" t="s">
        <v>41</v>
      </c>
      <c r="F65" s="31" t="s">
        <v>96</v>
      </c>
      <c r="G65" s="31" t="s">
        <v>25</v>
      </c>
      <c r="H65" s="31" t="s">
        <v>25</v>
      </c>
      <c r="I65" s="31" t="s">
        <v>36</v>
      </c>
      <c r="J65" s="31" t="s">
        <v>540</v>
      </c>
      <c r="K65" s="31" t="s">
        <v>539</v>
      </c>
      <c r="L65" s="31" t="s">
        <v>79</v>
      </c>
      <c r="M65" s="31">
        <v>2021</v>
      </c>
      <c r="N65" s="31">
        <v>0</v>
      </c>
      <c r="O65" s="31">
        <v>245.16</v>
      </c>
      <c r="P65" s="31"/>
    </row>
    <row r="66" spans="1:16" ht="11.25" customHeight="1" x14ac:dyDescent="0.3">
      <c r="A66" s="31">
        <v>65</v>
      </c>
      <c r="B66" s="31" t="s">
        <v>421</v>
      </c>
      <c r="C66" s="31" t="s">
        <v>22</v>
      </c>
      <c r="D66" s="31" t="s">
        <v>93</v>
      </c>
      <c r="E66" s="31" t="s">
        <v>24</v>
      </c>
      <c r="F66" s="31" t="s">
        <v>28</v>
      </c>
      <c r="G66" s="31" t="s">
        <v>25</v>
      </c>
      <c r="H66" s="31" t="s">
        <v>25</v>
      </c>
      <c r="I66" s="31" t="s">
        <v>25</v>
      </c>
      <c r="J66" s="31" t="s">
        <v>540</v>
      </c>
      <c r="K66" s="31" t="s">
        <v>539</v>
      </c>
      <c r="L66" s="31" t="s">
        <v>79</v>
      </c>
      <c r="M66" s="31">
        <v>2021</v>
      </c>
      <c r="N66" s="31">
        <v>0</v>
      </c>
      <c r="O66" s="31">
        <v>102.15</v>
      </c>
      <c r="P66" s="31"/>
    </row>
    <row r="67" spans="1:16" ht="11.25" customHeight="1" x14ac:dyDescent="0.3">
      <c r="A67" s="31">
        <v>66</v>
      </c>
      <c r="B67" s="31" t="s">
        <v>421</v>
      </c>
      <c r="C67" s="31" t="s">
        <v>22</v>
      </c>
      <c r="D67" s="31" t="s">
        <v>93</v>
      </c>
      <c r="E67" s="31" t="s">
        <v>24</v>
      </c>
      <c r="F67" s="31" t="s">
        <v>30</v>
      </c>
      <c r="G67" s="31" t="s">
        <v>25</v>
      </c>
      <c r="H67" s="31" t="s">
        <v>25</v>
      </c>
      <c r="I67" s="31" t="s">
        <v>25</v>
      </c>
      <c r="J67" s="31" t="s">
        <v>540</v>
      </c>
      <c r="K67" s="31" t="s">
        <v>539</v>
      </c>
      <c r="L67" s="31" t="s">
        <v>79</v>
      </c>
      <c r="M67" s="31">
        <v>2021</v>
      </c>
      <c r="N67" s="31">
        <v>0</v>
      </c>
      <c r="O67" s="31">
        <v>262.67</v>
      </c>
      <c r="P67" s="31"/>
    </row>
    <row r="68" spans="1:16" ht="11.25" customHeight="1" x14ac:dyDescent="0.3">
      <c r="A68" s="31">
        <v>67</v>
      </c>
      <c r="B68" s="31" t="s">
        <v>421</v>
      </c>
      <c r="C68" s="31" t="s">
        <v>40</v>
      </c>
      <c r="D68" s="31" t="s">
        <v>78</v>
      </c>
      <c r="E68" s="31" t="s">
        <v>41</v>
      </c>
      <c r="F68" s="31" t="s">
        <v>25</v>
      </c>
      <c r="G68" s="31" t="s">
        <v>25</v>
      </c>
      <c r="H68" s="31" t="s">
        <v>25</v>
      </c>
      <c r="I68" s="31" t="s">
        <v>36</v>
      </c>
      <c r="J68" s="31" t="s">
        <v>540</v>
      </c>
      <c r="K68" s="31" t="s">
        <v>539</v>
      </c>
      <c r="L68" s="31" t="s">
        <v>79</v>
      </c>
      <c r="M68" s="31">
        <v>2021</v>
      </c>
      <c r="N68" s="31">
        <v>0</v>
      </c>
      <c r="O68" s="31">
        <v>256.83</v>
      </c>
      <c r="P68" s="31"/>
    </row>
    <row r="69" spans="1:16" ht="11.25" customHeight="1" x14ac:dyDescent="0.3">
      <c r="A69" s="31">
        <v>68</v>
      </c>
      <c r="B69" s="31" t="s">
        <v>421</v>
      </c>
      <c r="C69" s="31" t="s">
        <v>40</v>
      </c>
      <c r="D69" s="31" t="s">
        <v>78</v>
      </c>
      <c r="E69" s="31" t="s">
        <v>41</v>
      </c>
      <c r="F69" s="31" t="s">
        <v>25</v>
      </c>
      <c r="G69" s="31" t="s">
        <v>25</v>
      </c>
      <c r="H69" s="31" t="s">
        <v>25</v>
      </c>
      <c r="I69" s="31" t="s">
        <v>541</v>
      </c>
      <c r="J69" s="31" t="s">
        <v>540</v>
      </c>
      <c r="K69" s="31" t="s">
        <v>539</v>
      </c>
      <c r="L69" s="31" t="s">
        <v>79</v>
      </c>
      <c r="M69" s="31">
        <v>2021</v>
      </c>
      <c r="N69" s="31">
        <v>0</v>
      </c>
      <c r="O69" s="31">
        <v>256.83</v>
      </c>
      <c r="P69" s="31"/>
    </row>
    <row r="70" spans="1:16" ht="11.25" customHeight="1" x14ac:dyDescent="0.3">
      <c r="A70" s="31">
        <v>69</v>
      </c>
      <c r="B70" s="31" t="s">
        <v>421</v>
      </c>
      <c r="C70" s="31" t="s">
        <v>40</v>
      </c>
      <c r="D70" s="31" t="s">
        <v>93</v>
      </c>
      <c r="E70" s="31" t="s">
        <v>41</v>
      </c>
      <c r="F70" s="31" t="s">
        <v>96</v>
      </c>
      <c r="G70" s="31" t="s">
        <v>25</v>
      </c>
      <c r="H70" s="31" t="s">
        <v>25</v>
      </c>
      <c r="I70" s="31" t="s">
        <v>25</v>
      </c>
      <c r="J70" s="31" t="s">
        <v>540</v>
      </c>
      <c r="K70" s="31" t="s">
        <v>539</v>
      </c>
      <c r="L70" s="31" t="s">
        <v>79</v>
      </c>
      <c r="M70" s="31">
        <v>2021</v>
      </c>
      <c r="N70" s="31">
        <v>0</v>
      </c>
      <c r="O70" s="31">
        <v>245.16</v>
      </c>
      <c r="P70" s="31"/>
    </row>
    <row r="71" spans="1:16" ht="11.25" customHeight="1" x14ac:dyDescent="0.3">
      <c r="A71" s="31">
        <v>70</v>
      </c>
      <c r="B71" s="31" t="s">
        <v>421</v>
      </c>
      <c r="C71" s="31" t="s">
        <v>40</v>
      </c>
      <c r="D71" s="31" t="s">
        <v>82</v>
      </c>
      <c r="E71" s="31" t="s">
        <v>41</v>
      </c>
      <c r="F71" s="31" t="s">
        <v>95</v>
      </c>
      <c r="G71" s="31" t="s">
        <v>25</v>
      </c>
      <c r="H71" s="31" t="s">
        <v>25</v>
      </c>
      <c r="I71" s="31" t="s">
        <v>25</v>
      </c>
      <c r="J71" s="31" t="s">
        <v>540</v>
      </c>
      <c r="K71" s="31" t="s">
        <v>539</v>
      </c>
      <c r="L71" s="31" t="s">
        <v>79</v>
      </c>
      <c r="M71" s="31">
        <v>2021</v>
      </c>
      <c r="N71" s="31">
        <v>0</v>
      </c>
      <c r="O71" s="31">
        <v>256.83</v>
      </c>
      <c r="P71" s="31"/>
    </row>
    <row r="72" spans="1:16" ht="11.25" customHeight="1" x14ac:dyDescent="0.3">
      <c r="A72" s="31">
        <v>71</v>
      </c>
      <c r="B72" s="31" t="s">
        <v>421</v>
      </c>
      <c r="C72" s="31" t="s">
        <v>40</v>
      </c>
      <c r="D72" s="31" t="s">
        <v>78</v>
      </c>
      <c r="E72" s="31" t="s">
        <v>41</v>
      </c>
      <c r="F72" s="31" t="s">
        <v>95</v>
      </c>
      <c r="G72" s="31" t="s">
        <v>25</v>
      </c>
      <c r="H72" s="31" t="s">
        <v>25</v>
      </c>
      <c r="I72" s="31" t="s">
        <v>36</v>
      </c>
      <c r="J72" s="31" t="s">
        <v>540</v>
      </c>
      <c r="K72" s="31" t="s">
        <v>539</v>
      </c>
      <c r="L72" s="31" t="s">
        <v>79</v>
      </c>
      <c r="M72" s="31">
        <v>2021</v>
      </c>
      <c r="N72" s="31">
        <v>0</v>
      </c>
      <c r="O72" s="31">
        <v>256.83</v>
      </c>
      <c r="P72" s="31"/>
    </row>
    <row r="73" spans="1:16" ht="11.25" customHeight="1" x14ac:dyDescent="0.3">
      <c r="A73" s="31">
        <v>72</v>
      </c>
      <c r="B73" s="31" t="s">
        <v>421</v>
      </c>
      <c r="C73" s="31" t="s">
        <v>32</v>
      </c>
      <c r="D73" s="31" t="s">
        <v>78</v>
      </c>
      <c r="E73" s="31" t="s">
        <v>25</v>
      </c>
      <c r="F73" s="31" t="s">
        <v>25</v>
      </c>
      <c r="G73" s="31" t="s">
        <v>25</v>
      </c>
      <c r="H73" s="31" t="s">
        <v>25</v>
      </c>
      <c r="I73" s="31" t="s">
        <v>37</v>
      </c>
      <c r="J73" s="31" t="s">
        <v>540</v>
      </c>
      <c r="K73" s="31" t="s">
        <v>539</v>
      </c>
      <c r="L73" s="31" t="s">
        <v>79</v>
      </c>
      <c r="M73" s="31">
        <v>2021</v>
      </c>
      <c r="N73" s="31">
        <v>0</v>
      </c>
      <c r="O73" s="31">
        <v>291.85000000000002</v>
      </c>
      <c r="P73" s="31"/>
    </row>
    <row r="74" spans="1:16" ht="11.25" customHeight="1" x14ac:dyDescent="0.3">
      <c r="A74" s="31">
        <v>73</v>
      </c>
      <c r="B74" s="31" t="s">
        <v>421</v>
      </c>
      <c r="C74" s="31" t="s">
        <v>40</v>
      </c>
      <c r="D74" s="31" t="s">
        <v>78</v>
      </c>
      <c r="E74" s="31" t="s">
        <v>41</v>
      </c>
      <c r="F74" s="31" t="s">
        <v>95</v>
      </c>
      <c r="G74" s="31" t="s">
        <v>25</v>
      </c>
      <c r="H74" s="31" t="s">
        <v>25</v>
      </c>
      <c r="I74" s="31" t="s">
        <v>37</v>
      </c>
      <c r="J74" s="31" t="s">
        <v>540</v>
      </c>
      <c r="K74" s="31" t="s">
        <v>539</v>
      </c>
      <c r="L74" s="31" t="s">
        <v>79</v>
      </c>
      <c r="M74" s="31">
        <v>2021</v>
      </c>
      <c r="N74" s="31">
        <v>0</v>
      </c>
      <c r="O74" s="31">
        <v>256.83</v>
      </c>
      <c r="P74" s="31"/>
    </row>
    <row r="75" spans="1:16" ht="11.25" customHeight="1" x14ac:dyDescent="0.3">
      <c r="A75" s="31">
        <v>74</v>
      </c>
      <c r="B75" s="31" t="s">
        <v>421</v>
      </c>
      <c r="C75" s="31" t="s">
        <v>43</v>
      </c>
      <c r="D75" s="31" t="s">
        <v>82</v>
      </c>
      <c r="E75" s="31" t="s">
        <v>44</v>
      </c>
      <c r="F75" s="31" t="s">
        <v>97</v>
      </c>
      <c r="G75" s="31" t="s">
        <v>25</v>
      </c>
      <c r="H75" s="31" t="s">
        <v>25</v>
      </c>
      <c r="I75" s="31" t="s">
        <v>25</v>
      </c>
      <c r="J75" s="31" t="s">
        <v>540</v>
      </c>
      <c r="K75" s="31" t="s">
        <v>539</v>
      </c>
      <c r="L75" s="31" t="s">
        <v>79</v>
      </c>
      <c r="M75" s="31">
        <v>2021</v>
      </c>
      <c r="N75" s="31">
        <v>0</v>
      </c>
      <c r="O75" s="31">
        <v>160.52000000000001</v>
      </c>
      <c r="P75" s="31"/>
    </row>
    <row r="76" spans="1:16" ht="11.25" customHeight="1" x14ac:dyDescent="0.3">
      <c r="A76" s="31">
        <v>75</v>
      </c>
      <c r="B76" s="31" t="s">
        <v>421</v>
      </c>
      <c r="C76" s="31" t="s">
        <v>40</v>
      </c>
      <c r="D76" s="31" t="s">
        <v>78</v>
      </c>
      <c r="E76" s="31" t="s">
        <v>41</v>
      </c>
      <c r="F76" s="31" t="s">
        <v>95</v>
      </c>
      <c r="G76" s="31" t="s">
        <v>25</v>
      </c>
      <c r="H76" s="31" t="s">
        <v>25</v>
      </c>
      <c r="I76" s="31" t="s">
        <v>541</v>
      </c>
      <c r="J76" s="31" t="s">
        <v>540</v>
      </c>
      <c r="K76" s="31" t="s">
        <v>539</v>
      </c>
      <c r="L76" s="31" t="s">
        <v>79</v>
      </c>
      <c r="M76" s="31">
        <v>2021</v>
      </c>
      <c r="N76" s="31">
        <v>0</v>
      </c>
      <c r="O76" s="31">
        <v>256.83</v>
      </c>
      <c r="P76" s="31"/>
    </row>
    <row r="77" spans="1:16" ht="11.25" customHeight="1" x14ac:dyDescent="0.3">
      <c r="A77" s="31">
        <v>76</v>
      </c>
      <c r="B77" s="31" t="s">
        <v>421</v>
      </c>
      <c r="C77" s="31" t="s">
        <v>32</v>
      </c>
      <c r="D77" s="31" t="s">
        <v>82</v>
      </c>
      <c r="E77" s="31" t="s">
        <v>25</v>
      </c>
      <c r="F77" s="31" t="s">
        <v>25</v>
      </c>
      <c r="G77" s="31" t="s">
        <v>25</v>
      </c>
      <c r="H77" s="31" t="s">
        <v>25</v>
      </c>
      <c r="I77" s="31" t="s">
        <v>25</v>
      </c>
      <c r="J77" s="31" t="s">
        <v>540</v>
      </c>
      <c r="K77" s="31" t="s">
        <v>539</v>
      </c>
      <c r="L77" s="31" t="s">
        <v>79</v>
      </c>
      <c r="M77" s="31">
        <v>2021</v>
      </c>
      <c r="N77" s="31">
        <v>0</v>
      </c>
      <c r="O77" s="31">
        <v>291.85000000000002</v>
      </c>
      <c r="P77" s="31"/>
    </row>
    <row r="78" spans="1:16" ht="11.25" customHeight="1" x14ac:dyDescent="0.3">
      <c r="A78" s="31">
        <v>77</v>
      </c>
      <c r="B78" s="31" t="s">
        <v>421</v>
      </c>
      <c r="C78" s="31" t="s">
        <v>40</v>
      </c>
      <c r="D78" s="31" t="s">
        <v>78</v>
      </c>
      <c r="E78" s="31" t="s">
        <v>41</v>
      </c>
      <c r="F78" s="31" t="s">
        <v>25</v>
      </c>
      <c r="G78" s="31" t="s">
        <v>25</v>
      </c>
      <c r="H78" s="31" t="s">
        <v>25</v>
      </c>
      <c r="I78" s="31" t="s">
        <v>37</v>
      </c>
      <c r="J78" s="31" t="s">
        <v>540</v>
      </c>
      <c r="K78" s="31" t="s">
        <v>539</v>
      </c>
      <c r="L78" s="31" t="s">
        <v>79</v>
      </c>
      <c r="M78" s="31">
        <v>2021</v>
      </c>
      <c r="N78" s="31">
        <v>0</v>
      </c>
      <c r="O78" s="31">
        <v>256.83</v>
      </c>
      <c r="P78" s="31"/>
    </row>
    <row r="79" spans="1:16" ht="11.25" customHeight="1" x14ac:dyDescent="0.3">
      <c r="A79" s="31">
        <v>78</v>
      </c>
      <c r="B79" s="31" t="s">
        <v>421</v>
      </c>
      <c r="C79" s="31" t="s">
        <v>32</v>
      </c>
      <c r="D79" s="31" t="s">
        <v>78</v>
      </c>
      <c r="E79" s="31" t="s">
        <v>25</v>
      </c>
      <c r="F79" s="31" t="s">
        <v>25</v>
      </c>
      <c r="G79" s="31" t="s">
        <v>25</v>
      </c>
      <c r="H79" s="31" t="s">
        <v>25</v>
      </c>
      <c r="I79" s="31" t="s">
        <v>541</v>
      </c>
      <c r="J79" s="31" t="s">
        <v>540</v>
      </c>
      <c r="K79" s="31" t="s">
        <v>539</v>
      </c>
      <c r="L79" s="31" t="s">
        <v>79</v>
      </c>
      <c r="M79" s="31">
        <v>2021</v>
      </c>
      <c r="N79" s="31">
        <v>0</v>
      </c>
      <c r="O79" s="31">
        <v>291.85000000000002</v>
      </c>
      <c r="P79" s="31"/>
    </row>
    <row r="80" spans="1:16" ht="11.25" customHeight="1" x14ac:dyDescent="0.3">
      <c r="A80" s="31">
        <v>79</v>
      </c>
      <c r="B80" s="31" t="s">
        <v>421</v>
      </c>
      <c r="C80" s="31" t="s">
        <v>32</v>
      </c>
      <c r="D80" s="31" t="s">
        <v>78</v>
      </c>
      <c r="E80" s="31" t="s">
        <v>25</v>
      </c>
      <c r="F80" s="31" t="s">
        <v>25</v>
      </c>
      <c r="G80" s="31" t="s">
        <v>25</v>
      </c>
      <c r="H80" s="31" t="s">
        <v>25</v>
      </c>
      <c r="I80" s="31" t="s">
        <v>36</v>
      </c>
      <c r="J80" s="31" t="s">
        <v>540</v>
      </c>
      <c r="K80" s="31" t="s">
        <v>539</v>
      </c>
      <c r="L80" s="31" t="s">
        <v>79</v>
      </c>
      <c r="M80" s="31">
        <v>2021</v>
      </c>
      <c r="N80" s="31">
        <v>0</v>
      </c>
      <c r="O80" s="31">
        <v>291.85000000000002</v>
      </c>
      <c r="P80" s="31"/>
    </row>
    <row r="81" spans="1:16" ht="11.25" customHeight="1" x14ac:dyDescent="0.3">
      <c r="A81" s="31">
        <v>80</v>
      </c>
      <c r="B81" s="31" t="s">
        <v>421</v>
      </c>
      <c r="C81" s="31" t="s">
        <v>40</v>
      </c>
      <c r="D81" s="31" t="s">
        <v>82</v>
      </c>
      <c r="E81" s="31" t="s">
        <v>41</v>
      </c>
      <c r="F81" s="31" t="s">
        <v>25</v>
      </c>
      <c r="G81" s="31" t="s">
        <v>25</v>
      </c>
      <c r="H81" s="31" t="s">
        <v>25</v>
      </c>
      <c r="I81" s="31" t="s">
        <v>25</v>
      </c>
      <c r="J81" s="31" t="s">
        <v>540</v>
      </c>
      <c r="K81" s="31" t="s">
        <v>539</v>
      </c>
      <c r="L81" s="31" t="s">
        <v>79</v>
      </c>
      <c r="M81" s="31">
        <v>2021</v>
      </c>
      <c r="N81" s="31">
        <v>0</v>
      </c>
      <c r="O81" s="31">
        <v>256.83</v>
      </c>
      <c r="P81" s="31"/>
    </row>
    <row r="82" spans="1:16" ht="11.25" customHeight="1" x14ac:dyDescent="0.3">
      <c r="A82" s="31">
        <v>81</v>
      </c>
      <c r="B82" s="31" t="s">
        <v>421</v>
      </c>
      <c r="C82" s="31" t="s">
        <v>32</v>
      </c>
      <c r="D82" s="31" t="s">
        <v>93</v>
      </c>
      <c r="E82" s="31" t="s">
        <v>25</v>
      </c>
      <c r="F82" s="31" t="s">
        <v>25</v>
      </c>
      <c r="G82" s="31" t="s">
        <v>25</v>
      </c>
      <c r="H82" s="31" t="s">
        <v>25</v>
      </c>
      <c r="I82" s="31" t="s">
        <v>25</v>
      </c>
      <c r="J82" s="31" t="s">
        <v>540</v>
      </c>
      <c r="K82" s="31" t="s">
        <v>539</v>
      </c>
      <c r="L82" s="31" t="s">
        <v>79</v>
      </c>
      <c r="M82" s="31">
        <v>2021</v>
      </c>
      <c r="N82" s="31">
        <v>0</v>
      </c>
      <c r="O82" s="31">
        <v>291.85000000000002</v>
      </c>
      <c r="P82" s="31"/>
    </row>
    <row r="83" spans="1:16" ht="11.25" customHeight="1" x14ac:dyDescent="0.3">
      <c r="A83" s="31">
        <v>82</v>
      </c>
      <c r="B83" s="31" t="s">
        <v>421</v>
      </c>
      <c r="C83" s="31" t="s">
        <v>43</v>
      </c>
      <c r="D83" s="31" t="s">
        <v>82</v>
      </c>
      <c r="E83" s="31" t="s">
        <v>44</v>
      </c>
      <c r="F83" s="31" t="s">
        <v>45</v>
      </c>
      <c r="G83" s="31" t="s">
        <v>25</v>
      </c>
      <c r="H83" s="31" t="s">
        <v>25</v>
      </c>
      <c r="I83" s="31" t="s">
        <v>25</v>
      </c>
      <c r="J83" s="31" t="s">
        <v>540</v>
      </c>
      <c r="K83" s="31" t="s">
        <v>539</v>
      </c>
      <c r="L83" s="31" t="s">
        <v>79</v>
      </c>
      <c r="M83" s="31">
        <v>2021</v>
      </c>
      <c r="N83" s="31">
        <v>0</v>
      </c>
      <c r="O83" s="31">
        <v>175.11</v>
      </c>
      <c r="P83" s="31"/>
    </row>
    <row r="84" spans="1:16" ht="11.25" customHeight="1" x14ac:dyDescent="0.3">
      <c r="A84" s="31">
        <v>83</v>
      </c>
      <c r="B84" s="31" t="s">
        <v>421</v>
      </c>
      <c r="C84" s="31" t="s">
        <v>40</v>
      </c>
      <c r="D84" s="31" t="s">
        <v>93</v>
      </c>
      <c r="E84" s="31" t="s">
        <v>41</v>
      </c>
      <c r="F84" s="31" t="s">
        <v>25</v>
      </c>
      <c r="G84" s="31" t="s">
        <v>25</v>
      </c>
      <c r="H84" s="31" t="s">
        <v>25</v>
      </c>
      <c r="I84" s="31" t="s">
        <v>25</v>
      </c>
      <c r="J84" s="31" t="s">
        <v>540</v>
      </c>
      <c r="K84" s="31" t="s">
        <v>539</v>
      </c>
      <c r="L84" s="31" t="s">
        <v>79</v>
      </c>
      <c r="M84" s="31">
        <v>2021</v>
      </c>
      <c r="N84" s="31">
        <v>0</v>
      </c>
      <c r="O84" s="31">
        <v>256.83</v>
      </c>
      <c r="P84" s="31"/>
    </row>
    <row r="85" spans="1:16" ht="11.25" customHeight="1" x14ac:dyDescent="0.3">
      <c r="A85" s="31">
        <v>84</v>
      </c>
      <c r="B85" s="31" t="s">
        <v>421</v>
      </c>
      <c r="C85" s="31" t="s">
        <v>40</v>
      </c>
      <c r="D85" s="31" t="s">
        <v>93</v>
      </c>
      <c r="E85" s="31" t="s">
        <v>41</v>
      </c>
      <c r="F85" s="31" t="s">
        <v>95</v>
      </c>
      <c r="G85" s="31" t="s">
        <v>25</v>
      </c>
      <c r="H85" s="31" t="s">
        <v>25</v>
      </c>
      <c r="I85" s="31" t="s">
        <v>25</v>
      </c>
      <c r="J85" s="31" t="s">
        <v>540</v>
      </c>
      <c r="K85" s="31" t="s">
        <v>539</v>
      </c>
      <c r="L85" s="31" t="s">
        <v>79</v>
      </c>
      <c r="M85" s="31">
        <v>2021</v>
      </c>
      <c r="N85" s="31">
        <v>0</v>
      </c>
      <c r="O85" s="31">
        <v>256.83</v>
      </c>
      <c r="P85" s="3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BD71-58B4-433B-8080-BE5FBD87E279}">
  <dimension ref="A1:AD49"/>
  <sheetViews>
    <sheetView showGridLines="0" workbookViewId="0">
      <selection sqref="A1:W49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20" width="7.109375" style="9" bestFit="1" customWidth="1"/>
    <col min="21" max="21" width="13" style="9" bestFit="1" customWidth="1"/>
    <col min="22" max="16384" width="8.88671875" style="9"/>
  </cols>
  <sheetData>
    <row r="1" spans="1:30" ht="11.25" customHeight="1" x14ac:dyDescent="0.3">
      <c r="A1" s="10" t="s">
        <v>69</v>
      </c>
      <c r="B1" s="10" t="s">
        <v>70</v>
      </c>
      <c r="C1" s="10" t="s">
        <v>71</v>
      </c>
      <c r="D1" s="10" t="s">
        <v>72</v>
      </c>
      <c r="E1" s="10" t="s">
        <v>73</v>
      </c>
      <c r="F1" s="10" t="s">
        <v>74</v>
      </c>
      <c r="G1" s="10" t="s">
        <v>75</v>
      </c>
      <c r="H1" s="10" t="s">
        <v>76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77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76" t="s">
        <v>34</v>
      </c>
      <c r="B2" s="76" t="s">
        <v>35</v>
      </c>
      <c r="C2" s="76" t="s">
        <v>25</v>
      </c>
      <c r="D2" s="76" t="s">
        <v>25</v>
      </c>
      <c r="E2" s="76" t="s">
        <v>25</v>
      </c>
      <c r="F2" s="76" t="s">
        <v>25</v>
      </c>
      <c r="G2" s="13" t="s">
        <v>85</v>
      </c>
      <c r="H2" s="13" t="s">
        <v>84</v>
      </c>
      <c r="I2" s="13">
        <f>SUMIF(Mercado_Receita!$S$2:$S$483,"44440A4AzulNão se aplicaNão se aplicaNão se aplicaNão se aplicaPonta",Mercado_Receita!$J$2:$J$483)+SUMIF(Mercado_Receita!$S$2:$S$483,"44440A4AzulNão se aplicaNão se aplicaAPENão se aplicaPonta",Mercado_Receita!$J$2:$J$483)</f>
        <v>31</v>
      </c>
      <c r="J2" s="13">
        <f>SUMIF(Mercado_Receita!$S$2:$S$483,"44470A4AzulNão se aplicaNão se aplicaNão se aplicaNão se aplicaPonta",Mercado_Receita!$J$2:$J$483)+SUMIF(Mercado_Receita!$S$2:$S$483,"44470A4AzulNão se aplicaNão se aplicaAPENão se aplicaPonta",Mercado_Receita!$J$2:$J$483)</f>
        <v>31</v>
      </c>
      <c r="K2" s="13">
        <f>SUMIF(Mercado_Receita!$S$2:$S$483,"44501A4AzulNão se aplicaNão se aplicaNão se aplicaNão se aplicaPonta",Mercado_Receita!$J$2:$J$483)+SUMIF(Mercado_Receita!$S$2:$S$483,"44501A4AzulNão se aplicaNão se aplicaAPENão se aplicaPonta",Mercado_Receita!$J$2:$J$483)</f>
        <v>31</v>
      </c>
      <c r="L2" s="13">
        <f>SUMIF(Mercado_Receita!$S$2:$S$483,"44531A4AzulNão se aplicaNão se aplicaNão se aplicaNão se aplicaPonta",Mercado_Receita!$J$2:$J$483)+SUMIF(Mercado_Receita!$S$2:$S$483,"44531A4AzulNão se aplicaNão se aplicaAPENão se aplicaPonta",Mercado_Receita!$J$2:$J$483)</f>
        <v>31</v>
      </c>
      <c r="M2" s="13">
        <f>SUMIF(Mercado_Receita!$S$2:$S$483,"44562A4AzulNão se aplicaNão se aplicaNão se aplicaNão se aplicaPonta",Mercado_Receita!$J$2:$J$483)+SUMIF(Mercado_Receita!$S$2:$S$483,"44562A4AzulNão se aplicaNão se aplicaAPENão se aplicaPonta",Mercado_Receita!$J$2:$J$483)</f>
        <v>31</v>
      </c>
      <c r="N2" s="13">
        <f>SUMIF(Mercado_Receita!$S$2:$S$483,"44593A4AzulNão se aplicaNão se aplicaNão se aplicaNão se aplicaPonta",Mercado_Receita!$J$2:$J$483)+SUMIF(Mercado_Receita!$S$2:$S$483,"44593A4AzulNão se aplicaNão se aplicaAPENão se aplicaPonta",Mercado_Receita!$J$2:$J$483)</f>
        <v>31</v>
      </c>
      <c r="O2" s="13">
        <f>SUMIF(Mercado_Receita!$S$2:$S$483,"44621A4AzulNão se aplicaNão se aplicaNão se aplicaNão se aplicaPonta",Mercado_Receita!$J$2:$J$483)+SUMIF(Mercado_Receita!$S$2:$S$483,"44621A4AzulNão se aplicaNão se aplicaAPENão se aplicaPonta",Mercado_Receita!$J$2:$J$483)</f>
        <v>31</v>
      </c>
      <c r="P2" s="13">
        <f>SUMIF(Mercado_Receita!$S$2:$S$483,"44652A4AzulNão se aplicaNão se aplicaNão se aplicaNão se aplicaPonta",Mercado_Receita!$J$2:$J$483)+SUMIF(Mercado_Receita!$S$2:$S$483,"44652A4AzulNão se aplicaNão se aplicaAPENão se aplicaPonta",Mercado_Receita!$J$2:$J$483)</f>
        <v>31</v>
      </c>
      <c r="Q2" s="13">
        <f>SUMIF(Mercado_Receita!$S$2:$S$483,"44682A4AzulNão se aplicaNão se aplicaNão se aplicaNão se aplicaPonta",Mercado_Receita!$J$2:$J$483)+SUMIF(Mercado_Receita!$S$2:$S$483,"44682A4AzulNão se aplicaNão se aplicaAPENão se aplicaPonta",Mercado_Receita!$J$2:$J$483)</f>
        <v>31</v>
      </c>
      <c r="R2" s="13">
        <f>SUMIF(Mercado_Receita!$S$2:$S$483,"44713A4AzulNão se aplicaNão se aplicaNão se aplicaNão se aplicaPonta",Mercado_Receita!$J$2:$J$483)+SUMIF(Mercado_Receita!$S$2:$S$483,"44713A4AzulNão se aplicaNão se aplicaAPENão se aplicaPonta",Mercado_Receita!$J$2:$J$483)</f>
        <v>31</v>
      </c>
      <c r="S2" s="13">
        <f>SUMIF(Mercado_Receita!$S$2:$S$483,"44743A4AzulNão se aplicaNão se aplicaNão se aplicaNão se aplicaPonta",Mercado_Receita!$J$2:$J$483)+SUMIF(Mercado_Receita!$S$2:$S$483,"44743A4AzulNão se aplicaNão se aplicaAPENão se aplicaPonta",Mercado_Receita!$J$2:$J$483)</f>
        <v>31</v>
      </c>
      <c r="T2" s="13">
        <f>SUMIF(Mercado_Receita!$S$2:$S$483,"44774A4AzulNão se aplicaNão se aplicaNão se aplicaNão se aplicaPonta",Mercado_Receita!$J$2:$J$483)+SUMIF(Mercado_Receita!$S$2:$S$483,"44774A4AzulNão se aplicaNão se aplicaAPENão se aplicaPonta",Mercado_Receita!$J$2:$J$483)</f>
        <v>31</v>
      </c>
      <c r="U2" s="13">
        <f t="shared" ref="U2:U48" si="0">SUM(I2:T2)</f>
        <v>372</v>
      </c>
      <c r="V2" s="13"/>
      <c r="W2" s="13"/>
    </row>
    <row r="3" spans="1:30" ht="11.25" customHeight="1" x14ac:dyDescent="0.3">
      <c r="A3" s="77"/>
      <c r="B3" s="77"/>
      <c r="C3" s="77"/>
      <c r="D3" s="77"/>
      <c r="E3" s="77"/>
      <c r="F3" s="77"/>
      <c r="G3" s="13" t="s">
        <v>86</v>
      </c>
      <c r="H3" s="13" t="s">
        <v>84</v>
      </c>
      <c r="I3" s="13">
        <f>SUMIF(Mercado_Receita!$S$2:$S$483,"44440A4AzulNão se aplicaNão se aplicaNão se aplicaNão se aplicaFora ponta",Mercado_Receita!$J$2:$J$483)+SUMIF(Mercado_Receita!$S$2:$S$483,"44440A4AzulNão se aplicaNão se aplicaAPENão se aplicaFora ponta",Mercado_Receita!$J$2:$J$483)</f>
        <v>38</v>
      </c>
      <c r="J3" s="13">
        <f>SUMIF(Mercado_Receita!$S$2:$S$483,"44470A4AzulNão se aplicaNão se aplicaNão se aplicaNão se aplicaFora ponta",Mercado_Receita!$J$2:$J$483)+SUMIF(Mercado_Receita!$S$2:$S$483,"44470A4AzulNão se aplicaNão se aplicaAPENão se aplicaFora ponta",Mercado_Receita!$J$2:$J$483)</f>
        <v>38</v>
      </c>
      <c r="K3" s="13">
        <f>SUMIF(Mercado_Receita!$S$2:$S$483,"44501A4AzulNão se aplicaNão se aplicaNão se aplicaNão se aplicaFora ponta",Mercado_Receita!$J$2:$J$483)+SUMIF(Mercado_Receita!$S$2:$S$483,"44501A4AzulNão se aplicaNão se aplicaAPENão se aplicaFora ponta",Mercado_Receita!$J$2:$J$483)</f>
        <v>38</v>
      </c>
      <c r="L3" s="13">
        <f>SUMIF(Mercado_Receita!$S$2:$S$483,"44531A4AzulNão se aplicaNão se aplicaNão se aplicaNão se aplicaFora ponta",Mercado_Receita!$J$2:$J$483)+SUMIF(Mercado_Receita!$S$2:$S$483,"44531A4AzulNão se aplicaNão se aplicaAPENão se aplicaFora ponta",Mercado_Receita!$J$2:$J$483)</f>
        <v>38</v>
      </c>
      <c r="M3" s="13">
        <f>SUMIF(Mercado_Receita!$S$2:$S$483,"44562A4AzulNão se aplicaNão se aplicaNão se aplicaNão se aplicaFora ponta",Mercado_Receita!$J$2:$J$483)+SUMIF(Mercado_Receita!$S$2:$S$483,"44562A4AzulNão se aplicaNão se aplicaAPENão se aplicaFora ponta",Mercado_Receita!$J$2:$J$483)</f>
        <v>39</v>
      </c>
      <c r="N3" s="13">
        <f>SUMIF(Mercado_Receita!$S$2:$S$483,"44593A4AzulNão se aplicaNão se aplicaNão se aplicaNão se aplicaFora ponta",Mercado_Receita!$J$2:$J$483)+SUMIF(Mercado_Receita!$S$2:$S$483,"44593A4AzulNão se aplicaNão se aplicaAPENão se aplicaFora ponta",Mercado_Receita!$J$2:$J$483)</f>
        <v>38</v>
      </c>
      <c r="O3" s="13">
        <f>SUMIF(Mercado_Receita!$S$2:$S$483,"44621A4AzulNão se aplicaNão se aplicaNão se aplicaNão se aplicaFora ponta",Mercado_Receita!$J$2:$J$483)+SUMIF(Mercado_Receita!$S$2:$S$483,"44621A4AzulNão se aplicaNão se aplicaAPENão se aplicaFora ponta",Mercado_Receita!$J$2:$J$483)</f>
        <v>38</v>
      </c>
      <c r="P3" s="13">
        <f>SUMIF(Mercado_Receita!$S$2:$S$483,"44652A4AzulNão se aplicaNão se aplicaNão se aplicaNão se aplicaFora ponta",Mercado_Receita!$J$2:$J$483)+SUMIF(Mercado_Receita!$S$2:$S$483,"44652A4AzulNão se aplicaNão se aplicaAPENão se aplicaFora ponta",Mercado_Receita!$J$2:$J$483)</f>
        <v>38</v>
      </c>
      <c r="Q3" s="13">
        <f>SUMIF(Mercado_Receita!$S$2:$S$483,"44682A4AzulNão se aplicaNão se aplicaNão se aplicaNão se aplicaFora ponta",Mercado_Receita!$J$2:$J$483)+SUMIF(Mercado_Receita!$S$2:$S$483,"44682A4AzulNão se aplicaNão se aplicaAPENão se aplicaFora ponta",Mercado_Receita!$J$2:$J$483)</f>
        <v>38</v>
      </c>
      <c r="R3" s="13">
        <f>SUMIF(Mercado_Receita!$S$2:$S$483,"44713A4AzulNão se aplicaNão se aplicaNão se aplicaNão se aplicaFora ponta",Mercado_Receita!$J$2:$J$483)+SUMIF(Mercado_Receita!$S$2:$S$483,"44713A4AzulNão se aplicaNão se aplicaAPENão se aplicaFora ponta",Mercado_Receita!$J$2:$J$483)</f>
        <v>38</v>
      </c>
      <c r="S3" s="13">
        <f>SUMIF(Mercado_Receita!$S$2:$S$483,"44743A4AzulNão se aplicaNão se aplicaNão se aplicaNão se aplicaFora ponta",Mercado_Receita!$J$2:$J$483)+SUMIF(Mercado_Receita!$S$2:$S$483,"44743A4AzulNão se aplicaNão se aplicaAPENão se aplicaFora ponta",Mercado_Receita!$J$2:$J$483)</f>
        <v>38</v>
      </c>
      <c r="T3" s="13">
        <f>SUMIF(Mercado_Receita!$S$2:$S$483,"44774A4AzulNão se aplicaNão se aplicaNão se aplicaNão se aplicaFora ponta",Mercado_Receita!$J$2:$J$483)+SUMIF(Mercado_Receita!$S$2:$S$483,"44774A4AzulNão se aplicaNão se aplicaAPENão se aplicaFora ponta",Mercado_Receita!$J$2:$J$483)</f>
        <v>38</v>
      </c>
      <c r="U3" s="13">
        <f t="shared" si="0"/>
        <v>457</v>
      </c>
      <c r="V3" s="13"/>
      <c r="W3" s="13"/>
    </row>
    <row r="4" spans="1:30" ht="11.25" customHeight="1" x14ac:dyDescent="0.3">
      <c r="A4" s="77"/>
      <c r="B4" s="77"/>
      <c r="C4" s="77"/>
      <c r="D4" s="77"/>
      <c r="E4" s="77"/>
      <c r="F4" s="77"/>
      <c r="G4" s="13" t="s">
        <v>83</v>
      </c>
      <c r="H4" s="13" t="s">
        <v>79</v>
      </c>
      <c r="I4" s="13">
        <f>SUMIF(Mercado_Receita!$S$2:$S$483,"44440A4AzulNão se aplicaNão se aplicaNão se aplicaNão se aplicaPonta",Mercado_Receita!$L$2:$L$483)+SUMIF(Mercado_Receita!$S$2:$S$483,"44440A4AzulNão se aplicaNão se aplicaNão se aplicaNão se aplicaFora ponta",Mercado_Receita!$L$2:$L$483)+SUMIF(Mercado_Receita!$S$2:$S$483,"44440A4AzulNão se aplicaNão se aplicaNão se aplicaNão se aplicaIntermediário",Mercado_Receita!$L$2:$L$483)+SUMIF(Mercado_Receita!$S$2:$S$483,"44440A4AzulNão se aplicaNão se aplicaNão se aplicaNão se aplicaNão se aplica",Mercado_Receita!$L$2:$L$483)</f>
        <v>13.812000000000001</v>
      </c>
      <c r="J4" s="13">
        <f>SUMIF(Mercado_Receita!$S$2:$S$483,"44470A4AzulNão se aplicaNão se aplicaNão se aplicaNão se aplicaPonta",Mercado_Receita!$L$2:$L$483)+SUMIF(Mercado_Receita!$S$2:$S$483,"44470A4AzulNão se aplicaNão se aplicaNão se aplicaNão se aplicaFora ponta",Mercado_Receita!$L$2:$L$483)+SUMIF(Mercado_Receita!$S$2:$S$483,"44470A4AzulNão se aplicaNão se aplicaNão se aplicaNão se aplicaIntermediário",Mercado_Receita!$L$2:$L$483)+SUMIF(Mercado_Receita!$S$2:$S$483,"44470A4AzulNão se aplicaNão se aplicaNão se aplicaNão se aplicaNão se aplica",Mercado_Receita!$L$2:$L$483)</f>
        <v>13.753</v>
      </c>
      <c r="K4" s="13">
        <f>SUMIF(Mercado_Receita!$S$2:$S$483,"44501A4AzulNão se aplicaNão se aplicaNão se aplicaNão se aplicaPonta",Mercado_Receita!$L$2:$L$483)+SUMIF(Mercado_Receita!$S$2:$S$483,"44501A4AzulNão se aplicaNão se aplicaNão se aplicaNão se aplicaFora ponta",Mercado_Receita!$L$2:$L$483)+SUMIF(Mercado_Receita!$S$2:$S$483,"44501A4AzulNão se aplicaNão se aplicaNão se aplicaNão se aplicaIntermediário",Mercado_Receita!$L$2:$L$483)+SUMIF(Mercado_Receita!$S$2:$S$483,"44501A4AzulNão se aplicaNão se aplicaNão se aplicaNão se aplicaNão se aplica",Mercado_Receita!$L$2:$L$483)</f>
        <v>13.773</v>
      </c>
      <c r="L4" s="13">
        <f>SUMIF(Mercado_Receita!$S$2:$S$483,"44531A4AzulNão se aplicaNão se aplicaNão se aplicaNão se aplicaPonta",Mercado_Receita!$L$2:$L$483)+SUMIF(Mercado_Receita!$S$2:$S$483,"44531A4AzulNão se aplicaNão se aplicaNão se aplicaNão se aplicaFora ponta",Mercado_Receita!$L$2:$L$483)+SUMIF(Mercado_Receita!$S$2:$S$483,"44531A4AzulNão se aplicaNão se aplicaNão se aplicaNão se aplicaIntermediário",Mercado_Receita!$L$2:$L$483)+SUMIF(Mercado_Receita!$S$2:$S$483,"44531A4AzulNão se aplicaNão se aplicaNão se aplicaNão se aplicaNão se aplica",Mercado_Receita!$L$2:$L$483)</f>
        <v>15.376999999999999</v>
      </c>
      <c r="M4" s="13">
        <f>SUMIF(Mercado_Receita!$S$2:$S$483,"44562A4AzulNão se aplicaNão se aplicaNão se aplicaNão se aplicaPonta",Mercado_Receita!$L$2:$L$483)+SUMIF(Mercado_Receita!$S$2:$S$483,"44562A4AzulNão se aplicaNão se aplicaNão se aplicaNão se aplicaFora ponta",Mercado_Receita!$L$2:$L$483)+SUMIF(Mercado_Receita!$S$2:$S$483,"44562A4AzulNão se aplicaNão se aplicaNão se aplicaNão se aplicaIntermediário",Mercado_Receita!$L$2:$L$483)+SUMIF(Mercado_Receita!$S$2:$S$483,"44562A4AzulNão se aplicaNão se aplicaNão se aplicaNão se aplicaNão se aplica",Mercado_Receita!$L$2:$L$483)</f>
        <v>15.336</v>
      </c>
      <c r="N4" s="13">
        <f>SUMIF(Mercado_Receita!$S$2:$S$483,"44593A4AzulNão se aplicaNão se aplicaNão se aplicaNão se aplicaPonta",Mercado_Receita!$L$2:$L$483)+SUMIF(Mercado_Receita!$S$2:$S$483,"44593A4AzulNão se aplicaNão se aplicaNão se aplicaNão se aplicaFora ponta",Mercado_Receita!$L$2:$L$483)+SUMIF(Mercado_Receita!$S$2:$S$483,"44593A4AzulNão se aplicaNão se aplicaNão se aplicaNão se aplicaIntermediário",Mercado_Receita!$L$2:$L$483)+SUMIF(Mercado_Receita!$S$2:$S$483,"44593A4AzulNão se aplicaNão se aplicaNão se aplicaNão se aplicaNão se aplica",Mercado_Receita!$L$2:$L$483)</f>
        <v>14.045</v>
      </c>
      <c r="O4" s="13">
        <f>SUMIF(Mercado_Receita!$S$2:$S$483,"44621A4AzulNão se aplicaNão se aplicaNão se aplicaNão se aplicaPonta",Mercado_Receita!$L$2:$L$483)+SUMIF(Mercado_Receita!$S$2:$S$483,"44621A4AzulNão se aplicaNão se aplicaNão se aplicaNão se aplicaFora ponta",Mercado_Receita!$L$2:$L$483)+SUMIF(Mercado_Receita!$S$2:$S$483,"44621A4AzulNão se aplicaNão se aplicaNão se aplicaNão se aplicaIntermediário",Mercado_Receita!$L$2:$L$483)+SUMIF(Mercado_Receita!$S$2:$S$483,"44621A4AzulNão se aplicaNão se aplicaNão se aplicaNão se aplicaNão se aplica",Mercado_Receita!$L$2:$L$483)</f>
        <v>14.234999999999999</v>
      </c>
      <c r="P4" s="13">
        <f>SUMIF(Mercado_Receita!$S$2:$S$483,"44652A4AzulNão se aplicaNão se aplicaNão se aplicaNão se aplicaPonta",Mercado_Receita!$L$2:$L$483)+SUMIF(Mercado_Receita!$S$2:$S$483,"44652A4AzulNão se aplicaNão se aplicaNão se aplicaNão se aplicaFora ponta",Mercado_Receita!$L$2:$L$483)+SUMIF(Mercado_Receita!$S$2:$S$483,"44652A4AzulNão se aplicaNão se aplicaNão se aplicaNão se aplicaIntermediário",Mercado_Receita!$L$2:$L$483)+SUMIF(Mercado_Receita!$S$2:$S$483,"44652A4AzulNão se aplicaNão se aplicaNão se aplicaNão se aplicaNão se aplica",Mercado_Receita!$L$2:$L$483)</f>
        <v>13.343</v>
      </c>
      <c r="Q4" s="13">
        <f>SUMIF(Mercado_Receita!$S$2:$S$483,"44682A4AzulNão se aplicaNão se aplicaNão se aplicaNão se aplicaPonta",Mercado_Receita!$L$2:$L$483)+SUMIF(Mercado_Receita!$S$2:$S$483,"44682A4AzulNão se aplicaNão se aplicaNão se aplicaNão se aplicaFora ponta",Mercado_Receita!$L$2:$L$483)+SUMIF(Mercado_Receita!$S$2:$S$483,"44682A4AzulNão se aplicaNão se aplicaNão se aplicaNão se aplicaIntermediário",Mercado_Receita!$L$2:$L$483)+SUMIF(Mercado_Receita!$S$2:$S$483,"44682A4AzulNão se aplicaNão se aplicaNão se aplicaNão se aplicaNão se aplica",Mercado_Receita!$L$2:$L$483)</f>
        <v>13.321</v>
      </c>
      <c r="R4" s="13">
        <f>SUMIF(Mercado_Receita!$S$2:$S$483,"44713A4AzulNão se aplicaNão se aplicaNão se aplicaNão se aplicaPonta",Mercado_Receita!$L$2:$L$483)+SUMIF(Mercado_Receita!$S$2:$S$483,"44713A4AzulNão se aplicaNão se aplicaNão se aplicaNão se aplicaFora ponta",Mercado_Receita!$L$2:$L$483)+SUMIF(Mercado_Receita!$S$2:$S$483,"44713A4AzulNão se aplicaNão se aplicaNão se aplicaNão se aplicaIntermediário",Mercado_Receita!$L$2:$L$483)+SUMIF(Mercado_Receita!$S$2:$S$483,"44713A4AzulNão se aplicaNão se aplicaNão se aplicaNão se aplicaNão se aplica",Mercado_Receita!$L$2:$L$483)</f>
        <v>12.516999999999999</v>
      </c>
      <c r="S4" s="13">
        <f>SUMIF(Mercado_Receita!$S$2:$S$483,"44743A4AzulNão se aplicaNão se aplicaNão se aplicaNão se aplicaPonta",Mercado_Receita!$L$2:$L$483)+SUMIF(Mercado_Receita!$S$2:$S$483,"44743A4AzulNão se aplicaNão se aplicaNão se aplicaNão se aplicaFora ponta",Mercado_Receita!$L$2:$L$483)+SUMIF(Mercado_Receita!$S$2:$S$483,"44743A4AzulNão se aplicaNão se aplicaNão se aplicaNão se aplicaIntermediário",Mercado_Receita!$L$2:$L$483)+SUMIF(Mercado_Receita!$S$2:$S$483,"44743A4AzulNão se aplicaNão se aplicaNão se aplicaNão se aplicaNão se aplica",Mercado_Receita!$L$2:$L$483)</f>
        <v>13.66</v>
      </c>
      <c r="T4" s="13">
        <f>SUMIF(Mercado_Receita!$S$2:$S$483,"44774A4AzulNão se aplicaNão se aplicaNão se aplicaNão se aplicaPonta",Mercado_Receita!$L$2:$L$483)+SUMIF(Mercado_Receita!$S$2:$S$483,"44774A4AzulNão se aplicaNão se aplicaNão se aplicaNão se aplicaFora ponta",Mercado_Receita!$L$2:$L$483)+SUMIF(Mercado_Receita!$S$2:$S$483,"44774A4AzulNão se aplicaNão se aplicaNão se aplicaNão se aplicaIntermediário",Mercado_Receita!$L$2:$L$483)+SUMIF(Mercado_Receita!$S$2:$S$483,"44774A4AzulNão se aplicaNão se aplicaNão se aplicaNão se aplicaNão se aplica",Mercado_Receita!$L$2:$L$483)</f>
        <v>13.66</v>
      </c>
      <c r="U4" s="13">
        <f t="shared" si="0"/>
        <v>166.83199999999999</v>
      </c>
      <c r="V4" s="13"/>
      <c r="W4" s="13"/>
    </row>
    <row r="5" spans="1:30" ht="11.25" customHeight="1" x14ac:dyDescent="0.3">
      <c r="A5" s="77"/>
      <c r="B5" s="77"/>
      <c r="C5" s="77"/>
      <c r="D5" s="77"/>
      <c r="E5" s="12" t="s">
        <v>87</v>
      </c>
      <c r="F5" s="12" t="s">
        <v>25</v>
      </c>
      <c r="G5" s="13" t="s">
        <v>83</v>
      </c>
      <c r="H5" s="13" t="s">
        <v>79</v>
      </c>
      <c r="I5" s="13">
        <f>SUMIF(Mercado_Receita!$S$2:$S$483,"44440A4AzulNão se aplicaNão se aplicaAPENão se aplicaPonta",Mercado_Receita!$L$2:$L$483)+SUMIF(Mercado_Receita!$S$2:$S$483,"44440A4AzulNão se aplicaNão se aplicaAPENão se aplicaFora ponta",Mercado_Receita!$L$2:$L$483)+SUMIF(Mercado_Receita!$S$2:$S$483,"44440A4AzulNão se aplicaNão se aplicaAPENão se aplicaIntermediário",Mercado_Receita!$L$2:$L$483)+SUMIF(Mercado_Receita!$S$2:$S$483,"44440A4AzulNão se aplicaNão se aplicaAPENão se aplicaNão se aplica",Mercado_Receita!$L$2:$L$483)</f>
        <v>0</v>
      </c>
      <c r="J5" s="13">
        <f>SUMIF(Mercado_Receita!$S$2:$S$483,"44470A4AzulNão se aplicaNão se aplicaAPENão se aplicaPonta",Mercado_Receita!$L$2:$L$483)+SUMIF(Mercado_Receita!$S$2:$S$483,"44470A4AzulNão se aplicaNão se aplicaAPENão se aplicaFora ponta",Mercado_Receita!$L$2:$L$483)+SUMIF(Mercado_Receita!$S$2:$S$483,"44470A4AzulNão se aplicaNão se aplicaAPENão se aplicaIntermediário",Mercado_Receita!$L$2:$L$483)+SUMIF(Mercado_Receita!$S$2:$S$483,"44470A4AzulNão se aplicaNão se aplicaAPENão se aplicaNão se aplica",Mercado_Receita!$L$2:$L$483)</f>
        <v>0</v>
      </c>
      <c r="K5" s="13">
        <f>SUMIF(Mercado_Receita!$S$2:$S$483,"44501A4AzulNão se aplicaNão se aplicaAPENão se aplicaPonta",Mercado_Receita!$L$2:$L$483)+SUMIF(Mercado_Receita!$S$2:$S$483,"44501A4AzulNão se aplicaNão se aplicaAPENão se aplicaFora ponta",Mercado_Receita!$L$2:$L$483)+SUMIF(Mercado_Receita!$S$2:$S$483,"44501A4AzulNão se aplicaNão se aplicaAPENão se aplicaIntermediário",Mercado_Receita!$L$2:$L$483)+SUMIF(Mercado_Receita!$S$2:$S$483,"44501A4AzulNão se aplicaNão se aplicaAPENão se aplicaNão se aplica",Mercado_Receita!$L$2:$L$483)</f>
        <v>0</v>
      </c>
      <c r="L5" s="13">
        <f>SUMIF(Mercado_Receita!$S$2:$S$483,"44531A4AzulNão se aplicaNão se aplicaAPENão se aplicaPonta",Mercado_Receita!$L$2:$L$483)+SUMIF(Mercado_Receita!$S$2:$S$483,"44531A4AzulNão se aplicaNão se aplicaAPENão se aplicaFora ponta",Mercado_Receita!$L$2:$L$483)+SUMIF(Mercado_Receita!$S$2:$S$483,"44531A4AzulNão se aplicaNão se aplicaAPENão se aplicaIntermediário",Mercado_Receita!$L$2:$L$483)+SUMIF(Mercado_Receita!$S$2:$S$483,"44531A4AzulNão se aplicaNão se aplicaAPENão se aplicaNão se aplica",Mercado_Receita!$L$2:$L$483)</f>
        <v>0</v>
      </c>
      <c r="M5" s="13">
        <f>SUMIF(Mercado_Receita!$S$2:$S$483,"44562A4AzulNão se aplicaNão se aplicaAPENão se aplicaPonta",Mercado_Receita!$L$2:$L$483)+SUMIF(Mercado_Receita!$S$2:$S$483,"44562A4AzulNão se aplicaNão se aplicaAPENão se aplicaFora ponta",Mercado_Receita!$L$2:$L$483)+SUMIF(Mercado_Receita!$S$2:$S$483,"44562A4AzulNão se aplicaNão se aplicaAPENão se aplicaIntermediário",Mercado_Receita!$L$2:$L$483)+SUMIF(Mercado_Receita!$S$2:$S$483,"44562A4AzulNão se aplicaNão se aplicaAPENão se aplicaNão se aplica",Mercado_Receita!$L$2:$L$483)</f>
        <v>0</v>
      </c>
      <c r="N5" s="13">
        <f>SUMIF(Mercado_Receita!$S$2:$S$483,"44593A4AzulNão se aplicaNão se aplicaAPENão se aplicaPonta",Mercado_Receita!$L$2:$L$483)+SUMIF(Mercado_Receita!$S$2:$S$483,"44593A4AzulNão se aplicaNão se aplicaAPENão se aplicaFora ponta",Mercado_Receita!$L$2:$L$483)+SUMIF(Mercado_Receita!$S$2:$S$483,"44593A4AzulNão se aplicaNão se aplicaAPENão se aplicaIntermediário",Mercado_Receita!$L$2:$L$483)+SUMIF(Mercado_Receita!$S$2:$S$483,"44593A4AzulNão se aplicaNão se aplicaAPENão se aplicaNão se aplica",Mercado_Receita!$L$2:$L$483)</f>
        <v>0</v>
      </c>
      <c r="O5" s="13">
        <f>SUMIF(Mercado_Receita!$S$2:$S$483,"44621A4AzulNão se aplicaNão se aplicaAPENão se aplicaPonta",Mercado_Receita!$L$2:$L$483)+SUMIF(Mercado_Receita!$S$2:$S$483,"44621A4AzulNão se aplicaNão se aplicaAPENão se aplicaFora ponta",Mercado_Receita!$L$2:$L$483)+SUMIF(Mercado_Receita!$S$2:$S$483,"44621A4AzulNão se aplicaNão se aplicaAPENão se aplicaIntermediário",Mercado_Receita!$L$2:$L$483)+SUMIF(Mercado_Receita!$S$2:$S$483,"44621A4AzulNão se aplicaNão se aplicaAPENão se aplicaNão se aplica",Mercado_Receita!$L$2:$L$483)</f>
        <v>0</v>
      </c>
      <c r="P5" s="13">
        <f>SUMIF(Mercado_Receita!$S$2:$S$483,"44652A4AzulNão se aplicaNão se aplicaAPENão se aplicaPonta",Mercado_Receita!$L$2:$L$483)+SUMIF(Mercado_Receita!$S$2:$S$483,"44652A4AzulNão se aplicaNão se aplicaAPENão se aplicaFora ponta",Mercado_Receita!$L$2:$L$483)+SUMIF(Mercado_Receita!$S$2:$S$483,"44652A4AzulNão se aplicaNão se aplicaAPENão se aplicaIntermediário",Mercado_Receita!$L$2:$L$483)+SUMIF(Mercado_Receita!$S$2:$S$483,"44652A4AzulNão se aplicaNão se aplicaAPENão se aplicaNão se aplica",Mercado_Receita!$L$2:$L$483)</f>
        <v>0</v>
      </c>
      <c r="Q5" s="13">
        <f>SUMIF(Mercado_Receita!$S$2:$S$483,"44682A4AzulNão se aplicaNão se aplicaAPENão se aplicaPonta",Mercado_Receita!$L$2:$L$483)+SUMIF(Mercado_Receita!$S$2:$S$483,"44682A4AzulNão se aplicaNão se aplicaAPENão se aplicaFora ponta",Mercado_Receita!$L$2:$L$483)+SUMIF(Mercado_Receita!$S$2:$S$483,"44682A4AzulNão se aplicaNão se aplicaAPENão se aplicaIntermediário",Mercado_Receita!$L$2:$L$483)+SUMIF(Mercado_Receita!$S$2:$S$483,"44682A4AzulNão se aplicaNão se aplicaAPENão se aplicaNão se aplica",Mercado_Receita!$L$2:$L$483)</f>
        <v>0</v>
      </c>
      <c r="R5" s="13">
        <f>SUMIF(Mercado_Receita!$S$2:$S$483,"44713A4AzulNão se aplicaNão se aplicaAPENão se aplicaPonta",Mercado_Receita!$L$2:$L$483)+SUMIF(Mercado_Receita!$S$2:$S$483,"44713A4AzulNão se aplicaNão se aplicaAPENão se aplicaFora ponta",Mercado_Receita!$L$2:$L$483)+SUMIF(Mercado_Receita!$S$2:$S$483,"44713A4AzulNão se aplicaNão se aplicaAPENão se aplicaIntermediário",Mercado_Receita!$L$2:$L$483)+SUMIF(Mercado_Receita!$S$2:$S$483,"44713A4AzulNão se aplicaNão se aplicaAPENão se aplicaNão se aplica",Mercado_Receita!$L$2:$L$483)</f>
        <v>0</v>
      </c>
      <c r="S5" s="13">
        <f>SUMIF(Mercado_Receita!$S$2:$S$483,"44743A4AzulNão se aplicaNão se aplicaAPENão se aplicaPonta",Mercado_Receita!$L$2:$L$483)+SUMIF(Mercado_Receita!$S$2:$S$483,"44743A4AzulNão se aplicaNão se aplicaAPENão se aplicaFora ponta",Mercado_Receita!$L$2:$L$483)+SUMIF(Mercado_Receita!$S$2:$S$483,"44743A4AzulNão se aplicaNão se aplicaAPENão se aplicaIntermediário",Mercado_Receita!$L$2:$L$483)+SUMIF(Mercado_Receita!$S$2:$S$483,"44743A4AzulNão se aplicaNão se aplicaAPENão se aplicaNão se aplica",Mercado_Receita!$L$2:$L$483)</f>
        <v>0</v>
      </c>
      <c r="T5" s="13">
        <f>SUMIF(Mercado_Receita!$S$2:$S$483,"44774A4AzulNão se aplicaNão se aplicaAPENão se aplicaPonta",Mercado_Receita!$L$2:$L$483)+SUMIF(Mercado_Receita!$S$2:$S$483,"44774A4AzulNão se aplicaNão se aplicaAPENão se aplicaFora ponta",Mercado_Receita!$L$2:$L$483)+SUMIF(Mercado_Receita!$S$2:$S$483,"44774A4AzulNão se aplicaNão se aplicaAPENão se aplicaIntermediário",Mercado_Receita!$L$2:$L$483)+SUMIF(Mercado_Receita!$S$2:$S$483,"44774A4AzulNão se aplicaNão se aplicaAPENão se aplicaNão se aplica",Mercado_Receita!$L$2:$L$483)</f>
        <v>0</v>
      </c>
      <c r="U5" s="13">
        <f t="shared" si="0"/>
        <v>0</v>
      </c>
      <c r="V5" s="13"/>
      <c r="W5" s="13"/>
    </row>
    <row r="6" spans="1:30" ht="11.25" customHeight="1" x14ac:dyDescent="0.3">
      <c r="A6" s="77"/>
      <c r="B6" s="12" t="s">
        <v>56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84</v>
      </c>
      <c r="I6" s="13">
        <f>SUMIF(Mercado_Receita!$S$2:$S$483,"44440A4GeraçãoNão se aplicaNão se aplicaNão se aplicaNão se aplicaNão se aplica",Mercado_Receita!$J$2:$J$483)+SUMIF(Mercado_Receita!$S$2:$S$483,"44440A4GeraçãoNão se aplicaNão se aplicaAPENão se aplicaNão se aplica",Mercado_Receita!$J$2:$J$483)</f>
        <v>11463</v>
      </c>
      <c r="J6" s="13">
        <f>SUMIF(Mercado_Receita!$S$2:$S$483,"44470A4GeraçãoNão se aplicaNão se aplicaNão se aplicaNão se aplicaNão se aplica",Mercado_Receita!$J$2:$J$483)+SUMIF(Mercado_Receita!$S$2:$S$483,"44470A4GeraçãoNão se aplicaNão se aplicaAPENão se aplicaNão se aplica",Mercado_Receita!$J$2:$J$483)</f>
        <v>11463</v>
      </c>
      <c r="K6" s="13">
        <f>SUMIF(Mercado_Receita!$S$2:$S$483,"44501A4GeraçãoNão se aplicaNão se aplicaNão se aplicaNão se aplicaNão se aplica",Mercado_Receita!$J$2:$J$483)+SUMIF(Mercado_Receita!$S$2:$S$483,"44501A4GeraçãoNão se aplicaNão se aplicaAPENão se aplicaNão se aplica",Mercado_Receita!$J$2:$J$483)</f>
        <v>11463</v>
      </c>
      <c r="L6" s="13">
        <f>SUMIF(Mercado_Receita!$S$2:$S$483,"44531A4GeraçãoNão se aplicaNão se aplicaNão se aplicaNão se aplicaNão se aplica",Mercado_Receita!$J$2:$J$483)+SUMIF(Mercado_Receita!$S$2:$S$483,"44531A4GeraçãoNão se aplicaNão se aplicaAPENão se aplicaNão se aplica",Mercado_Receita!$J$2:$J$483)</f>
        <v>11463</v>
      </c>
      <c r="M6" s="13">
        <f>SUMIF(Mercado_Receita!$S$2:$S$483,"44562A4GeraçãoNão se aplicaNão se aplicaNão se aplicaNão se aplicaNão se aplica",Mercado_Receita!$J$2:$J$483)+SUMIF(Mercado_Receita!$S$2:$S$483,"44562A4GeraçãoNão se aplicaNão se aplicaAPENão se aplicaNão se aplica",Mercado_Receita!$J$2:$J$483)</f>
        <v>11463</v>
      </c>
      <c r="N6" s="13">
        <f>SUMIF(Mercado_Receita!$S$2:$S$483,"44593A4GeraçãoNão se aplicaNão se aplicaNão se aplicaNão se aplicaNão se aplica",Mercado_Receita!$J$2:$J$483)+SUMIF(Mercado_Receita!$S$2:$S$483,"44593A4GeraçãoNão se aplicaNão se aplicaAPENão se aplicaNão se aplica",Mercado_Receita!$J$2:$J$483)</f>
        <v>11463</v>
      </c>
      <c r="O6" s="13">
        <f>SUMIF(Mercado_Receita!$S$2:$S$483,"44621A4GeraçãoNão se aplicaNão se aplicaNão se aplicaNão se aplicaNão se aplica",Mercado_Receita!$J$2:$J$483)+SUMIF(Mercado_Receita!$S$2:$S$483,"44621A4GeraçãoNão se aplicaNão se aplicaAPENão se aplicaNão se aplica",Mercado_Receita!$J$2:$J$483)</f>
        <v>11463</v>
      </c>
      <c r="P6" s="13">
        <f>SUMIF(Mercado_Receita!$S$2:$S$483,"44652A4GeraçãoNão se aplicaNão se aplicaNão se aplicaNão se aplicaNão se aplica",Mercado_Receita!$J$2:$J$483)+SUMIF(Mercado_Receita!$S$2:$S$483,"44652A4GeraçãoNão se aplicaNão se aplicaAPENão se aplicaNão se aplica",Mercado_Receita!$J$2:$J$483)</f>
        <v>11463</v>
      </c>
      <c r="Q6" s="13">
        <f>SUMIF(Mercado_Receita!$S$2:$S$483,"44682A4GeraçãoNão se aplicaNão se aplicaNão se aplicaNão se aplicaNão se aplica",Mercado_Receita!$J$2:$J$483)+SUMIF(Mercado_Receita!$S$2:$S$483,"44682A4GeraçãoNão se aplicaNão se aplicaAPENão se aplicaNão se aplica",Mercado_Receita!$J$2:$J$483)</f>
        <v>11463</v>
      </c>
      <c r="R6" s="13">
        <f>SUMIF(Mercado_Receita!$S$2:$S$483,"44713A4GeraçãoNão se aplicaNão se aplicaNão se aplicaNão se aplicaNão se aplica",Mercado_Receita!$J$2:$J$483)+SUMIF(Mercado_Receita!$S$2:$S$483,"44713A4GeraçãoNão se aplicaNão se aplicaAPENão se aplicaNão se aplica",Mercado_Receita!$J$2:$J$483)</f>
        <v>11463</v>
      </c>
      <c r="S6" s="13">
        <f>SUMIF(Mercado_Receita!$S$2:$S$483,"44743A4GeraçãoNão se aplicaNão se aplicaNão se aplicaNão se aplicaNão se aplica",Mercado_Receita!$J$2:$J$483)+SUMIF(Mercado_Receita!$S$2:$S$483,"44743A4GeraçãoNão se aplicaNão se aplicaAPENão se aplicaNão se aplica",Mercado_Receita!$J$2:$J$483)</f>
        <v>11463</v>
      </c>
      <c r="T6" s="13">
        <f>SUMIF(Mercado_Receita!$S$2:$S$483,"44774A4GeraçãoNão se aplicaNão se aplicaNão se aplicaNão se aplicaNão se aplica",Mercado_Receita!$J$2:$J$483)+SUMIF(Mercado_Receita!$S$2:$S$483,"44774A4GeraçãoNão se aplicaNão se aplicaAPENão se aplicaNão se aplica",Mercado_Receita!$J$2:$J$483)</f>
        <v>11463</v>
      </c>
      <c r="U6" s="13">
        <f t="shared" si="0"/>
        <v>137556</v>
      </c>
      <c r="V6" s="13"/>
      <c r="W6" s="13"/>
    </row>
    <row r="7" spans="1:30" ht="11.25" customHeight="1" x14ac:dyDescent="0.3">
      <c r="A7" s="77"/>
      <c r="B7" s="76" t="s">
        <v>38</v>
      </c>
      <c r="C7" s="76" t="s">
        <v>25</v>
      </c>
      <c r="D7" s="76" t="s">
        <v>25</v>
      </c>
      <c r="E7" s="76" t="s">
        <v>25</v>
      </c>
      <c r="F7" s="76" t="s">
        <v>25</v>
      </c>
      <c r="G7" s="13" t="s">
        <v>9</v>
      </c>
      <c r="H7" s="13" t="s">
        <v>84</v>
      </c>
      <c r="I7" s="13">
        <f>SUMIF(Mercado_Receita!$S$2:$S$483,"44440A4VerdeNão se aplicaNão se aplicaNão se aplicaNão se aplicaNão se aplica",Mercado_Receita!$J$2:$J$483)+SUMIF(Mercado_Receita!$S$2:$S$483,"44440A4VerdeNão se aplicaNão se aplicaAPENão se aplicaNão se aplica",Mercado_Receita!$J$2:$J$483)</f>
        <v>4779</v>
      </c>
      <c r="J7" s="13">
        <f>SUMIF(Mercado_Receita!$S$2:$S$483,"44470A4VerdeNão se aplicaNão se aplicaNão se aplicaNão se aplicaNão se aplica",Mercado_Receita!$J$2:$J$483)+SUMIF(Mercado_Receita!$S$2:$S$483,"44470A4VerdeNão se aplicaNão se aplicaAPENão se aplicaNão se aplica",Mercado_Receita!$J$2:$J$483)</f>
        <v>4778</v>
      </c>
      <c r="K7" s="13">
        <f>SUMIF(Mercado_Receita!$S$2:$S$483,"44501A4VerdeNão se aplicaNão se aplicaNão se aplicaNão se aplicaNão se aplica",Mercado_Receita!$J$2:$J$483)+SUMIF(Mercado_Receita!$S$2:$S$483,"44501A4VerdeNão se aplicaNão se aplicaAPENão se aplicaNão se aplica",Mercado_Receita!$J$2:$J$483)</f>
        <v>4997</v>
      </c>
      <c r="L7" s="13">
        <f>SUMIF(Mercado_Receita!$S$2:$S$483,"44531A4VerdeNão se aplicaNão se aplicaNão se aplicaNão se aplicaNão se aplica",Mercado_Receita!$J$2:$J$483)+SUMIF(Mercado_Receita!$S$2:$S$483,"44531A4VerdeNão se aplicaNão se aplicaAPENão se aplicaNão se aplica",Mercado_Receita!$J$2:$J$483)</f>
        <v>5130</v>
      </c>
      <c r="M7" s="13">
        <f>SUMIF(Mercado_Receita!$S$2:$S$483,"44562A4VerdeNão se aplicaNão se aplicaNão se aplicaNão se aplicaNão se aplica",Mercado_Receita!$J$2:$J$483)+SUMIF(Mercado_Receita!$S$2:$S$483,"44562A4VerdeNão se aplicaNão se aplicaAPENão se aplicaNão se aplica",Mercado_Receita!$J$2:$J$483)</f>
        <v>5173</v>
      </c>
      <c r="N7" s="13">
        <f>SUMIF(Mercado_Receita!$S$2:$S$483,"44593A4VerdeNão se aplicaNão se aplicaNão se aplicaNão se aplicaNão se aplica",Mercado_Receita!$J$2:$J$483)+SUMIF(Mercado_Receita!$S$2:$S$483,"44593A4VerdeNão se aplicaNão se aplicaAPENão se aplicaNão se aplica",Mercado_Receita!$J$2:$J$483)</f>
        <v>5125</v>
      </c>
      <c r="O7" s="13">
        <f>SUMIF(Mercado_Receita!$S$2:$S$483,"44621A4VerdeNão se aplicaNão se aplicaNão se aplicaNão se aplicaNão se aplica",Mercado_Receita!$J$2:$J$483)+SUMIF(Mercado_Receita!$S$2:$S$483,"44621A4VerdeNão se aplicaNão se aplicaAPENão se aplicaNão se aplica",Mercado_Receita!$J$2:$J$483)</f>
        <v>5476</v>
      </c>
      <c r="P7" s="13">
        <f>SUMIF(Mercado_Receita!$S$2:$S$483,"44652A4VerdeNão se aplicaNão se aplicaNão se aplicaNão se aplicaNão se aplica",Mercado_Receita!$J$2:$J$483)+SUMIF(Mercado_Receita!$S$2:$S$483,"44652A4VerdeNão se aplicaNão se aplicaAPENão se aplicaNão se aplica",Mercado_Receita!$J$2:$J$483)</f>
        <v>5415</v>
      </c>
      <c r="Q7" s="13">
        <f>SUMIF(Mercado_Receita!$S$2:$S$483,"44682A4VerdeNão se aplicaNão se aplicaNão se aplicaNão se aplicaNão se aplica",Mercado_Receita!$J$2:$J$483)+SUMIF(Mercado_Receita!$S$2:$S$483,"44682A4VerdeNão se aplicaNão se aplicaAPENão se aplicaNão se aplica",Mercado_Receita!$J$2:$J$483)</f>
        <v>5403</v>
      </c>
      <c r="R7" s="13">
        <f>SUMIF(Mercado_Receita!$S$2:$S$483,"44713A4VerdeNão se aplicaNão se aplicaNão se aplicaNão se aplicaNão se aplica",Mercado_Receita!$J$2:$J$483)+SUMIF(Mercado_Receita!$S$2:$S$483,"44713A4VerdeNão se aplicaNão se aplicaAPENão se aplicaNão se aplica",Mercado_Receita!$J$2:$J$483)</f>
        <v>5415</v>
      </c>
      <c r="S7" s="13">
        <f>SUMIF(Mercado_Receita!$S$2:$S$483,"44743A4VerdeNão se aplicaNão se aplicaNão se aplicaNão se aplicaNão se aplica",Mercado_Receita!$J$2:$J$483)+SUMIF(Mercado_Receita!$S$2:$S$483,"44743A4VerdeNão se aplicaNão se aplicaAPENão se aplicaNão se aplica",Mercado_Receita!$J$2:$J$483)</f>
        <v>5733</v>
      </c>
      <c r="T7" s="13">
        <f>SUMIF(Mercado_Receita!$S$2:$S$483,"44774A4VerdeNão se aplicaNão se aplicaNão se aplicaNão se aplicaNão se aplica",Mercado_Receita!$J$2:$J$483)+SUMIF(Mercado_Receita!$S$2:$S$483,"44774A4VerdeNão se aplicaNão se aplicaAPENão se aplicaNão se aplica",Mercado_Receita!$J$2:$J$483)</f>
        <v>5733</v>
      </c>
      <c r="U7" s="13">
        <f t="shared" si="0"/>
        <v>63157</v>
      </c>
      <c r="V7" s="13"/>
      <c r="W7" s="13"/>
    </row>
    <row r="8" spans="1:30" ht="11.25" customHeight="1" x14ac:dyDescent="0.3">
      <c r="A8" s="77"/>
      <c r="B8" s="77"/>
      <c r="C8" s="77"/>
      <c r="D8" s="77"/>
      <c r="E8" s="77"/>
      <c r="F8" s="77"/>
      <c r="G8" s="13" t="s">
        <v>80</v>
      </c>
      <c r="H8" s="13" t="s">
        <v>79</v>
      </c>
      <c r="I8" s="13">
        <f>SUMIF(Mercado_Receita!$S$2:$S$483,"44440A4VerdeNão se aplicaNão se aplicaNão se aplicaNão se aplicaPonta",Mercado_Receita!$L$2:$L$483)</f>
        <v>56.387</v>
      </c>
      <c r="J8" s="13">
        <f>SUMIF(Mercado_Receita!$S$2:$S$483,"44470A4VerdeNão se aplicaNão se aplicaNão se aplicaNão se aplicaPonta",Mercado_Receita!$L$2:$L$483)</f>
        <v>57.965000000000003</v>
      </c>
      <c r="K8" s="13">
        <f>SUMIF(Mercado_Receita!$S$2:$S$483,"44501A4VerdeNão se aplicaNão se aplicaNão se aplicaNão se aplicaPonta",Mercado_Receita!$L$2:$L$483)</f>
        <v>62.581000000000003</v>
      </c>
      <c r="L8" s="13">
        <f>SUMIF(Mercado_Receita!$S$2:$S$483,"44531A4VerdeNão se aplicaNão se aplicaNão se aplicaNão se aplicaPonta",Mercado_Receita!$L$2:$L$483)</f>
        <v>74.064999999999998</v>
      </c>
      <c r="M8" s="13">
        <f>SUMIF(Mercado_Receita!$S$2:$S$483,"44562A4VerdeNão se aplicaNão se aplicaNão se aplicaNão se aplicaPonta",Mercado_Receita!$L$2:$L$483)</f>
        <v>76.316999999999993</v>
      </c>
      <c r="N8" s="13">
        <f>SUMIF(Mercado_Receita!$S$2:$S$483,"44593A4VerdeNão se aplicaNão se aplicaNão se aplicaNão se aplicaPonta",Mercado_Receita!$L$2:$L$483)</f>
        <v>69.905000000000001</v>
      </c>
      <c r="O8" s="13">
        <f>SUMIF(Mercado_Receita!$S$2:$S$483,"44621A4VerdeNão se aplicaNão se aplicaNão se aplicaNão se aplicaPonta",Mercado_Receita!$L$2:$L$483)</f>
        <v>107.039</v>
      </c>
      <c r="P8" s="13">
        <f>SUMIF(Mercado_Receita!$S$2:$S$483,"44652A4VerdeNão se aplicaNão se aplicaNão se aplicaNão se aplicaPonta",Mercado_Receita!$L$2:$L$483)</f>
        <v>73.902999999999992</v>
      </c>
      <c r="Q8" s="13">
        <f>SUMIF(Mercado_Receita!$S$2:$S$483,"44682A4VerdeNão se aplicaNão se aplicaNão se aplicaNão se aplicaPonta",Mercado_Receita!$L$2:$L$483)</f>
        <v>43.436</v>
      </c>
      <c r="R8" s="13">
        <f>SUMIF(Mercado_Receita!$S$2:$S$483,"44713A4VerdeNão se aplicaNão se aplicaNão se aplicaNão se aplicaPonta",Mercado_Receita!$L$2:$L$483)</f>
        <v>44.064999999999998</v>
      </c>
      <c r="S8" s="13">
        <f>SUMIF(Mercado_Receita!$S$2:$S$483,"44743A4VerdeNão se aplicaNão se aplicaNão se aplicaNão se aplicaPonta",Mercado_Receita!$L$2:$L$483)</f>
        <v>58.678000000000004</v>
      </c>
      <c r="T8" s="13">
        <f>SUMIF(Mercado_Receita!$S$2:$S$483,"44774A4VerdeNão se aplicaNão se aplicaNão se aplicaNão se aplicaPonta",Mercado_Receita!$L$2:$L$483)</f>
        <v>58.678000000000004</v>
      </c>
      <c r="U8" s="13">
        <f t="shared" si="0"/>
        <v>783.01900000000001</v>
      </c>
      <c r="V8" s="13"/>
      <c r="W8" s="13"/>
    </row>
    <row r="9" spans="1:30" ht="11.25" customHeight="1" x14ac:dyDescent="0.3">
      <c r="A9" s="77"/>
      <c r="B9" s="77"/>
      <c r="C9" s="77"/>
      <c r="D9" s="77"/>
      <c r="E9" s="77"/>
      <c r="F9" s="77"/>
      <c r="G9" s="13" t="s">
        <v>81</v>
      </c>
      <c r="H9" s="13" t="s">
        <v>79</v>
      </c>
      <c r="I9" s="13">
        <f>SUMIF(Mercado_Receita!$S$2:$S$483,"44440A4VerdeNão se aplicaNão se aplicaNão se aplicaNão se aplicaFora ponta",Mercado_Receita!$L$2:$L$483)</f>
        <v>1077.5400000000002</v>
      </c>
      <c r="J9" s="13">
        <f>SUMIF(Mercado_Receita!$S$2:$S$483,"44470A4VerdeNão se aplicaNão se aplicaNão se aplicaNão se aplicaFora ponta",Mercado_Receita!$L$2:$L$483)</f>
        <v>1059.0550000000001</v>
      </c>
      <c r="K9" s="13">
        <f>SUMIF(Mercado_Receita!$S$2:$S$483,"44501A4VerdeNão se aplicaNão se aplicaNão se aplicaNão se aplicaFora ponta",Mercado_Receita!$L$2:$L$483)</f>
        <v>1090.23</v>
      </c>
      <c r="L9" s="13">
        <f>SUMIF(Mercado_Receita!$S$2:$S$483,"44531A4VerdeNão se aplicaNão se aplicaNão se aplicaNão se aplicaFora ponta",Mercado_Receita!$L$2:$L$483)</f>
        <v>1071.99</v>
      </c>
      <c r="M9" s="13">
        <f>SUMIF(Mercado_Receita!$S$2:$S$483,"44562A4VerdeNão se aplicaNão se aplicaNão se aplicaNão se aplicaFora ponta",Mercado_Receita!$L$2:$L$483)</f>
        <v>1156.5420000000001</v>
      </c>
      <c r="N9" s="13">
        <f>SUMIF(Mercado_Receita!$S$2:$S$483,"44593A4VerdeNão se aplicaNão se aplicaNão se aplicaNão se aplicaFora ponta",Mercado_Receita!$L$2:$L$483)</f>
        <v>1049.3960000000002</v>
      </c>
      <c r="O9" s="13">
        <f>SUMIF(Mercado_Receita!$S$2:$S$483,"44621A4VerdeNão se aplicaNão se aplicaNão se aplicaNão se aplicaFora ponta",Mercado_Receita!$L$2:$L$483)</f>
        <v>1137.912</v>
      </c>
      <c r="P9" s="13">
        <f>SUMIF(Mercado_Receita!$S$2:$S$483,"44652A4VerdeNão se aplicaNão se aplicaNão se aplicaNão se aplicaFora ponta",Mercado_Receita!$L$2:$L$483)</f>
        <v>989.52199999999993</v>
      </c>
      <c r="Q9" s="13">
        <f>SUMIF(Mercado_Receita!$S$2:$S$483,"44682A4VerdeNão se aplicaNão se aplicaNão se aplicaNão se aplicaFora ponta",Mercado_Receita!$L$2:$L$483)</f>
        <v>999.33999999999992</v>
      </c>
      <c r="R9" s="13">
        <f>SUMIF(Mercado_Receita!$S$2:$S$483,"44713A4VerdeNão se aplicaNão se aplicaNão se aplicaNão se aplicaFora ponta",Mercado_Receita!$L$2:$L$483)</f>
        <v>962.91600000000005</v>
      </c>
      <c r="S9" s="13">
        <f>SUMIF(Mercado_Receita!$S$2:$S$483,"44743A4VerdeNão se aplicaNão se aplicaNão se aplicaNão se aplicaFora ponta",Mercado_Receita!$L$2:$L$483)</f>
        <v>1044.9070000000002</v>
      </c>
      <c r="T9" s="13">
        <f>SUMIF(Mercado_Receita!$S$2:$S$483,"44774A4VerdeNão se aplicaNão se aplicaNão se aplicaNão se aplicaFora ponta",Mercado_Receita!$L$2:$L$483)</f>
        <v>1044.9070000000002</v>
      </c>
      <c r="U9" s="13">
        <f t="shared" si="0"/>
        <v>12684.257000000001</v>
      </c>
      <c r="V9" s="13"/>
      <c r="W9" s="13"/>
    </row>
    <row r="10" spans="1:30" ht="11.25" customHeight="1" x14ac:dyDescent="0.3">
      <c r="A10" s="77"/>
      <c r="B10" s="77"/>
      <c r="C10" s="77"/>
      <c r="D10" s="77"/>
      <c r="E10" s="76" t="s">
        <v>87</v>
      </c>
      <c r="F10" s="76" t="s">
        <v>25</v>
      </c>
      <c r="G10" s="13" t="s">
        <v>80</v>
      </c>
      <c r="H10" s="13" t="s">
        <v>79</v>
      </c>
      <c r="I10" s="13">
        <f>SUMIF(Mercado_Receita!$S$2:$S$483,"44440A4VerdeNão se aplicaNão se aplicaAPENão se aplicaPonta",Mercado_Receita!$L$2:$L$483)</f>
        <v>0</v>
      </c>
      <c r="J10" s="13">
        <f>SUMIF(Mercado_Receita!$S$2:$S$483,"44470A4VerdeNão se aplicaNão se aplicaAPENão se aplicaPonta",Mercado_Receita!$L$2:$L$483)</f>
        <v>0</v>
      </c>
      <c r="K10" s="13">
        <f>SUMIF(Mercado_Receita!$S$2:$S$483,"44501A4VerdeNão se aplicaNão se aplicaAPENão se aplicaPonta",Mercado_Receita!$L$2:$L$483)</f>
        <v>0</v>
      </c>
      <c r="L10" s="13">
        <f>SUMIF(Mercado_Receita!$S$2:$S$483,"44531A4VerdeNão se aplicaNão se aplicaAPENão se aplicaPonta",Mercado_Receita!$L$2:$L$483)</f>
        <v>0</v>
      </c>
      <c r="M10" s="13">
        <f>SUMIF(Mercado_Receita!$S$2:$S$483,"44562A4VerdeNão se aplicaNão se aplicaAPENão se aplicaPonta",Mercado_Receita!$L$2:$L$483)</f>
        <v>0</v>
      </c>
      <c r="N10" s="13">
        <f>SUMIF(Mercado_Receita!$S$2:$S$483,"44593A4VerdeNão se aplicaNão se aplicaAPENão se aplicaPonta",Mercado_Receita!$L$2:$L$483)</f>
        <v>0</v>
      </c>
      <c r="O10" s="13">
        <f>SUMIF(Mercado_Receita!$S$2:$S$483,"44621A4VerdeNão se aplicaNão se aplicaAPENão se aplicaPonta",Mercado_Receita!$L$2:$L$483)</f>
        <v>0</v>
      </c>
      <c r="P10" s="13">
        <f>SUMIF(Mercado_Receita!$S$2:$S$483,"44652A4VerdeNão se aplicaNão se aplicaAPENão se aplicaPonta",Mercado_Receita!$L$2:$L$483)</f>
        <v>0</v>
      </c>
      <c r="Q10" s="13">
        <f>SUMIF(Mercado_Receita!$S$2:$S$483,"44682A4VerdeNão se aplicaNão se aplicaAPENão se aplicaPonta",Mercado_Receita!$L$2:$L$483)</f>
        <v>0</v>
      </c>
      <c r="R10" s="13">
        <f>SUMIF(Mercado_Receita!$S$2:$S$483,"44713A4VerdeNão se aplicaNão se aplicaAPENão se aplicaPonta",Mercado_Receita!$L$2:$L$483)</f>
        <v>0</v>
      </c>
      <c r="S10" s="13">
        <f>SUMIF(Mercado_Receita!$S$2:$S$483,"44743A4VerdeNão se aplicaNão se aplicaAPENão se aplicaPonta",Mercado_Receita!$L$2:$L$483)</f>
        <v>0</v>
      </c>
      <c r="T10" s="13">
        <f>SUMIF(Mercado_Receita!$S$2:$S$483,"44774A4VerdeNão se aplicaNão se aplicaAPENão se aplicaPonta",Mercado_Receita!$L$2:$L$483)</f>
        <v>0</v>
      </c>
      <c r="U10" s="13">
        <f t="shared" si="0"/>
        <v>0</v>
      </c>
      <c r="V10" s="13"/>
      <c r="W10" s="13"/>
    </row>
    <row r="11" spans="1:30" ht="11.25" customHeight="1" x14ac:dyDescent="0.3">
      <c r="A11" s="77"/>
      <c r="B11" s="77"/>
      <c r="C11" s="77"/>
      <c r="D11" s="77"/>
      <c r="E11" s="77"/>
      <c r="F11" s="77"/>
      <c r="G11" s="13" t="s">
        <v>81</v>
      </c>
      <c r="H11" s="13" t="s">
        <v>79</v>
      </c>
      <c r="I11" s="13">
        <f>SUMIF(Mercado_Receita!$S$2:$S$483,"44440A4VerdeNão se aplicaNão se aplicaAPENão se aplicaFora ponta",Mercado_Receita!$L$2:$L$483)</f>
        <v>0</v>
      </c>
      <c r="J11" s="13">
        <f>SUMIF(Mercado_Receita!$S$2:$S$483,"44470A4VerdeNão se aplicaNão se aplicaAPENão se aplicaFora ponta",Mercado_Receita!$L$2:$L$483)</f>
        <v>0</v>
      </c>
      <c r="K11" s="13">
        <f>SUMIF(Mercado_Receita!$S$2:$S$483,"44501A4VerdeNão se aplicaNão se aplicaAPENão se aplicaFora ponta",Mercado_Receita!$L$2:$L$483)</f>
        <v>0</v>
      </c>
      <c r="L11" s="13">
        <f>SUMIF(Mercado_Receita!$S$2:$S$483,"44531A4VerdeNão se aplicaNão se aplicaAPENão se aplicaFora ponta",Mercado_Receita!$L$2:$L$483)</f>
        <v>0</v>
      </c>
      <c r="M11" s="13">
        <f>SUMIF(Mercado_Receita!$S$2:$S$483,"44562A4VerdeNão se aplicaNão se aplicaAPENão se aplicaFora ponta",Mercado_Receita!$L$2:$L$483)</f>
        <v>0</v>
      </c>
      <c r="N11" s="13">
        <f>SUMIF(Mercado_Receita!$S$2:$S$483,"44593A4VerdeNão se aplicaNão se aplicaAPENão se aplicaFora ponta",Mercado_Receita!$L$2:$L$483)</f>
        <v>0</v>
      </c>
      <c r="O11" s="13">
        <f>SUMIF(Mercado_Receita!$S$2:$S$483,"44621A4VerdeNão se aplicaNão se aplicaAPENão se aplicaFora ponta",Mercado_Receita!$L$2:$L$483)</f>
        <v>0</v>
      </c>
      <c r="P11" s="13">
        <f>SUMIF(Mercado_Receita!$S$2:$S$483,"44652A4VerdeNão se aplicaNão se aplicaAPENão se aplicaFora ponta",Mercado_Receita!$L$2:$L$483)</f>
        <v>0</v>
      </c>
      <c r="Q11" s="13">
        <f>SUMIF(Mercado_Receita!$S$2:$S$483,"44682A4VerdeNão se aplicaNão se aplicaAPENão se aplicaFora ponta",Mercado_Receita!$L$2:$L$483)</f>
        <v>0</v>
      </c>
      <c r="R11" s="13">
        <f>SUMIF(Mercado_Receita!$S$2:$S$483,"44713A4VerdeNão se aplicaNão se aplicaAPENão se aplicaFora ponta",Mercado_Receita!$L$2:$L$483)</f>
        <v>0</v>
      </c>
      <c r="S11" s="13">
        <f>SUMIF(Mercado_Receita!$S$2:$S$483,"44743A4VerdeNão se aplicaNão se aplicaAPENão se aplicaFora ponta",Mercado_Receita!$L$2:$L$483)</f>
        <v>0</v>
      </c>
      <c r="T11" s="13">
        <f>SUMIF(Mercado_Receita!$S$2:$S$483,"44774A4VerdeNão se aplicaNão se aplicaAPENão se aplicaFora ponta",Mercado_Receita!$L$2:$L$483)</f>
        <v>0</v>
      </c>
      <c r="U11" s="13">
        <f t="shared" si="0"/>
        <v>0</v>
      </c>
      <c r="V11" s="13"/>
      <c r="W11" s="13"/>
    </row>
    <row r="12" spans="1:30" ht="11.25" customHeight="1" x14ac:dyDescent="0.3">
      <c r="A12" s="76" t="s">
        <v>88</v>
      </c>
      <c r="B12" s="76" t="s">
        <v>56</v>
      </c>
      <c r="C12" s="76" t="s">
        <v>25</v>
      </c>
      <c r="D12" s="76" t="s">
        <v>25</v>
      </c>
      <c r="E12" s="12" t="s">
        <v>89</v>
      </c>
      <c r="F12" s="12" t="s">
        <v>25</v>
      </c>
      <c r="G12" s="13" t="s">
        <v>9</v>
      </c>
      <c r="H12" s="13" t="s">
        <v>84</v>
      </c>
      <c r="I12" s="13">
        <f>SUMIF(Mercado_Receita!$S$2:$S$483,"44440BGeraçãoNão se aplicaNão se aplicaTIPO 01Não se aplicaNão se aplica",Mercado_Receita!$J$2:$J$483)+SUMIF(Mercado_Receita!$S$2:$S$483,"44440BGeraçãoNão se aplicaNão se aplicaAPENão se aplicaNão se aplica",Mercado_Receita!$J$2:$J$483)</f>
        <v>0</v>
      </c>
      <c r="J12" s="13">
        <f>SUMIF(Mercado_Receita!$S$2:$S$483,"44470BGeraçãoNão se aplicaNão se aplicaTIPO 01Não se aplicaNão se aplica",Mercado_Receita!$J$2:$J$483)+SUMIF(Mercado_Receita!$S$2:$S$483,"44470BGeraçãoNão se aplicaNão se aplicaAPENão se aplicaNão se aplica",Mercado_Receita!$J$2:$J$483)</f>
        <v>0</v>
      </c>
      <c r="K12" s="13">
        <f>SUMIF(Mercado_Receita!$S$2:$S$483,"44501BGeraçãoNão se aplicaNão se aplicaTIPO 01Não se aplicaNão se aplica",Mercado_Receita!$J$2:$J$483)+SUMIF(Mercado_Receita!$S$2:$S$483,"44501BGeraçãoNão se aplicaNão se aplicaAPENão se aplicaNão se aplica",Mercado_Receita!$J$2:$J$483)</f>
        <v>0</v>
      </c>
      <c r="L12" s="13">
        <f>SUMIF(Mercado_Receita!$S$2:$S$483,"44531BGeraçãoNão se aplicaNão se aplicaTIPO 01Não se aplicaNão se aplica",Mercado_Receita!$J$2:$J$483)+SUMIF(Mercado_Receita!$S$2:$S$483,"44531BGeraçãoNão se aplicaNão se aplicaAPENão se aplicaNão se aplica",Mercado_Receita!$J$2:$J$483)</f>
        <v>0</v>
      </c>
      <c r="M12" s="13">
        <f>SUMIF(Mercado_Receita!$S$2:$S$483,"44562BGeraçãoNão se aplicaNão se aplicaTIPO 01Não se aplicaNão se aplica",Mercado_Receita!$J$2:$J$483)+SUMIF(Mercado_Receita!$S$2:$S$483,"44562BGeraçãoNão se aplicaNão se aplicaAPENão se aplicaNão se aplica",Mercado_Receita!$J$2:$J$483)</f>
        <v>0</v>
      </c>
      <c r="N12" s="13">
        <f>SUMIF(Mercado_Receita!$S$2:$S$483,"44593BGeraçãoNão se aplicaNão se aplicaTIPO 01Não se aplicaNão se aplica",Mercado_Receita!$J$2:$J$483)+SUMIF(Mercado_Receita!$S$2:$S$483,"44593BGeraçãoNão se aplicaNão se aplicaAPENão se aplicaNão se aplica",Mercado_Receita!$J$2:$J$483)</f>
        <v>0</v>
      </c>
      <c r="O12" s="13">
        <f>SUMIF(Mercado_Receita!$S$2:$S$483,"44621BGeraçãoNão se aplicaNão se aplicaTIPO 01Não se aplicaNão se aplica",Mercado_Receita!$J$2:$J$483)+SUMIF(Mercado_Receita!$S$2:$S$483,"44621BGeraçãoNão se aplicaNão se aplicaAPENão se aplicaNão se aplica",Mercado_Receita!$J$2:$J$483)</f>
        <v>0</v>
      </c>
      <c r="P12" s="13">
        <f>SUMIF(Mercado_Receita!$S$2:$S$483,"44652BGeraçãoNão se aplicaNão se aplicaTIPO 01Não se aplicaNão se aplica",Mercado_Receita!$J$2:$J$483)+SUMIF(Mercado_Receita!$S$2:$S$483,"44652BGeraçãoNão se aplicaNão se aplicaAPENão se aplicaNão se aplica",Mercado_Receita!$J$2:$J$483)</f>
        <v>0</v>
      </c>
      <c r="Q12" s="13">
        <f>SUMIF(Mercado_Receita!$S$2:$S$483,"44682BGeraçãoNão se aplicaNão se aplicaTIPO 01Não se aplicaNão se aplica",Mercado_Receita!$J$2:$J$483)+SUMIF(Mercado_Receita!$S$2:$S$483,"44682BGeraçãoNão se aplicaNão se aplicaAPENão se aplicaNão se aplica",Mercado_Receita!$J$2:$J$483)</f>
        <v>0</v>
      </c>
      <c r="R12" s="13">
        <f>SUMIF(Mercado_Receita!$S$2:$S$483,"44713BGeraçãoNão se aplicaNão se aplicaTIPO 01Não se aplicaNão se aplica",Mercado_Receita!$J$2:$J$483)+SUMIF(Mercado_Receita!$S$2:$S$483,"44713BGeraçãoNão se aplicaNão se aplicaAPENão se aplicaNão se aplica",Mercado_Receita!$J$2:$J$483)</f>
        <v>0</v>
      </c>
      <c r="S12" s="13">
        <f>SUMIF(Mercado_Receita!$S$2:$S$483,"44743BGeraçãoNão se aplicaNão se aplicaTIPO 01Não se aplicaNão se aplica",Mercado_Receita!$J$2:$J$483)+SUMIF(Mercado_Receita!$S$2:$S$483,"44743BGeraçãoNão se aplicaNão se aplicaAPENão se aplicaNão se aplica",Mercado_Receita!$J$2:$J$483)</f>
        <v>0</v>
      </c>
      <c r="T12" s="13">
        <f>SUMIF(Mercado_Receita!$S$2:$S$483,"44774BGeraçãoNão se aplicaNão se aplicaTIPO 01Não se aplicaNão se aplica",Mercado_Receita!$J$2:$J$483)+SUMIF(Mercado_Receita!$S$2:$S$483,"44774BGeraçãoNão se aplicaNão se aplicaAPENão se aplicaNão se aplica",Mercado_Receita!$J$2:$J$483)</f>
        <v>0</v>
      </c>
      <c r="U12" s="13">
        <f t="shared" si="0"/>
        <v>0</v>
      </c>
      <c r="V12" s="13"/>
      <c r="W12" s="13"/>
    </row>
    <row r="13" spans="1:30" ht="11.25" customHeight="1" x14ac:dyDescent="0.3">
      <c r="A13" s="77"/>
      <c r="B13" s="77"/>
      <c r="C13" s="77"/>
      <c r="D13" s="77"/>
      <c r="E13" s="12" t="s">
        <v>90</v>
      </c>
      <c r="F13" s="12" t="s">
        <v>25</v>
      </c>
      <c r="G13" s="13" t="s">
        <v>9</v>
      </c>
      <c r="H13" s="13" t="s">
        <v>84</v>
      </c>
      <c r="I13" s="13">
        <f>SUMIF(Mercado_Receita!$S$2:$S$483,"44440BGeraçãoNão se aplicaNão se aplicaTIPO 02Não se aplicaNão se aplica",Mercado_Receita!$J$2:$J$483)+SUMIF(Mercado_Receita!$S$2:$S$483,"44440BGeraçãoNão se aplicaNão se aplicaAPENão se aplicaNão se aplica",Mercado_Receita!$J$2:$J$483)</f>
        <v>0</v>
      </c>
      <c r="J13" s="13">
        <f>SUMIF(Mercado_Receita!$S$2:$S$483,"44470BGeraçãoNão se aplicaNão se aplicaTIPO 02Não se aplicaNão se aplica",Mercado_Receita!$J$2:$J$483)+SUMIF(Mercado_Receita!$S$2:$S$483,"44470BGeraçãoNão se aplicaNão se aplicaAPENão se aplicaNão se aplica",Mercado_Receita!$J$2:$J$483)</f>
        <v>0</v>
      </c>
      <c r="K13" s="13">
        <f>SUMIF(Mercado_Receita!$S$2:$S$483,"44501BGeraçãoNão se aplicaNão se aplicaTIPO 02Não se aplicaNão se aplica",Mercado_Receita!$J$2:$J$483)+SUMIF(Mercado_Receita!$S$2:$S$483,"44501BGeraçãoNão se aplicaNão se aplicaAPENão se aplicaNão se aplica",Mercado_Receita!$J$2:$J$483)</f>
        <v>0</v>
      </c>
      <c r="L13" s="13">
        <f>SUMIF(Mercado_Receita!$S$2:$S$483,"44531BGeraçãoNão se aplicaNão se aplicaTIPO 02Não se aplicaNão se aplica",Mercado_Receita!$J$2:$J$483)+SUMIF(Mercado_Receita!$S$2:$S$483,"44531BGeraçãoNão se aplicaNão se aplicaAPENão se aplicaNão se aplica",Mercado_Receita!$J$2:$J$483)</f>
        <v>0</v>
      </c>
      <c r="M13" s="13">
        <f>SUMIF(Mercado_Receita!$S$2:$S$483,"44562BGeraçãoNão se aplicaNão se aplicaTIPO 02Não se aplicaNão se aplica",Mercado_Receita!$J$2:$J$483)+SUMIF(Mercado_Receita!$S$2:$S$483,"44562BGeraçãoNão se aplicaNão se aplicaAPENão se aplicaNão se aplica",Mercado_Receita!$J$2:$J$483)</f>
        <v>0</v>
      </c>
      <c r="N13" s="13">
        <f>SUMIF(Mercado_Receita!$S$2:$S$483,"44593BGeraçãoNão se aplicaNão se aplicaTIPO 02Não se aplicaNão se aplica",Mercado_Receita!$J$2:$J$483)+SUMIF(Mercado_Receita!$S$2:$S$483,"44593BGeraçãoNão se aplicaNão se aplicaAPENão se aplicaNão se aplica",Mercado_Receita!$J$2:$J$483)</f>
        <v>0</v>
      </c>
      <c r="O13" s="13">
        <f>SUMIF(Mercado_Receita!$S$2:$S$483,"44621BGeraçãoNão se aplicaNão se aplicaTIPO 02Não se aplicaNão se aplica",Mercado_Receita!$J$2:$J$483)+SUMIF(Mercado_Receita!$S$2:$S$483,"44621BGeraçãoNão se aplicaNão se aplicaAPENão se aplicaNão se aplica",Mercado_Receita!$J$2:$J$483)</f>
        <v>0</v>
      </c>
      <c r="P13" s="13">
        <f>SUMIF(Mercado_Receita!$S$2:$S$483,"44652BGeraçãoNão se aplicaNão se aplicaTIPO 02Não se aplicaNão se aplica",Mercado_Receita!$J$2:$J$483)+SUMIF(Mercado_Receita!$S$2:$S$483,"44652BGeraçãoNão se aplicaNão se aplicaAPENão se aplicaNão se aplica",Mercado_Receita!$J$2:$J$483)</f>
        <v>0</v>
      </c>
      <c r="Q13" s="13">
        <f>SUMIF(Mercado_Receita!$S$2:$S$483,"44682BGeraçãoNão se aplicaNão se aplicaTIPO 02Não se aplicaNão se aplica",Mercado_Receita!$J$2:$J$483)+SUMIF(Mercado_Receita!$S$2:$S$483,"44682BGeraçãoNão se aplicaNão se aplicaAPENão se aplicaNão se aplica",Mercado_Receita!$J$2:$J$483)</f>
        <v>0</v>
      </c>
      <c r="R13" s="13">
        <f>SUMIF(Mercado_Receita!$S$2:$S$483,"44713BGeraçãoNão se aplicaNão se aplicaTIPO 02Não se aplicaNão se aplica",Mercado_Receita!$J$2:$J$483)+SUMIF(Mercado_Receita!$S$2:$S$483,"44713BGeraçãoNão se aplicaNão se aplicaAPENão se aplicaNão se aplica",Mercado_Receita!$J$2:$J$483)</f>
        <v>0</v>
      </c>
      <c r="S13" s="13">
        <f>SUMIF(Mercado_Receita!$S$2:$S$483,"44743BGeraçãoNão se aplicaNão se aplicaTIPO 02Não se aplicaNão se aplica",Mercado_Receita!$J$2:$J$483)+SUMIF(Mercado_Receita!$S$2:$S$483,"44743BGeraçãoNão se aplicaNão se aplicaAPENão se aplicaNão se aplica",Mercado_Receita!$J$2:$J$483)</f>
        <v>0</v>
      </c>
      <c r="T13" s="13">
        <f>SUMIF(Mercado_Receita!$S$2:$S$483,"44774BGeraçãoNão se aplicaNão se aplicaTIPO 02Não se aplicaNão se aplica",Mercado_Receita!$J$2:$J$483)+SUMIF(Mercado_Receita!$S$2:$S$483,"44774BGeraçãoNão se aplicaNão se aplicaAPENão se aplicaNão se aplica",Mercado_Receita!$J$2:$J$483)</f>
        <v>0</v>
      </c>
      <c r="U13" s="13">
        <f t="shared" si="0"/>
        <v>0</v>
      </c>
      <c r="V13" s="13"/>
      <c r="W13" s="13"/>
    </row>
    <row r="14" spans="1:30" ht="11.25" customHeight="1" x14ac:dyDescent="0.3">
      <c r="A14" s="76" t="s">
        <v>22</v>
      </c>
      <c r="B14" s="76" t="s">
        <v>92</v>
      </c>
      <c r="C14" s="76" t="s">
        <v>24</v>
      </c>
      <c r="D14" s="76" t="s">
        <v>24</v>
      </c>
      <c r="E14" s="76" t="s">
        <v>25</v>
      </c>
      <c r="F14" s="76" t="s">
        <v>25</v>
      </c>
      <c r="G14" s="13" t="s">
        <v>80</v>
      </c>
      <c r="H14" s="13" t="s">
        <v>79</v>
      </c>
      <c r="I14" s="13">
        <f>SUMIF(Mercado_Receita!$S$2:$S$483,"44440B1BrancaResidencialResidencialNão se aplicaNão se aplicaPonta",Mercado_Receita!$L$2:$L$483)</f>
        <v>0</v>
      </c>
      <c r="J14" s="13">
        <f>SUMIF(Mercado_Receita!$S$2:$S$483,"44470B1BrancaResidencialResidencialNão se aplicaNão se aplicaPonta",Mercado_Receita!$L$2:$L$483)</f>
        <v>0</v>
      </c>
      <c r="K14" s="13">
        <f>SUMIF(Mercado_Receita!$S$2:$S$483,"44501B1BrancaResidencialResidencialNão se aplicaNão se aplicaPonta",Mercado_Receita!$L$2:$L$483)</f>
        <v>0</v>
      </c>
      <c r="L14" s="13">
        <f>SUMIF(Mercado_Receita!$S$2:$S$483,"44531B1BrancaResidencialResidencialNão se aplicaNão se aplicaPonta",Mercado_Receita!$L$2:$L$483)</f>
        <v>0</v>
      </c>
      <c r="M14" s="13">
        <f>SUMIF(Mercado_Receita!$S$2:$S$483,"44562B1BrancaResidencialResidencialNão se aplicaNão se aplicaPonta",Mercado_Receita!$L$2:$L$483)</f>
        <v>0</v>
      </c>
      <c r="N14" s="13">
        <f>SUMIF(Mercado_Receita!$S$2:$S$483,"44593B1BrancaResidencialResidencialNão se aplicaNão se aplicaPonta",Mercado_Receita!$L$2:$L$483)</f>
        <v>0</v>
      </c>
      <c r="O14" s="13">
        <f>SUMIF(Mercado_Receita!$S$2:$S$483,"44621B1BrancaResidencialResidencialNão se aplicaNão se aplicaPonta",Mercado_Receita!$L$2:$L$483)</f>
        <v>0</v>
      </c>
      <c r="P14" s="13">
        <f>SUMIF(Mercado_Receita!$S$2:$S$483,"44652B1BrancaResidencialResidencialNão se aplicaNão se aplicaPonta",Mercado_Receita!$L$2:$L$483)</f>
        <v>0</v>
      </c>
      <c r="Q14" s="13">
        <f>SUMIF(Mercado_Receita!$S$2:$S$483,"44682B1BrancaResidencialResidencialNão se aplicaNão se aplicaPonta",Mercado_Receita!$L$2:$L$483)</f>
        <v>0</v>
      </c>
      <c r="R14" s="13">
        <f>SUMIF(Mercado_Receita!$S$2:$S$483,"44713B1BrancaResidencialResidencialNão se aplicaNão se aplicaPonta",Mercado_Receita!$L$2:$L$483)</f>
        <v>0</v>
      </c>
      <c r="S14" s="13">
        <f>SUMIF(Mercado_Receita!$S$2:$S$483,"44743B1BrancaResidencialResidencialNão se aplicaNão se aplicaPonta",Mercado_Receita!$L$2:$L$483)</f>
        <v>0</v>
      </c>
      <c r="T14" s="13">
        <f>SUMIF(Mercado_Receita!$S$2:$S$483,"44774B1BrancaResidencialResidencialNão se aplicaNão se aplicaPonta",Mercado_Receita!$L$2:$L$483)</f>
        <v>0</v>
      </c>
      <c r="U14" s="13">
        <f t="shared" si="0"/>
        <v>0</v>
      </c>
      <c r="V14" s="13"/>
      <c r="W14" s="13"/>
    </row>
    <row r="15" spans="1:30" ht="11.25" customHeight="1" x14ac:dyDescent="0.3">
      <c r="A15" s="77"/>
      <c r="B15" s="77"/>
      <c r="C15" s="77"/>
      <c r="D15" s="77"/>
      <c r="E15" s="77"/>
      <c r="F15" s="77"/>
      <c r="G15" s="13" t="s">
        <v>91</v>
      </c>
      <c r="H15" s="13" t="s">
        <v>79</v>
      </c>
      <c r="I15" s="13">
        <f>SUMIF(Mercado_Receita!$S$2:$S$483,"44440B1BrancaResidencialResidencialNão se aplicaNão se aplicaIntermediário",Mercado_Receita!$L$2:$L$483)</f>
        <v>0</v>
      </c>
      <c r="J15" s="13">
        <f>SUMIF(Mercado_Receita!$S$2:$S$483,"44470B1BrancaResidencialResidencialNão se aplicaNão se aplicaIntermediário",Mercado_Receita!$L$2:$L$483)</f>
        <v>0</v>
      </c>
      <c r="K15" s="13">
        <f>SUMIF(Mercado_Receita!$S$2:$S$483,"44501B1BrancaResidencialResidencialNão se aplicaNão se aplicaIntermediário",Mercado_Receita!$L$2:$L$483)</f>
        <v>0</v>
      </c>
      <c r="L15" s="13">
        <f>SUMIF(Mercado_Receita!$S$2:$S$483,"44531B1BrancaResidencialResidencialNão se aplicaNão se aplicaIntermediário",Mercado_Receita!$L$2:$L$483)</f>
        <v>0</v>
      </c>
      <c r="M15" s="13">
        <f>SUMIF(Mercado_Receita!$S$2:$S$483,"44562B1BrancaResidencialResidencialNão se aplicaNão se aplicaIntermediário",Mercado_Receita!$L$2:$L$483)</f>
        <v>0</v>
      </c>
      <c r="N15" s="13">
        <f>SUMIF(Mercado_Receita!$S$2:$S$483,"44593B1BrancaResidencialResidencialNão se aplicaNão se aplicaIntermediário",Mercado_Receita!$L$2:$L$483)</f>
        <v>0</v>
      </c>
      <c r="O15" s="13">
        <f>SUMIF(Mercado_Receita!$S$2:$S$483,"44621B1BrancaResidencialResidencialNão se aplicaNão se aplicaIntermediário",Mercado_Receita!$L$2:$L$483)</f>
        <v>0</v>
      </c>
      <c r="P15" s="13">
        <f>SUMIF(Mercado_Receita!$S$2:$S$483,"44652B1BrancaResidencialResidencialNão se aplicaNão se aplicaIntermediário",Mercado_Receita!$L$2:$L$483)</f>
        <v>0</v>
      </c>
      <c r="Q15" s="13">
        <f>SUMIF(Mercado_Receita!$S$2:$S$483,"44682B1BrancaResidencialResidencialNão se aplicaNão se aplicaIntermediário",Mercado_Receita!$L$2:$L$483)</f>
        <v>0</v>
      </c>
      <c r="R15" s="13">
        <f>SUMIF(Mercado_Receita!$S$2:$S$483,"44713B1BrancaResidencialResidencialNão se aplicaNão se aplicaIntermediário",Mercado_Receita!$L$2:$L$483)</f>
        <v>0</v>
      </c>
      <c r="S15" s="13">
        <f>SUMIF(Mercado_Receita!$S$2:$S$483,"44743B1BrancaResidencialResidencialNão se aplicaNão se aplicaIntermediário",Mercado_Receita!$L$2:$L$483)</f>
        <v>0</v>
      </c>
      <c r="T15" s="13">
        <f>SUMIF(Mercado_Receita!$S$2:$S$483,"44774B1BrancaResidencialResidencialNão se aplicaNão se aplicaIntermediário",Mercado_Receita!$L$2:$L$483)</f>
        <v>0</v>
      </c>
      <c r="U15" s="13">
        <f t="shared" si="0"/>
        <v>0</v>
      </c>
      <c r="V15" s="13"/>
      <c r="W15" s="13"/>
    </row>
    <row r="16" spans="1:30" ht="11.25" customHeight="1" x14ac:dyDescent="0.3">
      <c r="A16" s="77"/>
      <c r="B16" s="77"/>
      <c r="C16" s="77"/>
      <c r="D16" s="77"/>
      <c r="E16" s="77"/>
      <c r="F16" s="77"/>
      <c r="G16" s="13" t="s">
        <v>81</v>
      </c>
      <c r="H16" s="13" t="s">
        <v>79</v>
      </c>
      <c r="I16" s="13">
        <f>SUMIF(Mercado_Receita!$S$2:$S$483,"44440B1BrancaResidencialResidencialNão se aplicaNão se aplicaFora ponta",Mercado_Receita!$L$2:$L$483)</f>
        <v>0</v>
      </c>
      <c r="J16" s="13">
        <f>SUMIF(Mercado_Receita!$S$2:$S$483,"44470B1BrancaResidencialResidencialNão se aplicaNão se aplicaFora ponta",Mercado_Receita!$L$2:$L$483)</f>
        <v>0</v>
      </c>
      <c r="K16" s="13">
        <f>SUMIF(Mercado_Receita!$S$2:$S$483,"44501B1BrancaResidencialResidencialNão se aplicaNão se aplicaFora ponta",Mercado_Receita!$L$2:$L$483)</f>
        <v>0</v>
      </c>
      <c r="L16" s="13">
        <f>SUMIF(Mercado_Receita!$S$2:$S$483,"44531B1BrancaResidencialResidencialNão se aplicaNão se aplicaFora ponta",Mercado_Receita!$L$2:$L$483)</f>
        <v>0</v>
      </c>
      <c r="M16" s="13">
        <f>SUMIF(Mercado_Receita!$S$2:$S$483,"44562B1BrancaResidencialResidencialNão se aplicaNão se aplicaFora ponta",Mercado_Receita!$L$2:$L$483)</f>
        <v>0</v>
      </c>
      <c r="N16" s="13">
        <f>SUMIF(Mercado_Receita!$S$2:$S$483,"44593B1BrancaResidencialResidencialNão se aplicaNão se aplicaFora ponta",Mercado_Receita!$L$2:$L$483)</f>
        <v>0</v>
      </c>
      <c r="O16" s="13">
        <f>SUMIF(Mercado_Receita!$S$2:$S$483,"44621B1BrancaResidencialResidencialNão se aplicaNão se aplicaFora ponta",Mercado_Receita!$L$2:$L$483)</f>
        <v>0</v>
      </c>
      <c r="P16" s="13">
        <f>SUMIF(Mercado_Receita!$S$2:$S$483,"44652B1BrancaResidencialResidencialNão se aplicaNão se aplicaFora ponta",Mercado_Receita!$L$2:$L$483)</f>
        <v>0</v>
      </c>
      <c r="Q16" s="13">
        <f>SUMIF(Mercado_Receita!$S$2:$S$483,"44682B1BrancaResidencialResidencialNão se aplicaNão se aplicaFora ponta",Mercado_Receita!$L$2:$L$483)</f>
        <v>0</v>
      </c>
      <c r="R16" s="13">
        <f>SUMIF(Mercado_Receita!$S$2:$S$483,"44713B1BrancaResidencialResidencialNão se aplicaNão se aplicaFora ponta",Mercado_Receita!$L$2:$L$483)</f>
        <v>0</v>
      </c>
      <c r="S16" s="13">
        <f>SUMIF(Mercado_Receita!$S$2:$S$483,"44743B1BrancaResidencialResidencialNão se aplicaNão se aplicaFora ponta",Mercado_Receita!$L$2:$L$483)</f>
        <v>0</v>
      </c>
      <c r="T16" s="13">
        <f>SUMIF(Mercado_Receita!$S$2:$S$483,"44774B1BrancaResidencialResidencialNão se aplicaNão se aplicaFora ponta",Mercado_Receita!$L$2:$L$483)</f>
        <v>0</v>
      </c>
      <c r="U16" s="13">
        <f t="shared" si="0"/>
        <v>0</v>
      </c>
      <c r="V16" s="13"/>
      <c r="W16" s="13"/>
    </row>
    <row r="17" spans="1:23" ht="11.25" customHeight="1" x14ac:dyDescent="0.3">
      <c r="A17" s="77"/>
      <c r="B17" s="76" t="s">
        <v>23</v>
      </c>
      <c r="C17" s="76" t="s">
        <v>24</v>
      </c>
      <c r="D17" s="12" t="s">
        <v>24</v>
      </c>
      <c r="E17" s="12" t="s">
        <v>25</v>
      </c>
      <c r="F17" s="12" t="s">
        <v>25</v>
      </c>
      <c r="G17" s="13" t="s">
        <v>83</v>
      </c>
      <c r="H17" s="13" t="s">
        <v>79</v>
      </c>
      <c r="I17" s="13">
        <f>SUMIF(Mercado_Receita!$S$2:$S$483,"44440B1ConvencionalResidencialResidencialNão se aplicaNão se aplicaPonta",Mercado_Receita!$L$2:$L$483)+SUMIF(Mercado_Receita!$S$2:$S$483,"44440B1ConvencionalResidencialResidencialNão se aplicaNão se aplicaFora ponta",Mercado_Receita!$L$2:$L$483)+SUMIF(Mercado_Receita!$S$2:$S$483,"44440B1ConvencionalResidencialResidencialNão se aplicaNão se aplicaIntermediário",Mercado_Receita!$L$2:$L$483)+SUMIF(Mercado_Receita!$S$2:$S$483,"44440B1ConvencionalResidencialResidencialNão se aplicaNão se aplicaNão se aplica",Mercado_Receita!$L$2:$L$483)</f>
        <v>885.94099999999992</v>
      </c>
      <c r="J17" s="13">
        <f>SUMIF(Mercado_Receita!$S$2:$S$483,"44470B1ConvencionalResidencialResidencialNão se aplicaNão se aplicaPonta",Mercado_Receita!$L$2:$L$483)+SUMIF(Mercado_Receita!$S$2:$S$483,"44470B1ConvencionalResidencialResidencialNão se aplicaNão se aplicaFora ponta",Mercado_Receita!$L$2:$L$483)+SUMIF(Mercado_Receita!$S$2:$S$483,"44470B1ConvencionalResidencialResidencialNão se aplicaNão se aplicaIntermediário",Mercado_Receita!$L$2:$L$483)+SUMIF(Mercado_Receita!$S$2:$S$483,"44470B1ConvencionalResidencialResidencialNão se aplicaNão se aplicaNão se aplica",Mercado_Receita!$L$2:$L$483)</f>
        <v>869.23099999999999</v>
      </c>
      <c r="K17" s="13">
        <f>SUMIF(Mercado_Receita!$S$2:$S$483,"44501B1ConvencionalResidencialResidencialNão se aplicaNão se aplicaPonta",Mercado_Receita!$L$2:$L$483)+SUMIF(Mercado_Receita!$S$2:$S$483,"44501B1ConvencionalResidencialResidencialNão se aplicaNão se aplicaFora ponta",Mercado_Receita!$L$2:$L$483)+SUMIF(Mercado_Receita!$S$2:$S$483,"44501B1ConvencionalResidencialResidencialNão se aplicaNão se aplicaIntermediário",Mercado_Receita!$L$2:$L$483)+SUMIF(Mercado_Receita!$S$2:$S$483,"44501B1ConvencionalResidencialResidencialNão se aplicaNão se aplicaNão se aplica",Mercado_Receita!$L$2:$L$483)</f>
        <v>914.53600000000006</v>
      </c>
      <c r="L17" s="13">
        <f>SUMIF(Mercado_Receita!$S$2:$S$483,"44531B1ConvencionalResidencialResidencialNão se aplicaNão se aplicaPonta",Mercado_Receita!$L$2:$L$483)+SUMIF(Mercado_Receita!$S$2:$S$483,"44531B1ConvencionalResidencialResidencialNão se aplicaNão se aplicaFora ponta",Mercado_Receita!$L$2:$L$483)+SUMIF(Mercado_Receita!$S$2:$S$483,"44531B1ConvencionalResidencialResidencialNão se aplicaNão se aplicaIntermediário",Mercado_Receita!$L$2:$L$483)+SUMIF(Mercado_Receita!$S$2:$S$483,"44531B1ConvencionalResidencialResidencialNão se aplicaNão se aplicaNão se aplica",Mercado_Receita!$L$2:$L$483)</f>
        <v>849.40200000000004</v>
      </c>
      <c r="M17" s="13">
        <f>SUMIF(Mercado_Receita!$S$2:$S$483,"44562B1ConvencionalResidencialResidencialNão se aplicaNão se aplicaPonta",Mercado_Receita!$L$2:$L$483)+SUMIF(Mercado_Receita!$S$2:$S$483,"44562B1ConvencionalResidencialResidencialNão se aplicaNão se aplicaFora ponta",Mercado_Receita!$L$2:$L$483)+SUMIF(Mercado_Receita!$S$2:$S$483,"44562B1ConvencionalResidencialResidencialNão se aplicaNão se aplicaIntermediário",Mercado_Receita!$L$2:$L$483)+SUMIF(Mercado_Receita!$S$2:$S$483,"44562B1ConvencionalResidencialResidencialNão se aplicaNão se aplicaNão se aplica",Mercado_Receita!$L$2:$L$483)</f>
        <v>993.15000000000009</v>
      </c>
      <c r="N17" s="13">
        <f>SUMIF(Mercado_Receita!$S$2:$S$483,"44593B1ConvencionalResidencialResidencialNão se aplicaNão se aplicaPonta",Mercado_Receita!$L$2:$L$483)+SUMIF(Mercado_Receita!$S$2:$S$483,"44593B1ConvencionalResidencialResidencialNão se aplicaNão se aplicaFora ponta",Mercado_Receita!$L$2:$L$483)+SUMIF(Mercado_Receita!$S$2:$S$483,"44593B1ConvencionalResidencialResidencialNão se aplicaNão se aplicaIntermediário",Mercado_Receita!$L$2:$L$483)+SUMIF(Mercado_Receita!$S$2:$S$483,"44593B1ConvencionalResidencialResidencialNão se aplicaNão se aplicaNão se aplica",Mercado_Receita!$L$2:$L$483)</f>
        <v>1221.1659999999999</v>
      </c>
      <c r="O17" s="13">
        <f>SUMIF(Mercado_Receita!$S$2:$S$483,"44621B1ConvencionalResidencialResidencialNão se aplicaNão se aplicaPonta",Mercado_Receita!$L$2:$L$483)+SUMIF(Mercado_Receita!$S$2:$S$483,"44621B1ConvencionalResidencialResidencialNão se aplicaNão se aplicaFora ponta",Mercado_Receita!$L$2:$L$483)+SUMIF(Mercado_Receita!$S$2:$S$483,"44621B1ConvencionalResidencialResidencialNão se aplicaNão se aplicaIntermediário",Mercado_Receita!$L$2:$L$483)+SUMIF(Mercado_Receita!$S$2:$S$483,"44621B1ConvencionalResidencialResidencialNão se aplicaNão se aplicaNão se aplica",Mercado_Receita!$L$2:$L$483)</f>
        <v>1139.3499999999999</v>
      </c>
      <c r="P17" s="13">
        <f>SUMIF(Mercado_Receita!$S$2:$S$483,"44652B1ConvencionalResidencialResidencialNão se aplicaNão se aplicaPonta",Mercado_Receita!$L$2:$L$483)+SUMIF(Mercado_Receita!$S$2:$S$483,"44652B1ConvencionalResidencialResidencialNão se aplicaNão se aplicaFora ponta",Mercado_Receita!$L$2:$L$483)+SUMIF(Mercado_Receita!$S$2:$S$483,"44652B1ConvencionalResidencialResidencialNão se aplicaNão se aplicaIntermediário",Mercado_Receita!$L$2:$L$483)+SUMIF(Mercado_Receita!$S$2:$S$483,"44652B1ConvencionalResidencialResidencialNão se aplicaNão se aplicaNão se aplica",Mercado_Receita!$L$2:$L$483)</f>
        <v>717.20200000000011</v>
      </c>
      <c r="Q17" s="13">
        <f>SUMIF(Mercado_Receita!$S$2:$S$483,"44682B1ConvencionalResidencialResidencialNão se aplicaNão se aplicaPonta",Mercado_Receita!$L$2:$L$483)+SUMIF(Mercado_Receita!$S$2:$S$483,"44682B1ConvencionalResidencialResidencialNão se aplicaNão se aplicaFora ponta",Mercado_Receita!$L$2:$L$483)+SUMIF(Mercado_Receita!$S$2:$S$483,"44682B1ConvencionalResidencialResidencialNão se aplicaNão se aplicaIntermediário",Mercado_Receita!$L$2:$L$483)+SUMIF(Mercado_Receita!$S$2:$S$483,"44682B1ConvencionalResidencialResidencialNão se aplicaNão se aplicaNão se aplica",Mercado_Receita!$L$2:$L$483)</f>
        <v>805.31399999999996</v>
      </c>
      <c r="R17" s="13">
        <f>SUMIF(Mercado_Receita!$S$2:$S$483,"44713B1ConvencionalResidencialResidencialNão se aplicaNão se aplicaPonta",Mercado_Receita!$L$2:$L$483)+SUMIF(Mercado_Receita!$S$2:$S$483,"44713B1ConvencionalResidencialResidencialNão se aplicaNão se aplicaFora ponta",Mercado_Receita!$L$2:$L$483)+SUMIF(Mercado_Receita!$S$2:$S$483,"44713B1ConvencionalResidencialResidencialNão se aplicaNão se aplicaIntermediário",Mercado_Receita!$L$2:$L$483)+SUMIF(Mercado_Receita!$S$2:$S$483,"44713B1ConvencionalResidencialResidencialNão se aplicaNão se aplicaNão se aplica",Mercado_Receita!$L$2:$L$483)</f>
        <v>873.61700000000008</v>
      </c>
      <c r="S17" s="13">
        <f>SUMIF(Mercado_Receita!$S$2:$S$483,"44743B1ConvencionalResidencialResidencialNão se aplicaNão se aplicaPonta",Mercado_Receita!$L$2:$L$483)+SUMIF(Mercado_Receita!$S$2:$S$483,"44743B1ConvencionalResidencialResidencialNão se aplicaNão se aplicaFora ponta",Mercado_Receita!$L$2:$L$483)+SUMIF(Mercado_Receita!$S$2:$S$483,"44743B1ConvencionalResidencialResidencialNão se aplicaNão se aplicaIntermediário",Mercado_Receita!$L$2:$L$483)+SUMIF(Mercado_Receita!$S$2:$S$483,"44743B1ConvencionalResidencialResidencialNão se aplicaNão se aplicaNão se aplica",Mercado_Receita!$L$2:$L$483)</f>
        <v>850.53600000000006</v>
      </c>
      <c r="T17" s="13">
        <f>SUMIF(Mercado_Receita!$S$2:$S$483,"44774B1ConvencionalResidencialResidencialNão se aplicaNão se aplicaPonta",Mercado_Receita!$L$2:$L$483)+SUMIF(Mercado_Receita!$S$2:$S$483,"44774B1ConvencionalResidencialResidencialNão se aplicaNão se aplicaFora ponta",Mercado_Receita!$L$2:$L$483)+SUMIF(Mercado_Receita!$S$2:$S$483,"44774B1ConvencionalResidencialResidencialNão se aplicaNão se aplicaIntermediário",Mercado_Receita!$L$2:$L$483)+SUMIF(Mercado_Receita!$S$2:$S$483,"44774B1ConvencionalResidencialResidencialNão se aplicaNão se aplicaNão se aplica",Mercado_Receita!$L$2:$L$483)</f>
        <v>850.53600000000006</v>
      </c>
      <c r="U17" s="13">
        <f t="shared" si="0"/>
        <v>10969.981</v>
      </c>
      <c r="V17" s="13"/>
      <c r="W17" s="13"/>
    </row>
    <row r="18" spans="1:23" ht="11.25" customHeight="1" x14ac:dyDescent="0.3">
      <c r="A18" s="77"/>
      <c r="B18" s="77"/>
      <c r="C18" s="77"/>
      <c r="D18" s="12" t="s">
        <v>28</v>
      </c>
      <c r="E18" s="12" t="s">
        <v>25</v>
      </c>
      <c r="F18" s="12" t="s">
        <v>25</v>
      </c>
      <c r="G18" s="13" t="s">
        <v>83</v>
      </c>
      <c r="H18" s="13" t="s">
        <v>79</v>
      </c>
      <c r="I18" s="13">
        <f>SUMIF(Mercado_Receita!$S$2:$S$483,"44440B1ConvencionalResidencialResidencial baixa renda – faixa 01Não se aplicaNão se aplicaPonta",Mercado_Receita!$L$2:$L$483)+SUMIF(Mercado_Receita!$S$2:$S$483,"44440B1ConvencionalResidencialResidencial baixa renda – faixa 01Não se aplicaNão se aplicaFora ponta",Mercado_Receita!$L$2:$L$483)+SUMIF(Mercado_Receita!$S$2:$S$483,"44440B1ConvencionalResidencialResidencial baixa renda – faixa 01Não se aplicaNão se aplicaIntermediário",Mercado_Receita!$L$2:$L$483)+SUMIF(Mercado_Receita!$S$2:$S$483,"44440B1ConvencionalResidencialResidencial baixa renda – faixa 01Não se aplicaNão se aplicaNão se aplica",Mercado_Receita!$L$2:$L$483)</f>
        <v>5.58</v>
      </c>
      <c r="J18" s="13">
        <f>SUMIF(Mercado_Receita!$S$2:$S$483,"44470B1ConvencionalResidencialResidencial baixa renda – faixa 01Não se aplicaNão se aplicaPonta",Mercado_Receita!$L$2:$L$483)+SUMIF(Mercado_Receita!$S$2:$S$483,"44470B1ConvencionalResidencialResidencial baixa renda – faixa 01Não se aplicaNão se aplicaFora ponta",Mercado_Receita!$L$2:$L$483)+SUMIF(Mercado_Receita!$S$2:$S$483,"44470B1ConvencionalResidencialResidencial baixa renda – faixa 01Não se aplicaNão se aplicaIntermediário",Mercado_Receita!$L$2:$L$483)+SUMIF(Mercado_Receita!$S$2:$S$483,"44470B1ConvencionalResidencialResidencial baixa renda – faixa 01Não se aplicaNão se aplicaNão se aplica",Mercado_Receita!$L$2:$L$483)</f>
        <v>5.6550000000000002</v>
      </c>
      <c r="K18" s="13">
        <f>SUMIF(Mercado_Receita!$S$2:$S$483,"44501B1ConvencionalResidencialResidencial baixa renda – faixa 01Não se aplicaNão se aplicaPonta",Mercado_Receita!$L$2:$L$483)+SUMIF(Mercado_Receita!$S$2:$S$483,"44501B1ConvencionalResidencialResidencial baixa renda – faixa 01Não se aplicaNão se aplicaFora ponta",Mercado_Receita!$L$2:$L$483)+SUMIF(Mercado_Receita!$S$2:$S$483,"44501B1ConvencionalResidencialResidencial baixa renda – faixa 01Não se aplicaNão se aplicaIntermediário",Mercado_Receita!$L$2:$L$483)+SUMIF(Mercado_Receita!$S$2:$S$483,"44501B1ConvencionalResidencialResidencial baixa renda – faixa 01Não se aplicaNão se aplicaNão se aplica",Mercado_Receita!$L$2:$L$483)</f>
        <v>5.55</v>
      </c>
      <c r="L18" s="13">
        <f>SUMIF(Mercado_Receita!$S$2:$S$483,"44531B1ConvencionalResidencialResidencial baixa renda – faixa 01Não se aplicaNão se aplicaPonta",Mercado_Receita!$L$2:$L$483)+SUMIF(Mercado_Receita!$S$2:$S$483,"44531B1ConvencionalResidencialResidencial baixa renda – faixa 01Não se aplicaNão se aplicaFora ponta",Mercado_Receita!$L$2:$L$483)+SUMIF(Mercado_Receita!$S$2:$S$483,"44531B1ConvencionalResidencialResidencial baixa renda – faixa 01Não se aplicaNão se aplicaIntermediário",Mercado_Receita!$L$2:$L$483)+SUMIF(Mercado_Receita!$S$2:$S$483,"44531B1ConvencionalResidencialResidencial baixa renda – faixa 01Não se aplicaNão se aplicaNão se aplica",Mercado_Receita!$L$2:$L$483)</f>
        <v>5.58</v>
      </c>
      <c r="M18" s="13">
        <f>SUMIF(Mercado_Receita!$S$2:$S$483,"44562B1ConvencionalResidencialResidencial baixa renda – faixa 01Não se aplicaNão se aplicaPonta",Mercado_Receita!$L$2:$L$483)+SUMIF(Mercado_Receita!$S$2:$S$483,"44562B1ConvencionalResidencialResidencial baixa renda – faixa 01Não se aplicaNão se aplicaFora ponta",Mercado_Receita!$L$2:$L$483)+SUMIF(Mercado_Receita!$S$2:$S$483,"44562B1ConvencionalResidencialResidencial baixa renda – faixa 01Não se aplicaNão se aplicaIntermediário",Mercado_Receita!$L$2:$L$483)+SUMIF(Mercado_Receita!$S$2:$S$483,"44562B1ConvencionalResidencialResidencial baixa renda – faixa 01Não se aplicaNão se aplicaNão se aplica",Mercado_Receita!$L$2:$L$483)</f>
        <v>5.61</v>
      </c>
      <c r="N18" s="13">
        <f>SUMIF(Mercado_Receita!$S$2:$S$483,"44593B1ConvencionalResidencialResidencial baixa renda – faixa 01Não se aplicaNão se aplicaPonta",Mercado_Receita!$L$2:$L$483)+SUMIF(Mercado_Receita!$S$2:$S$483,"44593B1ConvencionalResidencialResidencial baixa renda – faixa 01Não se aplicaNão se aplicaFora ponta",Mercado_Receita!$L$2:$L$483)+SUMIF(Mercado_Receita!$S$2:$S$483,"44593B1ConvencionalResidencialResidencial baixa renda – faixa 01Não se aplicaNão se aplicaIntermediário",Mercado_Receita!$L$2:$L$483)+SUMIF(Mercado_Receita!$S$2:$S$483,"44593B1ConvencionalResidencialResidencial baixa renda – faixa 01Não se aplicaNão se aplicaNão se aplica",Mercado_Receita!$L$2:$L$483)</f>
        <v>8.19</v>
      </c>
      <c r="O18" s="13">
        <f>SUMIF(Mercado_Receita!$S$2:$S$483,"44621B1ConvencionalResidencialResidencial baixa renda – faixa 01Não se aplicaNão se aplicaPonta",Mercado_Receita!$L$2:$L$483)+SUMIF(Mercado_Receita!$S$2:$S$483,"44621B1ConvencionalResidencialResidencial baixa renda – faixa 01Não se aplicaNão se aplicaFora ponta",Mercado_Receita!$L$2:$L$483)+SUMIF(Mercado_Receita!$S$2:$S$483,"44621B1ConvencionalResidencialResidencial baixa renda – faixa 01Não se aplicaNão se aplicaIntermediário",Mercado_Receita!$L$2:$L$483)+SUMIF(Mercado_Receita!$S$2:$S$483,"44621B1ConvencionalResidencialResidencial baixa renda – faixa 01Não se aplicaNão se aplicaNão se aplica",Mercado_Receita!$L$2:$L$483)</f>
        <v>8.43</v>
      </c>
      <c r="P18" s="13">
        <f>SUMIF(Mercado_Receita!$S$2:$S$483,"44652B1ConvencionalResidencialResidencial baixa renda – faixa 01Não se aplicaNão se aplicaPonta",Mercado_Receita!$L$2:$L$483)+SUMIF(Mercado_Receita!$S$2:$S$483,"44652B1ConvencionalResidencialResidencial baixa renda – faixa 01Não se aplicaNão se aplicaFora ponta",Mercado_Receita!$L$2:$L$483)+SUMIF(Mercado_Receita!$S$2:$S$483,"44652B1ConvencionalResidencialResidencial baixa renda – faixa 01Não se aplicaNão se aplicaIntermediário",Mercado_Receita!$L$2:$L$483)+SUMIF(Mercado_Receita!$S$2:$S$483,"44652B1ConvencionalResidencialResidencial baixa renda – faixa 01Não se aplicaNão se aplicaNão se aplica",Mercado_Receita!$L$2:$L$483)</f>
        <v>8.64</v>
      </c>
      <c r="Q18" s="13">
        <f>SUMIF(Mercado_Receita!$S$2:$S$483,"44682B1ConvencionalResidencialResidencial baixa renda – faixa 01Não se aplicaNão se aplicaPonta",Mercado_Receita!$L$2:$L$483)+SUMIF(Mercado_Receita!$S$2:$S$483,"44682B1ConvencionalResidencialResidencial baixa renda – faixa 01Não se aplicaNão se aplicaFora ponta",Mercado_Receita!$L$2:$L$483)+SUMIF(Mercado_Receita!$S$2:$S$483,"44682B1ConvencionalResidencialResidencial baixa renda – faixa 01Não se aplicaNão se aplicaIntermediário",Mercado_Receita!$L$2:$L$483)+SUMIF(Mercado_Receita!$S$2:$S$483,"44682B1ConvencionalResidencialResidencial baixa renda – faixa 01Não se aplicaNão se aplicaNão se aplica",Mercado_Receita!$L$2:$L$483)</f>
        <v>9.39</v>
      </c>
      <c r="R18" s="13">
        <f>SUMIF(Mercado_Receita!$S$2:$S$483,"44713B1ConvencionalResidencialResidencial baixa renda – faixa 01Não se aplicaNão se aplicaPonta",Mercado_Receita!$L$2:$L$483)+SUMIF(Mercado_Receita!$S$2:$S$483,"44713B1ConvencionalResidencialResidencial baixa renda – faixa 01Não se aplicaNão se aplicaFora ponta",Mercado_Receita!$L$2:$L$483)+SUMIF(Mercado_Receita!$S$2:$S$483,"44713B1ConvencionalResidencialResidencial baixa renda – faixa 01Não se aplicaNão se aplicaIntermediário",Mercado_Receita!$L$2:$L$483)+SUMIF(Mercado_Receita!$S$2:$S$483,"44713B1ConvencionalResidencialResidencial baixa renda – faixa 01Não se aplicaNão se aplicaNão se aplica",Mercado_Receita!$L$2:$L$483)</f>
        <v>9</v>
      </c>
      <c r="S18" s="13">
        <f>SUMIF(Mercado_Receita!$S$2:$S$483,"44743B1ConvencionalResidencialResidencial baixa renda – faixa 01Não se aplicaNão se aplicaPonta",Mercado_Receita!$L$2:$L$483)+SUMIF(Mercado_Receita!$S$2:$S$483,"44743B1ConvencionalResidencialResidencial baixa renda – faixa 01Não se aplicaNão se aplicaFora ponta",Mercado_Receita!$L$2:$L$483)+SUMIF(Mercado_Receita!$S$2:$S$483,"44743B1ConvencionalResidencialResidencial baixa renda – faixa 01Não se aplicaNão se aplicaIntermediário",Mercado_Receita!$L$2:$L$483)+SUMIF(Mercado_Receita!$S$2:$S$483,"44743B1ConvencionalResidencialResidencial baixa renda – faixa 01Não se aplicaNão se aplicaNão se aplica",Mercado_Receita!$L$2:$L$483)</f>
        <v>7.83</v>
      </c>
      <c r="T18" s="13">
        <f>SUMIF(Mercado_Receita!$S$2:$S$483,"44774B1ConvencionalResidencialResidencial baixa renda – faixa 01Não se aplicaNão se aplicaPonta",Mercado_Receita!$L$2:$L$483)+SUMIF(Mercado_Receita!$S$2:$S$483,"44774B1ConvencionalResidencialResidencial baixa renda – faixa 01Não se aplicaNão se aplicaFora ponta",Mercado_Receita!$L$2:$L$483)+SUMIF(Mercado_Receita!$S$2:$S$483,"44774B1ConvencionalResidencialResidencial baixa renda – faixa 01Não se aplicaNão se aplicaIntermediário",Mercado_Receita!$L$2:$L$483)+SUMIF(Mercado_Receita!$S$2:$S$483,"44774B1ConvencionalResidencialResidencial baixa renda – faixa 01Não se aplicaNão se aplicaNão se aplica",Mercado_Receita!$L$2:$L$483)</f>
        <v>7.83</v>
      </c>
      <c r="U18" s="13">
        <f t="shared" si="0"/>
        <v>87.284999999999997</v>
      </c>
      <c r="V18" s="13"/>
      <c r="W18" s="13"/>
    </row>
    <row r="19" spans="1:23" ht="11.25" customHeight="1" x14ac:dyDescent="0.3">
      <c r="A19" s="77"/>
      <c r="B19" s="77"/>
      <c r="C19" s="77"/>
      <c r="D19" s="12" t="s">
        <v>29</v>
      </c>
      <c r="E19" s="12" t="s">
        <v>25</v>
      </c>
      <c r="F19" s="12" t="s">
        <v>25</v>
      </c>
      <c r="G19" s="13" t="s">
        <v>83</v>
      </c>
      <c r="H19" s="13" t="s">
        <v>79</v>
      </c>
      <c r="I19" s="13">
        <f>SUMIF(Mercado_Receita!$S$2:$S$483,"44440B1ConvencionalResidencialResidencial baixa renda – faixa 02Não se aplicaNão se aplicaPonta",Mercado_Receita!$L$2:$L$483)+SUMIF(Mercado_Receita!$S$2:$S$483,"44440B1ConvencionalResidencialResidencial baixa renda – faixa 02Não se aplicaNão se aplicaFora ponta",Mercado_Receita!$L$2:$L$483)+SUMIF(Mercado_Receita!$S$2:$S$483,"44440B1ConvencionalResidencialResidencial baixa renda – faixa 02Não se aplicaNão se aplicaIntermediário",Mercado_Receita!$L$2:$L$483)+SUMIF(Mercado_Receita!$S$2:$S$483,"44440B1ConvencionalResidencialResidencial baixa renda – faixa 02Não se aplicaNão se aplicaNão se aplica",Mercado_Receita!$L$2:$L$483)</f>
        <v>11.752000000000001</v>
      </c>
      <c r="J19" s="13">
        <f>SUMIF(Mercado_Receita!$S$2:$S$483,"44470B1ConvencionalResidencialResidencial baixa renda – faixa 02Não se aplicaNão se aplicaPonta",Mercado_Receita!$L$2:$L$483)+SUMIF(Mercado_Receita!$S$2:$S$483,"44470B1ConvencionalResidencialResidencial baixa renda – faixa 02Não se aplicaNão se aplicaFora ponta",Mercado_Receita!$L$2:$L$483)+SUMIF(Mercado_Receita!$S$2:$S$483,"44470B1ConvencionalResidencialResidencial baixa renda – faixa 02Não se aplicaNão se aplicaIntermediário",Mercado_Receita!$L$2:$L$483)+SUMIF(Mercado_Receita!$S$2:$S$483,"44470B1ConvencionalResidencialResidencial baixa renda – faixa 02Não se aplicaNão se aplicaNão se aplica",Mercado_Receita!$L$2:$L$483)</f>
        <v>11.974</v>
      </c>
      <c r="K19" s="13">
        <f>SUMIF(Mercado_Receita!$S$2:$S$483,"44501B1ConvencionalResidencialResidencial baixa renda – faixa 02Não se aplicaNão se aplicaPonta",Mercado_Receita!$L$2:$L$483)+SUMIF(Mercado_Receita!$S$2:$S$483,"44501B1ConvencionalResidencialResidencial baixa renda – faixa 02Não se aplicaNão se aplicaFora ponta",Mercado_Receita!$L$2:$L$483)+SUMIF(Mercado_Receita!$S$2:$S$483,"44501B1ConvencionalResidencialResidencial baixa renda – faixa 02Não se aplicaNão se aplicaIntermediário",Mercado_Receita!$L$2:$L$483)+SUMIF(Mercado_Receita!$S$2:$S$483,"44501B1ConvencionalResidencialResidencial baixa renda – faixa 02Não se aplicaNão se aplicaNão se aplica",Mercado_Receita!$L$2:$L$483)</f>
        <v>12.063000000000001</v>
      </c>
      <c r="L19" s="13">
        <f>SUMIF(Mercado_Receita!$S$2:$S$483,"44531B1ConvencionalResidencialResidencial baixa renda – faixa 02Não se aplicaNão se aplicaPonta",Mercado_Receita!$L$2:$L$483)+SUMIF(Mercado_Receita!$S$2:$S$483,"44531B1ConvencionalResidencialResidencial baixa renda – faixa 02Não se aplicaNão se aplicaFora ponta",Mercado_Receita!$L$2:$L$483)+SUMIF(Mercado_Receita!$S$2:$S$483,"44531B1ConvencionalResidencialResidencial baixa renda – faixa 02Não se aplicaNão se aplicaIntermediário",Mercado_Receita!$L$2:$L$483)+SUMIF(Mercado_Receita!$S$2:$S$483,"44531B1ConvencionalResidencialResidencial baixa renda – faixa 02Não se aplicaNão se aplicaNão se aplica",Mercado_Receita!$L$2:$L$483)</f>
        <v>11.632</v>
      </c>
      <c r="M19" s="13">
        <f>SUMIF(Mercado_Receita!$S$2:$S$483,"44562B1ConvencionalResidencialResidencial baixa renda – faixa 02Não se aplicaNão se aplicaPonta",Mercado_Receita!$L$2:$L$483)+SUMIF(Mercado_Receita!$S$2:$S$483,"44562B1ConvencionalResidencialResidencial baixa renda – faixa 02Não se aplicaNão se aplicaFora ponta",Mercado_Receita!$L$2:$L$483)+SUMIF(Mercado_Receita!$S$2:$S$483,"44562B1ConvencionalResidencialResidencial baixa renda – faixa 02Não se aplicaNão se aplicaIntermediário",Mercado_Receita!$L$2:$L$483)+SUMIF(Mercado_Receita!$S$2:$S$483,"44562B1ConvencionalResidencialResidencial baixa renda – faixa 02Não se aplicaNão se aplicaNão se aplica",Mercado_Receita!$L$2:$L$483)</f>
        <v>11.725</v>
      </c>
      <c r="N19" s="13">
        <f>SUMIF(Mercado_Receita!$S$2:$S$483,"44593B1ConvencionalResidencialResidencial baixa renda – faixa 02Não se aplicaNão se aplicaPonta",Mercado_Receita!$L$2:$L$483)+SUMIF(Mercado_Receita!$S$2:$S$483,"44593B1ConvencionalResidencialResidencial baixa renda – faixa 02Não se aplicaNão se aplicaFora ponta",Mercado_Receita!$L$2:$L$483)+SUMIF(Mercado_Receita!$S$2:$S$483,"44593B1ConvencionalResidencialResidencial baixa renda – faixa 02Não se aplicaNão se aplicaIntermediário",Mercado_Receita!$L$2:$L$483)+SUMIF(Mercado_Receita!$S$2:$S$483,"44593B1ConvencionalResidencialResidencial baixa renda – faixa 02Não se aplicaNão se aplicaNão se aplica",Mercado_Receita!$L$2:$L$483)</f>
        <v>17.297000000000001</v>
      </c>
      <c r="O19" s="13">
        <f>SUMIF(Mercado_Receita!$S$2:$S$483,"44621B1ConvencionalResidencialResidencial baixa renda – faixa 02Não se aplicaNão se aplicaPonta",Mercado_Receita!$L$2:$L$483)+SUMIF(Mercado_Receita!$S$2:$S$483,"44621B1ConvencionalResidencialResidencial baixa renda – faixa 02Não se aplicaNão se aplicaFora ponta",Mercado_Receita!$L$2:$L$483)+SUMIF(Mercado_Receita!$S$2:$S$483,"44621B1ConvencionalResidencialResidencial baixa renda – faixa 02Não se aplicaNão se aplicaIntermediário",Mercado_Receita!$L$2:$L$483)+SUMIF(Mercado_Receita!$S$2:$S$483,"44621B1ConvencionalResidencialResidencial baixa renda – faixa 02Não se aplicaNão se aplicaNão se aplica",Mercado_Receita!$L$2:$L$483)</f>
        <v>17.948</v>
      </c>
      <c r="P19" s="13">
        <f>SUMIF(Mercado_Receita!$S$2:$S$483,"44652B1ConvencionalResidencialResidencial baixa renda – faixa 02Não se aplicaNão se aplicaPonta",Mercado_Receita!$L$2:$L$483)+SUMIF(Mercado_Receita!$S$2:$S$483,"44652B1ConvencionalResidencialResidencial baixa renda – faixa 02Não se aplicaNão se aplicaFora ponta",Mercado_Receita!$L$2:$L$483)+SUMIF(Mercado_Receita!$S$2:$S$483,"44652B1ConvencionalResidencialResidencial baixa renda – faixa 02Não se aplicaNão se aplicaIntermediário",Mercado_Receita!$L$2:$L$483)+SUMIF(Mercado_Receita!$S$2:$S$483,"44652B1ConvencionalResidencialResidencial baixa renda – faixa 02Não se aplicaNão se aplicaNão se aplica",Mercado_Receita!$L$2:$L$483)</f>
        <v>18.116</v>
      </c>
      <c r="Q19" s="13">
        <f>SUMIF(Mercado_Receita!$S$2:$S$483,"44682B1ConvencionalResidencialResidencial baixa renda – faixa 02Não se aplicaNão se aplicaPonta",Mercado_Receita!$L$2:$L$483)+SUMIF(Mercado_Receita!$S$2:$S$483,"44682B1ConvencionalResidencialResidencial baixa renda – faixa 02Não se aplicaNão se aplicaFora ponta",Mercado_Receita!$L$2:$L$483)+SUMIF(Mercado_Receita!$S$2:$S$483,"44682B1ConvencionalResidencialResidencial baixa renda – faixa 02Não se aplicaNão se aplicaIntermediário",Mercado_Receita!$L$2:$L$483)+SUMIF(Mercado_Receita!$S$2:$S$483,"44682B1ConvencionalResidencialResidencial baixa renda – faixa 02Não se aplicaNão se aplicaNão se aplica",Mercado_Receita!$L$2:$L$483)</f>
        <v>19.456</v>
      </c>
      <c r="R19" s="13">
        <f>SUMIF(Mercado_Receita!$S$2:$S$483,"44713B1ConvencionalResidencialResidencial baixa renda – faixa 02Não se aplicaNão se aplicaPonta",Mercado_Receita!$L$2:$L$483)+SUMIF(Mercado_Receita!$S$2:$S$483,"44713B1ConvencionalResidencialResidencial baixa renda – faixa 02Não se aplicaNão se aplicaFora ponta",Mercado_Receita!$L$2:$L$483)+SUMIF(Mercado_Receita!$S$2:$S$483,"44713B1ConvencionalResidencialResidencial baixa renda – faixa 02Não se aplicaNão se aplicaIntermediário",Mercado_Receita!$L$2:$L$483)+SUMIF(Mercado_Receita!$S$2:$S$483,"44713B1ConvencionalResidencialResidencial baixa renda – faixa 02Não se aplicaNão se aplicaNão se aplica",Mercado_Receita!$L$2:$L$483)</f>
        <v>18.814</v>
      </c>
      <c r="S19" s="13">
        <f>SUMIF(Mercado_Receita!$S$2:$S$483,"44743B1ConvencionalResidencialResidencial baixa renda – faixa 02Não se aplicaNão se aplicaPonta",Mercado_Receita!$L$2:$L$483)+SUMIF(Mercado_Receita!$S$2:$S$483,"44743B1ConvencionalResidencialResidencial baixa renda – faixa 02Não se aplicaNão se aplicaFora ponta",Mercado_Receita!$L$2:$L$483)+SUMIF(Mercado_Receita!$S$2:$S$483,"44743B1ConvencionalResidencialResidencial baixa renda – faixa 02Não se aplicaNão se aplicaIntermediário",Mercado_Receita!$L$2:$L$483)+SUMIF(Mercado_Receita!$S$2:$S$483,"44743B1ConvencionalResidencialResidencial baixa renda – faixa 02Não se aplicaNão se aplicaNão se aplica",Mercado_Receita!$L$2:$L$483)</f>
        <v>16.195</v>
      </c>
      <c r="T19" s="13">
        <f>SUMIF(Mercado_Receita!$S$2:$S$483,"44774B1ConvencionalResidencialResidencial baixa renda – faixa 02Não se aplicaNão se aplicaPonta",Mercado_Receita!$L$2:$L$483)+SUMIF(Mercado_Receita!$S$2:$S$483,"44774B1ConvencionalResidencialResidencial baixa renda – faixa 02Não se aplicaNão se aplicaFora ponta",Mercado_Receita!$L$2:$L$483)+SUMIF(Mercado_Receita!$S$2:$S$483,"44774B1ConvencionalResidencialResidencial baixa renda – faixa 02Não se aplicaNão se aplicaIntermediário",Mercado_Receita!$L$2:$L$483)+SUMIF(Mercado_Receita!$S$2:$S$483,"44774B1ConvencionalResidencialResidencial baixa renda – faixa 02Não se aplicaNão se aplicaNão se aplica",Mercado_Receita!$L$2:$L$483)</f>
        <v>16.195</v>
      </c>
      <c r="U19" s="13">
        <f t="shared" si="0"/>
        <v>183.16699999999997</v>
      </c>
      <c r="V19" s="13"/>
      <c r="W19" s="13"/>
    </row>
    <row r="20" spans="1:23" ht="11.25" customHeight="1" x14ac:dyDescent="0.3">
      <c r="A20" s="77"/>
      <c r="B20" s="77"/>
      <c r="C20" s="77"/>
      <c r="D20" s="12" t="s">
        <v>30</v>
      </c>
      <c r="E20" s="12" t="s">
        <v>25</v>
      </c>
      <c r="F20" s="12" t="s">
        <v>25</v>
      </c>
      <c r="G20" s="13" t="s">
        <v>83</v>
      </c>
      <c r="H20" s="13" t="s">
        <v>79</v>
      </c>
      <c r="I20" s="13">
        <f>SUMIF(Mercado_Receita!$S$2:$S$483,"44440B1ConvencionalResidencialResidencial baixa renda – faixa 03Não se aplicaNão se aplicaPonta",Mercado_Receita!$L$2:$L$483)+SUMIF(Mercado_Receita!$S$2:$S$483,"44440B1ConvencionalResidencialResidencial baixa renda – faixa 03Não se aplicaNão se aplicaFora ponta",Mercado_Receita!$L$2:$L$483)+SUMIF(Mercado_Receita!$S$2:$S$483,"44440B1ConvencionalResidencialResidencial baixa renda – faixa 03Não se aplicaNão se aplicaIntermediário",Mercado_Receita!$L$2:$L$483)+SUMIF(Mercado_Receita!$S$2:$S$483,"44440B1ConvencionalResidencialResidencial baixa renda – faixa 03Não se aplicaNão se aplicaNão se aplica",Mercado_Receita!$L$2:$L$483)</f>
        <v>12.407999999999999</v>
      </c>
      <c r="J20" s="13">
        <f>SUMIF(Mercado_Receita!$S$2:$S$483,"44470B1ConvencionalResidencialResidencial baixa renda – faixa 03Não se aplicaNão se aplicaPonta",Mercado_Receita!$L$2:$L$483)+SUMIF(Mercado_Receita!$S$2:$S$483,"44470B1ConvencionalResidencialResidencial baixa renda – faixa 03Não se aplicaNão se aplicaFora ponta",Mercado_Receita!$L$2:$L$483)+SUMIF(Mercado_Receita!$S$2:$S$483,"44470B1ConvencionalResidencialResidencial baixa renda – faixa 03Não se aplicaNão se aplicaIntermediário",Mercado_Receita!$L$2:$L$483)+SUMIF(Mercado_Receita!$S$2:$S$483,"44470B1ConvencionalResidencialResidencial baixa renda – faixa 03Não se aplicaNão se aplicaNão se aplica",Mercado_Receita!$L$2:$L$483)</f>
        <v>12.455</v>
      </c>
      <c r="K20" s="13">
        <f>SUMIF(Mercado_Receita!$S$2:$S$483,"44501B1ConvencionalResidencialResidencial baixa renda – faixa 03Não se aplicaNão se aplicaPonta",Mercado_Receita!$L$2:$L$483)+SUMIF(Mercado_Receita!$S$2:$S$483,"44501B1ConvencionalResidencialResidencial baixa renda – faixa 03Não se aplicaNão se aplicaFora ponta",Mercado_Receita!$L$2:$L$483)+SUMIF(Mercado_Receita!$S$2:$S$483,"44501B1ConvencionalResidencialResidencial baixa renda – faixa 03Não se aplicaNão se aplicaIntermediário",Mercado_Receita!$L$2:$L$483)+SUMIF(Mercado_Receita!$S$2:$S$483,"44501B1ConvencionalResidencialResidencial baixa renda – faixa 03Não se aplicaNão se aplicaNão se aplica",Mercado_Receita!$L$2:$L$483)</f>
        <v>13.506</v>
      </c>
      <c r="L20" s="13">
        <f>SUMIF(Mercado_Receita!$S$2:$S$483,"44531B1ConvencionalResidencialResidencial baixa renda – faixa 03Não se aplicaNão se aplicaPonta",Mercado_Receita!$L$2:$L$483)+SUMIF(Mercado_Receita!$S$2:$S$483,"44531B1ConvencionalResidencialResidencial baixa renda – faixa 03Não se aplicaNão se aplicaFora ponta",Mercado_Receita!$L$2:$L$483)+SUMIF(Mercado_Receita!$S$2:$S$483,"44531B1ConvencionalResidencialResidencial baixa renda – faixa 03Não se aplicaNão se aplicaIntermediário",Mercado_Receita!$L$2:$L$483)+SUMIF(Mercado_Receita!$S$2:$S$483,"44531B1ConvencionalResidencialResidencial baixa renda – faixa 03Não se aplicaNão se aplicaNão se aplica",Mercado_Receita!$L$2:$L$483)</f>
        <v>11.481999999999999</v>
      </c>
      <c r="M20" s="13">
        <f>SUMIF(Mercado_Receita!$S$2:$S$483,"44562B1ConvencionalResidencialResidencial baixa renda – faixa 03Não se aplicaNão se aplicaPonta",Mercado_Receita!$L$2:$L$483)+SUMIF(Mercado_Receita!$S$2:$S$483,"44562B1ConvencionalResidencialResidencial baixa renda – faixa 03Não se aplicaNão se aplicaFora ponta",Mercado_Receita!$L$2:$L$483)+SUMIF(Mercado_Receita!$S$2:$S$483,"44562B1ConvencionalResidencialResidencial baixa renda – faixa 03Não se aplicaNão se aplicaIntermediário",Mercado_Receita!$L$2:$L$483)+SUMIF(Mercado_Receita!$S$2:$S$483,"44562B1ConvencionalResidencialResidencial baixa renda – faixa 03Não se aplicaNão se aplicaNão se aplica",Mercado_Receita!$L$2:$L$483)</f>
        <v>13.247999999999999</v>
      </c>
      <c r="N20" s="13">
        <f>SUMIF(Mercado_Receita!$S$2:$S$483,"44593B1ConvencionalResidencialResidencial baixa renda – faixa 03Não se aplicaNão se aplicaPonta",Mercado_Receita!$L$2:$L$483)+SUMIF(Mercado_Receita!$S$2:$S$483,"44593B1ConvencionalResidencialResidencial baixa renda – faixa 03Não se aplicaNão se aplicaFora ponta",Mercado_Receita!$L$2:$L$483)+SUMIF(Mercado_Receita!$S$2:$S$483,"44593B1ConvencionalResidencialResidencial baixa renda – faixa 03Não se aplicaNão se aplicaIntermediário",Mercado_Receita!$L$2:$L$483)+SUMIF(Mercado_Receita!$S$2:$S$483,"44593B1ConvencionalResidencialResidencial baixa renda – faixa 03Não se aplicaNão se aplicaNão se aplica",Mercado_Receita!$L$2:$L$483)</f>
        <v>22.48</v>
      </c>
      <c r="O20" s="13">
        <f>SUMIF(Mercado_Receita!$S$2:$S$483,"44621B1ConvencionalResidencialResidencial baixa renda – faixa 03Não se aplicaNão se aplicaPonta",Mercado_Receita!$L$2:$L$483)+SUMIF(Mercado_Receita!$S$2:$S$483,"44621B1ConvencionalResidencialResidencial baixa renda – faixa 03Não se aplicaNão se aplicaFora ponta",Mercado_Receita!$L$2:$L$483)+SUMIF(Mercado_Receita!$S$2:$S$483,"44621B1ConvencionalResidencialResidencial baixa renda – faixa 03Não se aplicaNão se aplicaIntermediário",Mercado_Receita!$L$2:$L$483)+SUMIF(Mercado_Receita!$S$2:$S$483,"44621B1ConvencionalResidencialResidencial baixa renda – faixa 03Não se aplicaNão se aplicaNão se aplica",Mercado_Receita!$L$2:$L$483)</f>
        <v>21.47</v>
      </c>
      <c r="P20" s="13">
        <f>SUMIF(Mercado_Receita!$S$2:$S$483,"44652B1ConvencionalResidencialResidencial baixa renda – faixa 03Não se aplicaNão se aplicaPonta",Mercado_Receita!$L$2:$L$483)+SUMIF(Mercado_Receita!$S$2:$S$483,"44652B1ConvencionalResidencialResidencial baixa renda – faixa 03Não se aplicaNão se aplicaFora ponta",Mercado_Receita!$L$2:$L$483)+SUMIF(Mercado_Receita!$S$2:$S$483,"44652B1ConvencionalResidencialResidencial baixa renda – faixa 03Não se aplicaNão se aplicaIntermediário",Mercado_Receita!$L$2:$L$483)+SUMIF(Mercado_Receita!$S$2:$S$483,"44652B1ConvencionalResidencialResidencial baixa renda – faixa 03Não se aplicaNão se aplicaNão se aplica",Mercado_Receita!$L$2:$L$483)</f>
        <v>18.599</v>
      </c>
      <c r="Q20" s="13">
        <f>SUMIF(Mercado_Receita!$S$2:$S$483,"44682B1ConvencionalResidencialResidencial baixa renda – faixa 03Não se aplicaNão se aplicaPonta",Mercado_Receita!$L$2:$L$483)+SUMIF(Mercado_Receita!$S$2:$S$483,"44682B1ConvencionalResidencialResidencial baixa renda – faixa 03Não se aplicaNão se aplicaFora ponta",Mercado_Receita!$L$2:$L$483)+SUMIF(Mercado_Receita!$S$2:$S$483,"44682B1ConvencionalResidencialResidencial baixa renda – faixa 03Não se aplicaNão se aplicaIntermediário",Mercado_Receita!$L$2:$L$483)+SUMIF(Mercado_Receita!$S$2:$S$483,"44682B1ConvencionalResidencialResidencial baixa renda – faixa 03Não se aplicaNão se aplicaNão se aplica",Mercado_Receita!$L$2:$L$483)</f>
        <v>19.41</v>
      </c>
      <c r="R20" s="13">
        <f>SUMIF(Mercado_Receita!$S$2:$S$483,"44713B1ConvencionalResidencialResidencial baixa renda – faixa 03Não se aplicaNão se aplicaPonta",Mercado_Receita!$L$2:$L$483)+SUMIF(Mercado_Receita!$S$2:$S$483,"44713B1ConvencionalResidencialResidencial baixa renda – faixa 03Não se aplicaNão se aplicaFora ponta",Mercado_Receita!$L$2:$L$483)+SUMIF(Mercado_Receita!$S$2:$S$483,"44713B1ConvencionalResidencialResidencial baixa renda – faixa 03Não se aplicaNão se aplicaIntermediário",Mercado_Receita!$L$2:$L$483)+SUMIF(Mercado_Receita!$S$2:$S$483,"44713B1ConvencionalResidencialResidencial baixa renda – faixa 03Não se aplicaNão se aplicaNão se aplica",Mercado_Receita!$L$2:$L$483)</f>
        <v>20.244</v>
      </c>
      <c r="S20" s="13">
        <f>SUMIF(Mercado_Receita!$S$2:$S$483,"44743B1ConvencionalResidencialResidencial baixa renda – faixa 03Não se aplicaNão se aplicaPonta",Mercado_Receita!$L$2:$L$483)+SUMIF(Mercado_Receita!$S$2:$S$483,"44743B1ConvencionalResidencialResidencial baixa renda – faixa 03Não se aplicaNão se aplicaFora ponta",Mercado_Receita!$L$2:$L$483)+SUMIF(Mercado_Receita!$S$2:$S$483,"44743B1ConvencionalResidencialResidencial baixa renda – faixa 03Não se aplicaNão se aplicaIntermediário",Mercado_Receita!$L$2:$L$483)+SUMIF(Mercado_Receita!$S$2:$S$483,"44743B1ConvencionalResidencialResidencial baixa renda – faixa 03Não se aplicaNão se aplicaNão se aplica",Mercado_Receita!$L$2:$L$483)</f>
        <v>17.539000000000001</v>
      </c>
      <c r="T20" s="13">
        <f>SUMIF(Mercado_Receita!$S$2:$S$483,"44774B1ConvencionalResidencialResidencial baixa renda – faixa 03Não se aplicaNão se aplicaPonta",Mercado_Receita!$L$2:$L$483)+SUMIF(Mercado_Receita!$S$2:$S$483,"44774B1ConvencionalResidencialResidencial baixa renda – faixa 03Não se aplicaNão se aplicaFora ponta",Mercado_Receita!$L$2:$L$483)+SUMIF(Mercado_Receita!$S$2:$S$483,"44774B1ConvencionalResidencialResidencial baixa renda – faixa 03Não se aplicaNão se aplicaIntermediário",Mercado_Receita!$L$2:$L$483)+SUMIF(Mercado_Receita!$S$2:$S$483,"44774B1ConvencionalResidencialResidencial baixa renda – faixa 03Não se aplicaNão se aplicaNão se aplica",Mercado_Receita!$L$2:$L$483)</f>
        <v>17.539000000000001</v>
      </c>
      <c r="U20" s="13">
        <f t="shared" si="0"/>
        <v>200.38</v>
      </c>
      <c r="V20" s="13"/>
      <c r="W20" s="13"/>
    </row>
    <row r="21" spans="1:23" ht="11.25" customHeight="1" x14ac:dyDescent="0.3">
      <c r="A21" s="77"/>
      <c r="B21" s="77"/>
      <c r="C21" s="77"/>
      <c r="D21" s="12" t="s">
        <v>31</v>
      </c>
      <c r="E21" s="12" t="s">
        <v>25</v>
      </c>
      <c r="F21" s="12" t="s">
        <v>25</v>
      </c>
      <c r="G21" s="13" t="s">
        <v>83</v>
      </c>
      <c r="H21" s="13" t="s">
        <v>79</v>
      </c>
      <c r="I21" s="13">
        <f>SUMIF(Mercado_Receita!$S$2:$S$483,"44440B1ConvencionalResidencialResidencial baixa renda – faixa 04Não se aplicaNão se aplicaPonta",Mercado_Receita!$L$2:$L$483)+SUMIF(Mercado_Receita!$S$2:$S$483,"44440B1ConvencionalResidencialResidencial baixa renda – faixa 04Não se aplicaNão se aplicaFora ponta",Mercado_Receita!$L$2:$L$483)+SUMIF(Mercado_Receita!$S$2:$S$483,"44440B1ConvencionalResidencialResidencial baixa renda – faixa 04Não se aplicaNão se aplicaIntermediário",Mercado_Receita!$L$2:$L$483)+SUMIF(Mercado_Receita!$S$2:$S$483,"44440B1ConvencionalResidencialResidencial baixa renda – faixa 04Não se aplicaNão se aplicaNão se aplica",Mercado_Receita!$L$2:$L$483)</f>
        <v>3.452</v>
      </c>
      <c r="J21" s="13">
        <f>SUMIF(Mercado_Receita!$S$2:$S$483,"44470B1ConvencionalResidencialResidencial baixa renda – faixa 04Não se aplicaNão se aplicaPonta",Mercado_Receita!$L$2:$L$483)+SUMIF(Mercado_Receita!$S$2:$S$483,"44470B1ConvencionalResidencialResidencial baixa renda – faixa 04Não se aplicaNão se aplicaFora ponta",Mercado_Receita!$L$2:$L$483)+SUMIF(Mercado_Receita!$S$2:$S$483,"44470B1ConvencionalResidencialResidencial baixa renda – faixa 04Não se aplicaNão se aplicaIntermediário",Mercado_Receita!$L$2:$L$483)+SUMIF(Mercado_Receita!$S$2:$S$483,"44470B1ConvencionalResidencialResidencial baixa renda – faixa 04Não se aplicaNão se aplicaNão se aplica",Mercado_Receita!$L$2:$L$483)</f>
        <v>4.0410000000000004</v>
      </c>
      <c r="K21" s="13">
        <f>SUMIF(Mercado_Receita!$S$2:$S$483,"44501B1ConvencionalResidencialResidencial baixa renda – faixa 04Não se aplicaNão se aplicaPonta",Mercado_Receita!$L$2:$L$483)+SUMIF(Mercado_Receita!$S$2:$S$483,"44501B1ConvencionalResidencialResidencial baixa renda – faixa 04Não se aplicaNão se aplicaFora ponta",Mercado_Receita!$L$2:$L$483)+SUMIF(Mercado_Receita!$S$2:$S$483,"44501B1ConvencionalResidencialResidencial baixa renda – faixa 04Não se aplicaNão se aplicaIntermediário",Mercado_Receita!$L$2:$L$483)+SUMIF(Mercado_Receita!$S$2:$S$483,"44501B1ConvencionalResidencialResidencial baixa renda – faixa 04Não se aplicaNão se aplicaNão se aplica",Mercado_Receita!$L$2:$L$483)</f>
        <v>4.5439999999999996</v>
      </c>
      <c r="L21" s="13">
        <f>SUMIF(Mercado_Receita!$S$2:$S$483,"44531B1ConvencionalResidencialResidencial baixa renda – faixa 04Não se aplicaNão se aplicaPonta",Mercado_Receita!$L$2:$L$483)+SUMIF(Mercado_Receita!$S$2:$S$483,"44531B1ConvencionalResidencialResidencial baixa renda – faixa 04Não se aplicaNão se aplicaFora ponta",Mercado_Receita!$L$2:$L$483)+SUMIF(Mercado_Receita!$S$2:$S$483,"44531B1ConvencionalResidencialResidencial baixa renda – faixa 04Não se aplicaNão se aplicaIntermediário",Mercado_Receita!$L$2:$L$483)+SUMIF(Mercado_Receita!$S$2:$S$483,"44531B1ConvencionalResidencialResidencial baixa renda – faixa 04Não se aplicaNão se aplicaNão se aplica",Mercado_Receita!$L$2:$L$483)</f>
        <v>2.8109999999999999</v>
      </c>
      <c r="M21" s="13">
        <f>SUMIF(Mercado_Receita!$S$2:$S$483,"44562B1ConvencionalResidencialResidencial baixa renda – faixa 04Não se aplicaNão se aplicaPonta",Mercado_Receita!$L$2:$L$483)+SUMIF(Mercado_Receita!$S$2:$S$483,"44562B1ConvencionalResidencialResidencial baixa renda – faixa 04Não se aplicaNão se aplicaFora ponta",Mercado_Receita!$L$2:$L$483)+SUMIF(Mercado_Receita!$S$2:$S$483,"44562B1ConvencionalResidencialResidencial baixa renda – faixa 04Não se aplicaNão se aplicaIntermediário",Mercado_Receita!$L$2:$L$483)+SUMIF(Mercado_Receita!$S$2:$S$483,"44562B1ConvencionalResidencialResidencial baixa renda – faixa 04Não se aplicaNão se aplicaNão se aplica",Mercado_Receita!$L$2:$L$483)</f>
        <v>4.9960000000000004</v>
      </c>
      <c r="N21" s="13">
        <f>SUMIF(Mercado_Receita!$S$2:$S$483,"44593B1ConvencionalResidencialResidencial baixa renda – faixa 04Não se aplicaNão se aplicaPonta",Mercado_Receita!$L$2:$L$483)+SUMIF(Mercado_Receita!$S$2:$S$483,"44593B1ConvencionalResidencialResidencial baixa renda – faixa 04Não se aplicaNão se aplicaFora ponta",Mercado_Receita!$L$2:$L$483)+SUMIF(Mercado_Receita!$S$2:$S$483,"44593B1ConvencionalResidencialResidencial baixa renda – faixa 04Não se aplicaNão se aplicaIntermediário",Mercado_Receita!$L$2:$L$483)+SUMIF(Mercado_Receita!$S$2:$S$483,"44593B1ConvencionalResidencialResidencial baixa renda – faixa 04Não se aplicaNão se aplicaNão se aplica",Mercado_Receita!$L$2:$L$483)</f>
        <v>16.841000000000001</v>
      </c>
      <c r="O21" s="13">
        <f>SUMIF(Mercado_Receita!$S$2:$S$483,"44621B1ConvencionalResidencialResidencial baixa renda – faixa 04Não se aplicaNão se aplicaPonta",Mercado_Receita!$L$2:$L$483)+SUMIF(Mercado_Receita!$S$2:$S$483,"44621B1ConvencionalResidencialResidencial baixa renda – faixa 04Não se aplicaNão se aplicaFora ponta",Mercado_Receita!$L$2:$L$483)+SUMIF(Mercado_Receita!$S$2:$S$483,"44621B1ConvencionalResidencialResidencial baixa renda – faixa 04Não se aplicaNão se aplicaIntermediário",Mercado_Receita!$L$2:$L$483)+SUMIF(Mercado_Receita!$S$2:$S$483,"44621B1ConvencionalResidencialResidencial baixa renda – faixa 04Não se aplicaNão se aplicaNão se aplica",Mercado_Receita!$L$2:$L$483)</f>
        <v>11.708</v>
      </c>
      <c r="P21" s="13">
        <f>SUMIF(Mercado_Receita!$S$2:$S$483,"44652B1ConvencionalResidencialResidencial baixa renda – faixa 04Não se aplicaNão se aplicaPonta",Mercado_Receita!$L$2:$L$483)+SUMIF(Mercado_Receita!$S$2:$S$483,"44652B1ConvencionalResidencialResidencial baixa renda – faixa 04Não se aplicaNão se aplicaFora ponta",Mercado_Receita!$L$2:$L$483)+SUMIF(Mercado_Receita!$S$2:$S$483,"44652B1ConvencionalResidencialResidencial baixa renda – faixa 04Não se aplicaNão se aplicaIntermediário",Mercado_Receita!$L$2:$L$483)+SUMIF(Mercado_Receita!$S$2:$S$483,"44652B1ConvencionalResidencialResidencial baixa renda – faixa 04Não se aplicaNão se aplicaNão se aplica",Mercado_Receita!$L$2:$L$483)</f>
        <v>5.2409999999999997</v>
      </c>
      <c r="Q21" s="13">
        <f>SUMIF(Mercado_Receita!$S$2:$S$483,"44682B1ConvencionalResidencialResidencial baixa renda – faixa 04Não se aplicaNão se aplicaPonta",Mercado_Receita!$L$2:$L$483)+SUMIF(Mercado_Receita!$S$2:$S$483,"44682B1ConvencionalResidencialResidencial baixa renda – faixa 04Não se aplicaNão se aplicaFora ponta",Mercado_Receita!$L$2:$L$483)+SUMIF(Mercado_Receita!$S$2:$S$483,"44682B1ConvencionalResidencialResidencial baixa renda – faixa 04Não se aplicaNão se aplicaIntermediário",Mercado_Receita!$L$2:$L$483)+SUMIF(Mercado_Receita!$S$2:$S$483,"44682B1ConvencionalResidencialResidencial baixa renda – faixa 04Não se aplicaNão se aplicaNão se aplica",Mercado_Receita!$L$2:$L$483)</f>
        <v>5.3920000000000003</v>
      </c>
      <c r="R21" s="13">
        <f>SUMIF(Mercado_Receita!$S$2:$S$483,"44713B1ConvencionalResidencialResidencial baixa renda – faixa 04Não se aplicaNão se aplicaPonta",Mercado_Receita!$L$2:$L$483)+SUMIF(Mercado_Receita!$S$2:$S$483,"44713B1ConvencionalResidencialResidencial baixa renda – faixa 04Não se aplicaNão se aplicaFora ponta",Mercado_Receita!$L$2:$L$483)+SUMIF(Mercado_Receita!$S$2:$S$483,"44713B1ConvencionalResidencialResidencial baixa renda – faixa 04Não se aplicaNão se aplicaIntermediário",Mercado_Receita!$L$2:$L$483)+SUMIF(Mercado_Receita!$S$2:$S$483,"44713B1ConvencionalResidencialResidencial baixa renda – faixa 04Não se aplicaNão se aplicaNão se aplica",Mercado_Receita!$L$2:$L$483)</f>
        <v>8.2720000000000002</v>
      </c>
      <c r="S21" s="13">
        <f>SUMIF(Mercado_Receita!$S$2:$S$483,"44743B1ConvencionalResidencialResidencial baixa renda – faixa 04Não se aplicaNão se aplicaPonta",Mercado_Receita!$L$2:$L$483)+SUMIF(Mercado_Receita!$S$2:$S$483,"44743B1ConvencionalResidencialResidencial baixa renda – faixa 04Não se aplicaNão se aplicaFora ponta",Mercado_Receita!$L$2:$L$483)+SUMIF(Mercado_Receita!$S$2:$S$483,"44743B1ConvencionalResidencialResidencial baixa renda – faixa 04Não se aplicaNão se aplicaIntermediário",Mercado_Receita!$L$2:$L$483)+SUMIF(Mercado_Receita!$S$2:$S$483,"44743B1ConvencionalResidencialResidencial baixa renda – faixa 04Não se aplicaNão se aplicaNão se aplica",Mercado_Receita!$L$2:$L$483)</f>
        <v>6.8289999999999997</v>
      </c>
      <c r="T21" s="13">
        <f>SUMIF(Mercado_Receita!$S$2:$S$483,"44774B1ConvencionalResidencialResidencial baixa renda – faixa 04Não se aplicaNão se aplicaPonta",Mercado_Receita!$L$2:$L$483)+SUMIF(Mercado_Receita!$S$2:$S$483,"44774B1ConvencionalResidencialResidencial baixa renda – faixa 04Não se aplicaNão se aplicaFora ponta",Mercado_Receita!$L$2:$L$483)+SUMIF(Mercado_Receita!$S$2:$S$483,"44774B1ConvencionalResidencialResidencial baixa renda – faixa 04Não se aplicaNão se aplicaIntermediário",Mercado_Receita!$L$2:$L$483)+SUMIF(Mercado_Receita!$S$2:$S$483,"44774B1ConvencionalResidencialResidencial baixa renda – faixa 04Não se aplicaNão se aplicaNão se aplica",Mercado_Receita!$L$2:$L$483)</f>
        <v>6.8289999999999997</v>
      </c>
      <c r="U21" s="13">
        <f t="shared" si="0"/>
        <v>80.955999999999989</v>
      </c>
      <c r="V21" s="13"/>
      <c r="W21" s="13"/>
    </row>
    <row r="22" spans="1:23" ht="11.25" customHeight="1" x14ac:dyDescent="0.3">
      <c r="A22" s="77"/>
      <c r="B22" s="76" t="s">
        <v>94</v>
      </c>
      <c r="C22" s="76" t="s">
        <v>24</v>
      </c>
      <c r="D22" s="12" t="s">
        <v>24</v>
      </c>
      <c r="E22" s="12" t="s">
        <v>25</v>
      </c>
      <c r="F22" s="12" t="s">
        <v>25</v>
      </c>
      <c r="G22" s="13" t="s">
        <v>83</v>
      </c>
      <c r="H22" s="13" t="s">
        <v>79</v>
      </c>
      <c r="I22" s="13">
        <f>SUMIF(Mercado_Receita!$S$2:$S$483,"44440B1Convencional pré-pagamentoResidencialResidencialNão se aplicaNão se aplicaPonta",Mercado_Receita!$L$2:$L$483)+SUMIF(Mercado_Receita!$S$2:$S$483,"44440B1Convencional pré-pagamentoResidencialResidencialNão se aplicaNão se aplicaFora ponta",Mercado_Receita!$L$2:$L$483)+SUMIF(Mercado_Receita!$S$2:$S$483,"44440B1Convencional pré-pagamentoResidencialResidencialNão se aplicaNão se aplicaIntermediário",Mercado_Receita!$L$2:$L$483)+SUMIF(Mercado_Receita!$S$2:$S$483,"44440B1Convencional pré-pagamentoResidencialResidencialNão se aplicaNão se aplicaNão se aplica",Mercado_Receita!$L$2:$L$483)</f>
        <v>0</v>
      </c>
      <c r="J22" s="13">
        <f>SUMIF(Mercado_Receita!$S$2:$S$483,"44470B1Convencional pré-pagamentoResidencialResidencialNão se aplicaNão se aplicaPonta",Mercado_Receita!$L$2:$L$483)+SUMIF(Mercado_Receita!$S$2:$S$483,"44470B1Convencional pré-pagamentoResidencialResidencialNão se aplicaNão se aplicaFora ponta",Mercado_Receita!$L$2:$L$483)+SUMIF(Mercado_Receita!$S$2:$S$483,"44470B1Convencional pré-pagamentoResidencialResidencialNão se aplicaNão se aplicaIntermediário",Mercado_Receita!$L$2:$L$483)+SUMIF(Mercado_Receita!$S$2:$S$483,"44470B1Convencional pré-pagamentoResidencialResidencialNão se aplicaNão se aplicaNão se aplica",Mercado_Receita!$L$2:$L$483)</f>
        <v>0</v>
      </c>
      <c r="K22" s="13">
        <f>SUMIF(Mercado_Receita!$S$2:$S$483,"44501B1Convencional pré-pagamentoResidencialResidencialNão se aplicaNão se aplicaPonta",Mercado_Receita!$L$2:$L$483)+SUMIF(Mercado_Receita!$S$2:$S$483,"44501B1Convencional pré-pagamentoResidencialResidencialNão se aplicaNão se aplicaFora ponta",Mercado_Receita!$L$2:$L$483)+SUMIF(Mercado_Receita!$S$2:$S$483,"44501B1Convencional pré-pagamentoResidencialResidencialNão se aplicaNão se aplicaIntermediário",Mercado_Receita!$L$2:$L$483)+SUMIF(Mercado_Receita!$S$2:$S$483,"44501B1Convencional pré-pagamentoResidencialResidencialNão se aplicaNão se aplicaNão se aplica",Mercado_Receita!$L$2:$L$483)</f>
        <v>0</v>
      </c>
      <c r="L22" s="13">
        <f>SUMIF(Mercado_Receita!$S$2:$S$483,"44531B1Convencional pré-pagamentoResidencialResidencialNão se aplicaNão se aplicaPonta",Mercado_Receita!$L$2:$L$483)+SUMIF(Mercado_Receita!$S$2:$S$483,"44531B1Convencional pré-pagamentoResidencialResidencialNão se aplicaNão se aplicaFora ponta",Mercado_Receita!$L$2:$L$483)+SUMIF(Mercado_Receita!$S$2:$S$483,"44531B1Convencional pré-pagamentoResidencialResidencialNão se aplicaNão se aplicaIntermediário",Mercado_Receita!$L$2:$L$483)+SUMIF(Mercado_Receita!$S$2:$S$483,"44531B1Convencional pré-pagamentoResidencialResidencialNão se aplicaNão se aplicaNão se aplica",Mercado_Receita!$L$2:$L$483)</f>
        <v>0</v>
      </c>
      <c r="M22" s="13">
        <f>SUMIF(Mercado_Receita!$S$2:$S$483,"44562B1Convencional pré-pagamentoResidencialResidencialNão se aplicaNão se aplicaPonta",Mercado_Receita!$L$2:$L$483)+SUMIF(Mercado_Receita!$S$2:$S$483,"44562B1Convencional pré-pagamentoResidencialResidencialNão se aplicaNão se aplicaFora ponta",Mercado_Receita!$L$2:$L$483)+SUMIF(Mercado_Receita!$S$2:$S$483,"44562B1Convencional pré-pagamentoResidencialResidencialNão se aplicaNão se aplicaIntermediário",Mercado_Receita!$L$2:$L$483)+SUMIF(Mercado_Receita!$S$2:$S$483,"44562B1Convencional pré-pagamentoResidencialResidencialNão se aplicaNão se aplicaNão se aplica",Mercado_Receita!$L$2:$L$483)</f>
        <v>0</v>
      </c>
      <c r="N22" s="13">
        <f>SUMIF(Mercado_Receita!$S$2:$S$483,"44593B1Convencional pré-pagamentoResidencialResidencialNão se aplicaNão se aplicaPonta",Mercado_Receita!$L$2:$L$483)+SUMIF(Mercado_Receita!$S$2:$S$483,"44593B1Convencional pré-pagamentoResidencialResidencialNão se aplicaNão se aplicaFora ponta",Mercado_Receita!$L$2:$L$483)+SUMIF(Mercado_Receita!$S$2:$S$483,"44593B1Convencional pré-pagamentoResidencialResidencialNão se aplicaNão se aplicaIntermediário",Mercado_Receita!$L$2:$L$483)+SUMIF(Mercado_Receita!$S$2:$S$483,"44593B1Convencional pré-pagamentoResidencialResidencialNão se aplicaNão se aplicaNão se aplica",Mercado_Receita!$L$2:$L$483)</f>
        <v>0</v>
      </c>
      <c r="O22" s="13">
        <f>SUMIF(Mercado_Receita!$S$2:$S$483,"44621B1Convencional pré-pagamentoResidencialResidencialNão se aplicaNão se aplicaPonta",Mercado_Receita!$L$2:$L$483)+SUMIF(Mercado_Receita!$S$2:$S$483,"44621B1Convencional pré-pagamentoResidencialResidencialNão se aplicaNão se aplicaFora ponta",Mercado_Receita!$L$2:$L$483)+SUMIF(Mercado_Receita!$S$2:$S$483,"44621B1Convencional pré-pagamentoResidencialResidencialNão se aplicaNão se aplicaIntermediário",Mercado_Receita!$L$2:$L$483)+SUMIF(Mercado_Receita!$S$2:$S$483,"44621B1Convencional pré-pagamentoResidencialResidencialNão se aplicaNão se aplicaNão se aplica",Mercado_Receita!$L$2:$L$483)</f>
        <v>0</v>
      </c>
      <c r="P22" s="13">
        <f>SUMIF(Mercado_Receita!$S$2:$S$483,"44652B1Convencional pré-pagamentoResidencialResidencialNão se aplicaNão se aplicaPonta",Mercado_Receita!$L$2:$L$483)+SUMIF(Mercado_Receita!$S$2:$S$483,"44652B1Convencional pré-pagamentoResidencialResidencialNão se aplicaNão se aplicaFora ponta",Mercado_Receita!$L$2:$L$483)+SUMIF(Mercado_Receita!$S$2:$S$483,"44652B1Convencional pré-pagamentoResidencialResidencialNão se aplicaNão se aplicaIntermediário",Mercado_Receita!$L$2:$L$483)+SUMIF(Mercado_Receita!$S$2:$S$483,"44652B1Convencional pré-pagamentoResidencialResidencialNão se aplicaNão se aplicaNão se aplica",Mercado_Receita!$L$2:$L$483)</f>
        <v>0</v>
      </c>
      <c r="Q22" s="13">
        <f>SUMIF(Mercado_Receita!$S$2:$S$483,"44682B1Convencional pré-pagamentoResidencialResidencialNão se aplicaNão se aplicaPonta",Mercado_Receita!$L$2:$L$483)+SUMIF(Mercado_Receita!$S$2:$S$483,"44682B1Convencional pré-pagamentoResidencialResidencialNão se aplicaNão se aplicaFora ponta",Mercado_Receita!$L$2:$L$483)+SUMIF(Mercado_Receita!$S$2:$S$483,"44682B1Convencional pré-pagamentoResidencialResidencialNão se aplicaNão se aplicaIntermediário",Mercado_Receita!$L$2:$L$483)+SUMIF(Mercado_Receita!$S$2:$S$483,"44682B1Convencional pré-pagamentoResidencialResidencialNão se aplicaNão se aplicaNão se aplica",Mercado_Receita!$L$2:$L$483)</f>
        <v>0</v>
      </c>
      <c r="R22" s="13">
        <f>SUMIF(Mercado_Receita!$S$2:$S$483,"44713B1Convencional pré-pagamentoResidencialResidencialNão se aplicaNão se aplicaPonta",Mercado_Receita!$L$2:$L$483)+SUMIF(Mercado_Receita!$S$2:$S$483,"44713B1Convencional pré-pagamentoResidencialResidencialNão se aplicaNão se aplicaFora ponta",Mercado_Receita!$L$2:$L$483)+SUMIF(Mercado_Receita!$S$2:$S$483,"44713B1Convencional pré-pagamentoResidencialResidencialNão se aplicaNão se aplicaIntermediário",Mercado_Receita!$L$2:$L$483)+SUMIF(Mercado_Receita!$S$2:$S$483,"44713B1Convencional pré-pagamentoResidencialResidencialNão se aplicaNão se aplicaNão se aplica",Mercado_Receita!$L$2:$L$483)</f>
        <v>0</v>
      </c>
      <c r="S22" s="13">
        <f>SUMIF(Mercado_Receita!$S$2:$S$483,"44743B1Convencional pré-pagamentoResidencialResidencialNão se aplicaNão se aplicaPonta",Mercado_Receita!$L$2:$L$483)+SUMIF(Mercado_Receita!$S$2:$S$483,"44743B1Convencional pré-pagamentoResidencialResidencialNão se aplicaNão se aplicaFora ponta",Mercado_Receita!$L$2:$L$483)+SUMIF(Mercado_Receita!$S$2:$S$483,"44743B1Convencional pré-pagamentoResidencialResidencialNão se aplicaNão se aplicaIntermediário",Mercado_Receita!$L$2:$L$483)+SUMIF(Mercado_Receita!$S$2:$S$483,"44743B1Convencional pré-pagamentoResidencialResidencialNão se aplicaNão se aplicaNão se aplica",Mercado_Receita!$L$2:$L$483)</f>
        <v>0</v>
      </c>
      <c r="T22" s="13">
        <f>SUMIF(Mercado_Receita!$S$2:$S$483,"44774B1Convencional pré-pagamentoResidencialResidencialNão se aplicaNão se aplicaPonta",Mercado_Receita!$L$2:$L$483)+SUMIF(Mercado_Receita!$S$2:$S$483,"44774B1Convencional pré-pagamentoResidencialResidencialNão se aplicaNão se aplicaFora ponta",Mercado_Receita!$L$2:$L$483)+SUMIF(Mercado_Receita!$S$2:$S$483,"44774B1Convencional pré-pagamentoResidencialResidencialNão se aplicaNão se aplicaIntermediário",Mercado_Receita!$L$2:$L$483)+SUMIF(Mercado_Receita!$S$2:$S$483,"44774B1Convencional pré-pagamentoResidencialResidencialNão se aplicaNão se aplicaNão se aplica",Mercado_Receita!$L$2:$L$483)</f>
        <v>0</v>
      </c>
      <c r="U22" s="13">
        <f t="shared" si="0"/>
        <v>0</v>
      </c>
      <c r="V22" s="13"/>
      <c r="W22" s="13"/>
    </row>
    <row r="23" spans="1:23" ht="11.25" customHeight="1" x14ac:dyDescent="0.3">
      <c r="A23" s="77"/>
      <c r="B23" s="77"/>
      <c r="C23" s="77"/>
      <c r="D23" s="12" t="s">
        <v>28</v>
      </c>
      <c r="E23" s="12" t="s">
        <v>25</v>
      </c>
      <c r="F23" s="12" t="s">
        <v>25</v>
      </c>
      <c r="G23" s="13" t="s">
        <v>83</v>
      </c>
      <c r="H23" s="13" t="s">
        <v>79</v>
      </c>
      <c r="I23" s="13">
        <f>SUMIF(Mercado_Receita!$S$2:$S$483,"44440B1Convencional pré-pagamentoResidencialResidencial baixa renda – faixa 01Não se aplicaNão se aplicaPonta",Mercado_Receita!$L$2:$L$483)+SUMIF(Mercado_Receita!$S$2:$S$483,"44440B1Convencional pré-pagamentoResidencialResidencial baixa renda – faixa 01Não se aplicaNão se aplicaFora ponta",Mercado_Receita!$L$2:$L$483)+SUMIF(Mercado_Receita!$S$2:$S$483,"44440B1Convencional pré-pagamentoResidencialResidencial baixa renda – faixa 01Não se aplicaNão se aplicaIntermediário",Mercado_Receita!$L$2:$L$483)+SUMIF(Mercado_Receita!$S$2:$S$483,"44440B1Convencional pré-pagamentoResidencialResidencial baixa renda – faixa 01Não se aplicaNão se aplicaNão se aplica",Mercado_Receita!$L$2:$L$483)</f>
        <v>0</v>
      </c>
      <c r="J23" s="13">
        <f>SUMIF(Mercado_Receita!$S$2:$S$483,"44470B1Convencional pré-pagamentoResidencialResidencial baixa renda – faixa 01Não se aplicaNão se aplicaPonta",Mercado_Receita!$L$2:$L$483)+SUMIF(Mercado_Receita!$S$2:$S$483,"44470B1Convencional pré-pagamentoResidencialResidencial baixa renda – faixa 01Não se aplicaNão se aplicaFora ponta",Mercado_Receita!$L$2:$L$483)+SUMIF(Mercado_Receita!$S$2:$S$483,"44470B1Convencional pré-pagamentoResidencialResidencial baixa renda – faixa 01Não se aplicaNão se aplicaIntermediário",Mercado_Receita!$L$2:$L$483)+SUMIF(Mercado_Receita!$S$2:$S$483,"44470B1Convencional pré-pagamentoResidencialResidencial baixa renda – faixa 01Não se aplicaNão se aplicaNão se aplica",Mercado_Receita!$L$2:$L$483)</f>
        <v>0</v>
      </c>
      <c r="K23" s="13">
        <f>SUMIF(Mercado_Receita!$S$2:$S$483,"44501B1Convencional pré-pagamentoResidencialResidencial baixa renda – faixa 01Não se aplicaNão se aplicaPonta",Mercado_Receita!$L$2:$L$483)+SUMIF(Mercado_Receita!$S$2:$S$483,"44501B1Convencional pré-pagamentoResidencialResidencial baixa renda – faixa 01Não se aplicaNão se aplicaFora ponta",Mercado_Receita!$L$2:$L$483)+SUMIF(Mercado_Receita!$S$2:$S$483,"44501B1Convencional pré-pagamentoResidencialResidencial baixa renda – faixa 01Não se aplicaNão se aplicaIntermediário",Mercado_Receita!$L$2:$L$483)+SUMIF(Mercado_Receita!$S$2:$S$483,"44501B1Convencional pré-pagamentoResidencialResidencial baixa renda – faixa 01Não se aplicaNão se aplicaNão se aplica",Mercado_Receita!$L$2:$L$483)</f>
        <v>0</v>
      </c>
      <c r="L23" s="13">
        <f>SUMIF(Mercado_Receita!$S$2:$S$483,"44531B1Convencional pré-pagamentoResidencialResidencial baixa renda – faixa 01Não se aplicaNão se aplicaPonta",Mercado_Receita!$L$2:$L$483)+SUMIF(Mercado_Receita!$S$2:$S$483,"44531B1Convencional pré-pagamentoResidencialResidencial baixa renda – faixa 01Não se aplicaNão se aplicaFora ponta",Mercado_Receita!$L$2:$L$483)+SUMIF(Mercado_Receita!$S$2:$S$483,"44531B1Convencional pré-pagamentoResidencialResidencial baixa renda – faixa 01Não se aplicaNão se aplicaIntermediário",Mercado_Receita!$L$2:$L$483)+SUMIF(Mercado_Receita!$S$2:$S$483,"44531B1Convencional pré-pagamentoResidencialResidencial baixa renda – faixa 01Não se aplicaNão se aplicaNão se aplica",Mercado_Receita!$L$2:$L$483)</f>
        <v>0</v>
      </c>
      <c r="M23" s="13">
        <f>SUMIF(Mercado_Receita!$S$2:$S$483,"44562B1Convencional pré-pagamentoResidencialResidencial baixa renda – faixa 01Não se aplicaNão se aplicaPonta",Mercado_Receita!$L$2:$L$483)+SUMIF(Mercado_Receita!$S$2:$S$483,"44562B1Convencional pré-pagamentoResidencialResidencial baixa renda – faixa 01Não se aplicaNão se aplicaFora ponta",Mercado_Receita!$L$2:$L$483)+SUMIF(Mercado_Receita!$S$2:$S$483,"44562B1Convencional pré-pagamentoResidencialResidencial baixa renda – faixa 01Não se aplicaNão se aplicaIntermediário",Mercado_Receita!$L$2:$L$483)+SUMIF(Mercado_Receita!$S$2:$S$483,"44562B1Convencional pré-pagamentoResidencialResidencial baixa renda – faixa 01Não se aplicaNão se aplicaNão se aplica",Mercado_Receita!$L$2:$L$483)</f>
        <v>0</v>
      </c>
      <c r="N23" s="13">
        <f>SUMIF(Mercado_Receita!$S$2:$S$483,"44593B1Convencional pré-pagamentoResidencialResidencial baixa renda – faixa 01Não se aplicaNão se aplicaPonta",Mercado_Receita!$L$2:$L$483)+SUMIF(Mercado_Receita!$S$2:$S$483,"44593B1Convencional pré-pagamentoResidencialResidencial baixa renda – faixa 01Não se aplicaNão se aplicaFora ponta",Mercado_Receita!$L$2:$L$483)+SUMIF(Mercado_Receita!$S$2:$S$483,"44593B1Convencional pré-pagamentoResidencialResidencial baixa renda – faixa 01Não se aplicaNão se aplicaIntermediário",Mercado_Receita!$L$2:$L$483)+SUMIF(Mercado_Receita!$S$2:$S$483,"44593B1Convencional pré-pagamentoResidencialResidencial baixa renda – faixa 01Não se aplicaNão se aplicaNão se aplica",Mercado_Receita!$L$2:$L$483)</f>
        <v>0</v>
      </c>
      <c r="O23" s="13">
        <f>SUMIF(Mercado_Receita!$S$2:$S$483,"44621B1Convencional pré-pagamentoResidencialResidencial baixa renda – faixa 01Não se aplicaNão se aplicaPonta",Mercado_Receita!$L$2:$L$483)+SUMIF(Mercado_Receita!$S$2:$S$483,"44621B1Convencional pré-pagamentoResidencialResidencial baixa renda – faixa 01Não se aplicaNão se aplicaFora ponta",Mercado_Receita!$L$2:$L$483)+SUMIF(Mercado_Receita!$S$2:$S$483,"44621B1Convencional pré-pagamentoResidencialResidencial baixa renda – faixa 01Não se aplicaNão se aplicaIntermediário",Mercado_Receita!$L$2:$L$483)+SUMIF(Mercado_Receita!$S$2:$S$483,"44621B1Convencional pré-pagamentoResidencialResidencial baixa renda – faixa 01Não se aplicaNão se aplicaNão se aplica",Mercado_Receita!$L$2:$L$483)</f>
        <v>0</v>
      </c>
      <c r="P23" s="13">
        <f>SUMIF(Mercado_Receita!$S$2:$S$483,"44652B1Convencional pré-pagamentoResidencialResidencial baixa renda – faixa 01Não se aplicaNão se aplicaPonta",Mercado_Receita!$L$2:$L$483)+SUMIF(Mercado_Receita!$S$2:$S$483,"44652B1Convencional pré-pagamentoResidencialResidencial baixa renda – faixa 01Não se aplicaNão se aplicaFora ponta",Mercado_Receita!$L$2:$L$483)+SUMIF(Mercado_Receita!$S$2:$S$483,"44652B1Convencional pré-pagamentoResidencialResidencial baixa renda – faixa 01Não se aplicaNão se aplicaIntermediário",Mercado_Receita!$L$2:$L$483)+SUMIF(Mercado_Receita!$S$2:$S$483,"44652B1Convencional pré-pagamentoResidencialResidencial baixa renda – faixa 01Não se aplicaNão se aplicaNão se aplica",Mercado_Receita!$L$2:$L$483)</f>
        <v>0</v>
      </c>
      <c r="Q23" s="13">
        <f>SUMIF(Mercado_Receita!$S$2:$S$483,"44682B1Convencional pré-pagamentoResidencialResidencial baixa renda – faixa 01Não se aplicaNão se aplicaPonta",Mercado_Receita!$L$2:$L$483)+SUMIF(Mercado_Receita!$S$2:$S$483,"44682B1Convencional pré-pagamentoResidencialResidencial baixa renda – faixa 01Não se aplicaNão se aplicaFora ponta",Mercado_Receita!$L$2:$L$483)+SUMIF(Mercado_Receita!$S$2:$S$483,"44682B1Convencional pré-pagamentoResidencialResidencial baixa renda – faixa 01Não se aplicaNão se aplicaIntermediário",Mercado_Receita!$L$2:$L$483)+SUMIF(Mercado_Receita!$S$2:$S$483,"44682B1Convencional pré-pagamentoResidencialResidencial baixa renda – faixa 01Não se aplicaNão se aplicaNão se aplica",Mercado_Receita!$L$2:$L$483)</f>
        <v>0</v>
      </c>
      <c r="R23" s="13">
        <f>SUMIF(Mercado_Receita!$S$2:$S$483,"44713B1Convencional pré-pagamentoResidencialResidencial baixa renda – faixa 01Não se aplicaNão se aplicaPonta",Mercado_Receita!$L$2:$L$483)+SUMIF(Mercado_Receita!$S$2:$S$483,"44713B1Convencional pré-pagamentoResidencialResidencial baixa renda – faixa 01Não se aplicaNão se aplicaFora ponta",Mercado_Receita!$L$2:$L$483)+SUMIF(Mercado_Receita!$S$2:$S$483,"44713B1Convencional pré-pagamentoResidencialResidencial baixa renda – faixa 01Não se aplicaNão se aplicaIntermediário",Mercado_Receita!$L$2:$L$483)+SUMIF(Mercado_Receita!$S$2:$S$483,"44713B1Convencional pré-pagamentoResidencialResidencial baixa renda – faixa 01Não se aplicaNão se aplicaNão se aplica",Mercado_Receita!$L$2:$L$483)</f>
        <v>0</v>
      </c>
      <c r="S23" s="13">
        <f>SUMIF(Mercado_Receita!$S$2:$S$483,"44743B1Convencional pré-pagamentoResidencialResidencial baixa renda – faixa 01Não se aplicaNão se aplicaPonta",Mercado_Receita!$L$2:$L$483)+SUMIF(Mercado_Receita!$S$2:$S$483,"44743B1Convencional pré-pagamentoResidencialResidencial baixa renda – faixa 01Não se aplicaNão se aplicaFora ponta",Mercado_Receita!$L$2:$L$483)+SUMIF(Mercado_Receita!$S$2:$S$483,"44743B1Convencional pré-pagamentoResidencialResidencial baixa renda – faixa 01Não se aplicaNão se aplicaIntermediário",Mercado_Receita!$L$2:$L$483)+SUMIF(Mercado_Receita!$S$2:$S$483,"44743B1Convencional pré-pagamentoResidencialResidencial baixa renda – faixa 01Não se aplicaNão se aplicaNão se aplica",Mercado_Receita!$L$2:$L$483)</f>
        <v>0</v>
      </c>
      <c r="T23" s="13">
        <f>SUMIF(Mercado_Receita!$S$2:$S$483,"44774B1Convencional pré-pagamentoResidencialResidencial baixa renda – faixa 01Não se aplicaNão se aplicaPonta",Mercado_Receita!$L$2:$L$483)+SUMIF(Mercado_Receita!$S$2:$S$483,"44774B1Convencional pré-pagamentoResidencialResidencial baixa renda – faixa 01Não se aplicaNão se aplicaFora ponta",Mercado_Receita!$L$2:$L$483)+SUMIF(Mercado_Receita!$S$2:$S$483,"44774B1Convencional pré-pagamentoResidencialResidencial baixa renda – faixa 01Não se aplicaNão se aplicaIntermediário",Mercado_Receita!$L$2:$L$483)+SUMIF(Mercado_Receita!$S$2:$S$483,"44774B1Convencional pré-pagamentoResidencialResidencial baixa renda – faixa 01Não se aplicaNão se aplicaNão se aplica",Mercado_Receita!$L$2:$L$483)</f>
        <v>0</v>
      </c>
      <c r="U23" s="13">
        <f t="shared" si="0"/>
        <v>0</v>
      </c>
      <c r="V23" s="13"/>
      <c r="W23" s="13"/>
    </row>
    <row r="24" spans="1:23" ht="11.25" customHeight="1" x14ac:dyDescent="0.3">
      <c r="A24" s="77"/>
      <c r="B24" s="77"/>
      <c r="C24" s="77"/>
      <c r="D24" s="12" t="s">
        <v>29</v>
      </c>
      <c r="E24" s="12" t="s">
        <v>25</v>
      </c>
      <c r="F24" s="12" t="s">
        <v>25</v>
      </c>
      <c r="G24" s="13" t="s">
        <v>83</v>
      </c>
      <c r="H24" s="13" t="s">
        <v>79</v>
      </c>
      <c r="I24" s="13">
        <f>SUMIF(Mercado_Receita!$S$2:$S$483,"44440B1Convencional pré-pagamentoResidencialResidencial baixa renda – faixa 02Não se aplicaNão se aplicaPonta",Mercado_Receita!$L$2:$L$483)+SUMIF(Mercado_Receita!$S$2:$S$483,"44440B1Convencional pré-pagamentoResidencialResidencial baixa renda – faixa 02Não se aplicaNão se aplicaFora ponta",Mercado_Receita!$L$2:$L$483)+SUMIF(Mercado_Receita!$S$2:$S$483,"44440B1Convencional pré-pagamentoResidencialResidencial baixa renda – faixa 02Não se aplicaNão se aplicaIntermediário",Mercado_Receita!$L$2:$L$483)+SUMIF(Mercado_Receita!$S$2:$S$483,"44440B1Convencional pré-pagamentoResidencialResidencial baixa renda – faixa 02Não se aplicaNão se aplicaNão se aplica",Mercado_Receita!$L$2:$L$483)</f>
        <v>0</v>
      </c>
      <c r="J24" s="13">
        <f>SUMIF(Mercado_Receita!$S$2:$S$483,"44470B1Convencional pré-pagamentoResidencialResidencial baixa renda – faixa 02Não se aplicaNão se aplicaPonta",Mercado_Receita!$L$2:$L$483)+SUMIF(Mercado_Receita!$S$2:$S$483,"44470B1Convencional pré-pagamentoResidencialResidencial baixa renda – faixa 02Não se aplicaNão se aplicaFora ponta",Mercado_Receita!$L$2:$L$483)+SUMIF(Mercado_Receita!$S$2:$S$483,"44470B1Convencional pré-pagamentoResidencialResidencial baixa renda – faixa 02Não se aplicaNão se aplicaIntermediário",Mercado_Receita!$L$2:$L$483)+SUMIF(Mercado_Receita!$S$2:$S$483,"44470B1Convencional pré-pagamentoResidencialResidencial baixa renda – faixa 02Não se aplicaNão se aplicaNão se aplica",Mercado_Receita!$L$2:$L$483)</f>
        <v>0</v>
      </c>
      <c r="K24" s="13">
        <f>SUMIF(Mercado_Receita!$S$2:$S$483,"44501B1Convencional pré-pagamentoResidencialResidencial baixa renda – faixa 02Não se aplicaNão se aplicaPonta",Mercado_Receita!$L$2:$L$483)+SUMIF(Mercado_Receita!$S$2:$S$483,"44501B1Convencional pré-pagamentoResidencialResidencial baixa renda – faixa 02Não se aplicaNão se aplicaFora ponta",Mercado_Receita!$L$2:$L$483)+SUMIF(Mercado_Receita!$S$2:$S$483,"44501B1Convencional pré-pagamentoResidencialResidencial baixa renda – faixa 02Não se aplicaNão se aplicaIntermediário",Mercado_Receita!$L$2:$L$483)+SUMIF(Mercado_Receita!$S$2:$S$483,"44501B1Convencional pré-pagamentoResidencialResidencial baixa renda – faixa 02Não se aplicaNão se aplicaNão se aplica",Mercado_Receita!$L$2:$L$483)</f>
        <v>0</v>
      </c>
      <c r="L24" s="13">
        <f>SUMIF(Mercado_Receita!$S$2:$S$483,"44531B1Convencional pré-pagamentoResidencialResidencial baixa renda – faixa 02Não se aplicaNão se aplicaPonta",Mercado_Receita!$L$2:$L$483)+SUMIF(Mercado_Receita!$S$2:$S$483,"44531B1Convencional pré-pagamentoResidencialResidencial baixa renda – faixa 02Não se aplicaNão se aplicaFora ponta",Mercado_Receita!$L$2:$L$483)+SUMIF(Mercado_Receita!$S$2:$S$483,"44531B1Convencional pré-pagamentoResidencialResidencial baixa renda – faixa 02Não se aplicaNão se aplicaIntermediário",Mercado_Receita!$L$2:$L$483)+SUMIF(Mercado_Receita!$S$2:$S$483,"44531B1Convencional pré-pagamentoResidencialResidencial baixa renda – faixa 02Não se aplicaNão se aplicaNão se aplica",Mercado_Receita!$L$2:$L$483)</f>
        <v>0</v>
      </c>
      <c r="M24" s="13">
        <f>SUMIF(Mercado_Receita!$S$2:$S$483,"44562B1Convencional pré-pagamentoResidencialResidencial baixa renda – faixa 02Não se aplicaNão se aplicaPonta",Mercado_Receita!$L$2:$L$483)+SUMIF(Mercado_Receita!$S$2:$S$483,"44562B1Convencional pré-pagamentoResidencialResidencial baixa renda – faixa 02Não se aplicaNão se aplicaFora ponta",Mercado_Receita!$L$2:$L$483)+SUMIF(Mercado_Receita!$S$2:$S$483,"44562B1Convencional pré-pagamentoResidencialResidencial baixa renda – faixa 02Não se aplicaNão se aplicaIntermediário",Mercado_Receita!$L$2:$L$483)+SUMIF(Mercado_Receita!$S$2:$S$483,"44562B1Convencional pré-pagamentoResidencialResidencial baixa renda – faixa 02Não se aplicaNão se aplicaNão se aplica",Mercado_Receita!$L$2:$L$483)</f>
        <v>0</v>
      </c>
      <c r="N24" s="13">
        <f>SUMIF(Mercado_Receita!$S$2:$S$483,"44593B1Convencional pré-pagamentoResidencialResidencial baixa renda – faixa 02Não se aplicaNão se aplicaPonta",Mercado_Receita!$L$2:$L$483)+SUMIF(Mercado_Receita!$S$2:$S$483,"44593B1Convencional pré-pagamentoResidencialResidencial baixa renda – faixa 02Não se aplicaNão se aplicaFora ponta",Mercado_Receita!$L$2:$L$483)+SUMIF(Mercado_Receita!$S$2:$S$483,"44593B1Convencional pré-pagamentoResidencialResidencial baixa renda – faixa 02Não se aplicaNão se aplicaIntermediário",Mercado_Receita!$L$2:$L$483)+SUMIF(Mercado_Receita!$S$2:$S$483,"44593B1Convencional pré-pagamentoResidencialResidencial baixa renda – faixa 02Não se aplicaNão se aplicaNão se aplica",Mercado_Receita!$L$2:$L$483)</f>
        <v>0</v>
      </c>
      <c r="O24" s="13">
        <f>SUMIF(Mercado_Receita!$S$2:$S$483,"44621B1Convencional pré-pagamentoResidencialResidencial baixa renda – faixa 02Não se aplicaNão se aplicaPonta",Mercado_Receita!$L$2:$L$483)+SUMIF(Mercado_Receita!$S$2:$S$483,"44621B1Convencional pré-pagamentoResidencialResidencial baixa renda – faixa 02Não se aplicaNão se aplicaFora ponta",Mercado_Receita!$L$2:$L$483)+SUMIF(Mercado_Receita!$S$2:$S$483,"44621B1Convencional pré-pagamentoResidencialResidencial baixa renda – faixa 02Não se aplicaNão se aplicaIntermediário",Mercado_Receita!$L$2:$L$483)+SUMIF(Mercado_Receita!$S$2:$S$483,"44621B1Convencional pré-pagamentoResidencialResidencial baixa renda – faixa 02Não se aplicaNão se aplicaNão se aplica",Mercado_Receita!$L$2:$L$483)</f>
        <v>0</v>
      </c>
      <c r="P24" s="13">
        <f>SUMIF(Mercado_Receita!$S$2:$S$483,"44652B1Convencional pré-pagamentoResidencialResidencial baixa renda – faixa 02Não se aplicaNão se aplicaPonta",Mercado_Receita!$L$2:$L$483)+SUMIF(Mercado_Receita!$S$2:$S$483,"44652B1Convencional pré-pagamentoResidencialResidencial baixa renda – faixa 02Não se aplicaNão se aplicaFora ponta",Mercado_Receita!$L$2:$L$483)+SUMIF(Mercado_Receita!$S$2:$S$483,"44652B1Convencional pré-pagamentoResidencialResidencial baixa renda – faixa 02Não se aplicaNão se aplicaIntermediário",Mercado_Receita!$L$2:$L$483)+SUMIF(Mercado_Receita!$S$2:$S$483,"44652B1Convencional pré-pagamentoResidencialResidencial baixa renda – faixa 02Não se aplicaNão se aplicaNão se aplica",Mercado_Receita!$L$2:$L$483)</f>
        <v>0</v>
      </c>
      <c r="Q24" s="13">
        <f>SUMIF(Mercado_Receita!$S$2:$S$483,"44682B1Convencional pré-pagamentoResidencialResidencial baixa renda – faixa 02Não se aplicaNão se aplicaPonta",Mercado_Receita!$L$2:$L$483)+SUMIF(Mercado_Receita!$S$2:$S$483,"44682B1Convencional pré-pagamentoResidencialResidencial baixa renda – faixa 02Não se aplicaNão se aplicaFora ponta",Mercado_Receita!$L$2:$L$483)+SUMIF(Mercado_Receita!$S$2:$S$483,"44682B1Convencional pré-pagamentoResidencialResidencial baixa renda – faixa 02Não se aplicaNão se aplicaIntermediário",Mercado_Receita!$L$2:$L$483)+SUMIF(Mercado_Receita!$S$2:$S$483,"44682B1Convencional pré-pagamentoResidencialResidencial baixa renda – faixa 02Não se aplicaNão se aplicaNão se aplica",Mercado_Receita!$L$2:$L$483)</f>
        <v>0</v>
      </c>
      <c r="R24" s="13">
        <f>SUMIF(Mercado_Receita!$S$2:$S$483,"44713B1Convencional pré-pagamentoResidencialResidencial baixa renda – faixa 02Não se aplicaNão se aplicaPonta",Mercado_Receita!$L$2:$L$483)+SUMIF(Mercado_Receita!$S$2:$S$483,"44713B1Convencional pré-pagamentoResidencialResidencial baixa renda – faixa 02Não se aplicaNão se aplicaFora ponta",Mercado_Receita!$L$2:$L$483)+SUMIF(Mercado_Receita!$S$2:$S$483,"44713B1Convencional pré-pagamentoResidencialResidencial baixa renda – faixa 02Não se aplicaNão se aplicaIntermediário",Mercado_Receita!$L$2:$L$483)+SUMIF(Mercado_Receita!$S$2:$S$483,"44713B1Convencional pré-pagamentoResidencialResidencial baixa renda – faixa 02Não se aplicaNão se aplicaNão se aplica",Mercado_Receita!$L$2:$L$483)</f>
        <v>0</v>
      </c>
      <c r="S24" s="13">
        <f>SUMIF(Mercado_Receita!$S$2:$S$483,"44743B1Convencional pré-pagamentoResidencialResidencial baixa renda – faixa 02Não se aplicaNão se aplicaPonta",Mercado_Receita!$L$2:$L$483)+SUMIF(Mercado_Receita!$S$2:$S$483,"44743B1Convencional pré-pagamentoResidencialResidencial baixa renda – faixa 02Não se aplicaNão se aplicaFora ponta",Mercado_Receita!$L$2:$L$483)+SUMIF(Mercado_Receita!$S$2:$S$483,"44743B1Convencional pré-pagamentoResidencialResidencial baixa renda – faixa 02Não se aplicaNão se aplicaIntermediário",Mercado_Receita!$L$2:$L$483)+SUMIF(Mercado_Receita!$S$2:$S$483,"44743B1Convencional pré-pagamentoResidencialResidencial baixa renda – faixa 02Não se aplicaNão se aplicaNão se aplica",Mercado_Receita!$L$2:$L$483)</f>
        <v>0</v>
      </c>
      <c r="T24" s="13">
        <f>SUMIF(Mercado_Receita!$S$2:$S$483,"44774B1Convencional pré-pagamentoResidencialResidencial baixa renda – faixa 02Não se aplicaNão se aplicaPonta",Mercado_Receita!$L$2:$L$483)+SUMIF(Mercado_Receita!$S$2:$S$483,"44774B1Convencional pré-pagamentoResidencialResidencial baixa renda – faixa 02Não se aplicaNão se aplicaFora ponta",Mercado_Receita!$L$2:$L$483)+SUMIF(Mercado_Receita!$S$2:$S$483,"44774B1Convencional pré-pagamentoResidencialResidencial baixa renda – faixa 02Não se aplicaNão se aplicaIntermediário",Mercado_Receita!$L$2:$L$483)+SUMIF(Mercado_Receita!$S$2:$S$483,"44774B1Convencional pré-pagamentoResidencialResidencial baixa renda – faixa 02Não se aplicaNão se aplicaNão se aplica",Mercado_Receita!$L$2:$L$483)</f>
        <v>0</v>
      </c>
      <c r="U24" s="13">
        <f t="shared" si="0"/>
        <v>0</v>
      </c>
      <c r="V24" s="13"/>
      <c r="W24" s="13"/>
    </row>
    <row r="25" spans="1:23" ht="11.25" customHeight="1" x14ac:dyDescent="0.3">
      <c r="A25" s="77"/>
      <c r="B25" s="77"/>
      <c r="C25" s="77"/>
      <c r="D25" s="12" t="s">
        <v>30</v>
      </c>
      <c r="E25" s="12" t="s">
        <v>25</v>
      </c>
      <c r="F25" s="12" t="s">
        <v>25</v>
      </c>
      <c r="G25" s="13" t="s">
        <v>83</v>
      </c>
      <c r="H25" s="13" t="s">
        <v>79</v>
      </c>
      <c r="I25" s="13">
        <f>SUMIF(Mercado_Receita!$S$2:$S$483,"44440B1Convencional pré-pagamentoResidencialResidencial baixa renda – faixa 03Não se aplicaNão se aplicaPonta",Mercado_Receita!$L$2:$L$483)+SUMIF(Mercado_Receita!$S$2:$S$483,"44440B1Convencional pré-pagamentoResidencialResidencial baixa renda – faixa 03Não se aplicaNão se aplicaFora ponta",Mercado_Receita!$L$2:$L$483)+SUMIF(Mercado_Receita!$S$2:$S$483,"44440B1Convencional pré-pagamentoResidencialResidencial baixa renda – faixa 03Não se aplicaNão se aplicaIntermediário",Mercado_Receita!$L$2:$L$483)+SUMIF(Mercado_Receita!$S$2:$S$483,"44440B1Convencional pré-pagamentoResidencialResidencial baixa renda – faixa 03Não se aplicaNão se aplicaNão se aplica",Mercado_Receita!$L$2:$L$483)</f>
        <v>0</v>
      </c>
      <c r="J25" s="13">
        <f>SUMIF(Mercado_Receita!$S$2:$S$483,"44470B1Convencional pré-pagamentoResidencialResidencial baixa renda – faixa 03Não se aplicaNão se aplicaPonta",Mercado_Receita!$L$2:$L$483)+SUMIF(Mercado_Receita!$S$2:$S$483,"44470B1Convencional pré-pagamentoResidencialResidencial baixa renda – faixa 03Não se aplicaNão se aplicaFora ponta",Mercado_Receita!$L$2:$L$483)+SUMIF(Mercado_Receita!$S$2:$S$483,"44470B1Convencional pré-pagamentoResidencialResidencial baixa renda – faixa 03Não se aplicaNão se aplicaIntermediário",Mercado_Receita!$L$2:$L$483)+SUMIF(Mercado_Receita!$S$2:$S$483,"44470B1Convencional pré-pagamentoResidencialResidencial baixa renda – faixa 03Não se aplicaNão se aplicaNão se aplica",Mercado_Receita!$L$2:$L$483)</f>
        <v>0</v>
      </c>
      <c r="K25" s="13">
        <f>SUMIF(Mercado_Receita!$S$2:$S$483,"44501B1Convencional pré-pagamentoResidencialResidencial baixa renda – faixa 03Não se aplicaNão se aplicaPonta",Mercado_Receita!$L$2:$L$483)+SUMIF(Mercado_Receita!$S$2:$S$483,"44501B1Convencional pré-pagamentoResidencialResidencial baixa renda – faixa 03Não se aplicaNão se aplicaFora ponta",Mercado_Receita!$L$2:$L$483)+SUMIF(Mercado_Receita!$S$2:$S$483,"44501B1Convencional pré-pagamentoResidencialResidencial baixa renda – faixa 03Não se aplicaNão se aplicaIntermediário",Mercado_Receita!$L$2:$L$483)+SUMIF(Mercado_Receita!$S$2:$S$483,"44501B1Convencional pré-pagamentoResidencialResidencial baixa renda – faixa 03Não se aplicaNão se aplicaNão se aplica",Mercado_Receita!$L$2:$L$483)</f>
        <v>0</v>
      </c>
      <c r="L25" s="13">
        <f>SUMIF(Mercado_Receita!$S$2:$S$483,"44531B1Convencional pré-pagamentoResidencialResidencial baixa renda – faixa 03Não se aplicaNão se aplicaPonta",Mercado_Receita!$L$2:$L$483)+SUMIF(Mercado_Receita!$S$2:$S$483,"44531B1Convencional pré-pagamentoResidencialResidencial baixa renda – faixa 03Não se aplicaNão se aplicaFora ponta",Mercado_Receita!$L$2:$L$483)+SUMIF(Mercado_Receita!$S$2:$S$483,"44531B1Convencional pré-pagamentoResidencialResidencial baixa renda – faixa 03Não se aplicaNão se aplicaIntermediário",Mercado_Receita!$L$2:$L$483)+SUMIF(Mercado_Receita!$S$2:$S$483,"44531B1Convencional pré-pagamentoResidencialResidencial baixa renda – faixa 03Não se aplicaNão se aplicaNão se aplica",Mercado_Receita!$L$2:$L$483)</f>
        <v>0</v>
      </c>
      <c r="M25" s="13">
        <f>SUMIF(Mercado_Receita!$S$2:$S$483,"44562B1Convencional pré-pagamentoResidencialResidencial baixa renda – faixa 03Não se aplicaNão se aplicaPonta",Mercado_Receita!$L$2:$L$483)+SUMIF(Mercado_Receita!$S$2:$S$483,"44562B1Convencional pré-pagamentoResidencialResidencial baixa renda – faixa 03Não se aplicaNão se aplicaFora ponta",Mercado_Receita!$L$2:$L$483)+SUMIF(Mercado_Receita!$S$2:$S$483,"44562B1Convencional pré-pagamentoResidencialResidencial baixa renda – faixa 03Não se aplicaNão se aplicaIntermediário",Mercado_Receita!$L$2:$L$483)+SUMIF(Mercado_Receita!$S$2:$S$483,"44562B1Convencional pré-pagamentoResidencialResidencial baixa renda – faixa 03Não se aplicaNão se aplicaNão se aplica",Mercado_Receita!$L$2:$L$483)</f>
        <v>0</v>
      </c>
      <c r="N25" s="13">
        <f>SUMIF(Mercado_Receita!$S$2:$S$483,"44593B1Convencional pré-pagamentoResidencialResidencial baixa renda – faixa 03Não se aplicaNão se aplicaPonta",Mercado_Receita!$L$2:$L$483)+SUMIF(Mercado_Receita!$S$2:$S$483,"44593B1Convencional pré-pagamentoResidencialResidencial baixa renda – faixa 03Não se aplicaNão se aplicaFora ponta",Mercado_Receita!$L$2:$L$483)+SUMIF(Mercado_Receita!$S$2:$S$483,"44593B1Convencional pré-pagamentoResidencialResidencial baixa renda – faixa 03Não se aplicaNão se aplicaIntermediário",Mercado_Receita!$L$2:$L$483)+SUMIF(Mercado_Receita!$S$2:$S$483,"44593B1Convencional pré-pagamentoResidencialResidencial baixa renda – faixa 03Não se aplicaNão se aplicaNão se aplica",Mercado_Receita!$L$2:$L$483)</f>
        <v>0</v>
      </c>
      <c r="O25" s="13">
        <f>SUMIF(Mercado_Receita!$S$2:$S$483,"44621B1Convencional pré-pagamentoResidencialResidencial baixa renda – faixa 03Não se aplicaNão se aplicaPonta",Mercado_Receita!$L$2:$L$483)+SUMIF(Mercado_Receita!$S$2:$S$483,"44621B1Convencional pré-pagamentoResidencialResidencial baixa renda – faixa 03Não se aplicaNão se aplicaFora ponta",Mercado_Receita!$L$2:$L$483)+SUMIF(Mercado_Receita!$S$2:$S$483,"44621B1Convencional pré-pagamentoResidencialResidencial baixa renda – faixa 03Não se aplicaNão se aplicaIntermediário",Mercado_Receita!$L$2:$L$483)+SUMIF(Mercado_Receita!$S$2:$S$483,"44621B1Convencional pré-pagamentoResidencialResidencial baixa renda – faixa 03Não se aplicaNão se aplicaNão se aplica",Mercado_Receita!$L$2:$L$483)</f>
        <v>0</v>
      </c>
      <c r="P25" s="13">
        <f>SUMIF(Mercado_Receita!$S$2:$S$483,"44652B1Convencional pré-pagamentoResidencialResidencial baixa renda – faixa 03Não se aplicaNão se aplicaPonta",Mercado_Receita!$L$2:$L$483)+SUMIF(Mercado_Receita!$S$2:$S$483,"44652B1Convencional pré-pagamentoResidencialResidencial baixa renda – faixa 03Não se aplicaNão se aplicaFora ponta",Mercado_Receita!$L$2:$L$483)+SUMIF(Mercado_Receita!$S$2:$S$483,"44652B1Convencional pré-pagamentoResidencialResidencial baixa renda – faixa 03Não se aplicaNão se aplicaIntermediário",Mercado_Receita!$L$2:$L$483)+SUMIF(Mercado_Receita!$S$2:$S$483,"44652B1Convencional pré-pagamentoResidencialResidencial baixa renda – faixa 03Não se aplicaNão se aplicaNão se aplica",Mercado_Receita!$L$2:$L$483)</f>
        <v>0</v>
      </c>
      <c r="Q25" s="13">
        <f>SUMIF(Mercado_Receita!$S$2:$S$483,"44682B1Convencional pré-pagamentoResidencialResidencial baixa renda – faixa 03Não se aplicaNão se aplicaPonta",Mercado_Receita!$L$2:$L$483)+SUMIF(Mercado_Receita!$S$2:$S$483,"44682B1Convencional pré-pagamentoResidencialResidencial baixa renda – faixa 03Não se aplicaNão se aplicaFora ponta",Mercado_Receita!$L$2:$L$483)+SUMIF(Mercado_Receita!$S$2:$S$483,"44682B1Convencional pré-pagamentoResidencialResidencial baixa renda – faixa 03Não se aplicaNão se aplicaIntermediário",Mercado_Receita!$L$2:$L$483)+SUMIF(Mercado_Receita!$S$2:$S$483,"44682B1Convencional pré-pagamentoResidencialResidencial baixa renda – faixa 03Não se aplicaNão se aplicaNão se aplica",Mercado_Receita!$L$2:$L$483)</f>
        <v>0</v>
      </c>
      <c r="R25" s="13">
        <f>SUMIF(Mercado_Receita!$S$2:$S$483,"44713B1Convencional pré-pagamentoResidencialResidencial baixa renda – faixa 03Não se aplicaNão se aplicaPonta",Mercado_Receita!$L$2:$L$483)+SUMIF(Mercado_Receita!$S$2:$S$483,"44713B1Convencional pré-pagamentoResidencialResidencial baixa renda – faixa 03Não se aplicaNão se aplicaFora ponta",Mercado_Receita!$L$2:$L$483)+SUMIF(Mercado_Receita!$S$2:$S$483,"44713B1Convencional pré-pagamentoResidencialResidencial baixa renda – faixa 03Não se aplicaNão se aplicaIntermediário",Mercado_Receita!$L$2:$L$483)+SUMIF(Mercado_Receita!$S$2:$S$483,"44713B1Convencional pré-pagamentoResidencialResidencial baixa renda – faixa 03Não se aplicaNão se aplicaNão se aplica",Mercado_Receita!$L$2:$L$483)</f>
        <v>0</v>
      </c>
      <c r="S25" s="13">
        <f>SUMIF(Mercado_Receita!$S$2:$S$483,"44743B1Convencional pré-pagamentoResidencialResidencial baixa renda – faixa 03Não se aplicaNão se aplicaPonta",Mercado_Receita!$L$2:$L$483)+SUMIF(Mercado_Receita!$S$2:$S$483,"44743B1Convencional pré-pagamentoResidencialResidencial baixa renda – faixa 03Não se aplicaNão se aplicaFora ponta",Mercado_Receita!$L$2:$L$483)+SUMIF(Mercado_Receita!$S$2:$S$483,"44743B1Convencional pré-pagamentoResidencialResidencial baixa renda – faixa 03Não se aplicaNão se aplicaIntermediário",Mercado_Receita!$L$2:$L$483)+SUMIF(Mercado_Receita!$S$2:$S$483,"44743B1Convencional pré-pagamentoResidencialResidencial baixa renda – faixa 03Não se aplicaNão se aplicaNão se aplica",Mercado_Receita!$L$2:$L$483)</f>
        <v>0</v>
      </c>
      <c r="T25" s="13">
        <f>SUMIF(Mercado_Receita!$S$2:$S$483,"44774B1Convencional pré-pagamentoResidencialResidencial baixa renda – faixa 03Não se aplicaNão se aplicaPonta",Mercado_Receita!$L$2:$L$483)+SUMIF(Mercado_Receita!$S$2:$S$483,"44774B1Convencional pré-pagamentoResidencialResidencial baixa renda – faixa 03Não se aplicaNão se aplicaFora ponta",Mercado_Receita!$L$2:$L$483)+SUMIF(Mercado_Receita!$S$2:$S$483,"44774B1Convencional pré-pagamentoResidencialResidencial baixa renda – faixa 03Não se aplicaNão se aplicaIntermediário",Mercado_Receita!$L$2:$L$483)+SUMIF(Mercado_Receita!$S$2:$S$483,"44774B1Convencional pré-pagamentoResidencialResidencial baixa renda – faixa 03Não se aplicaNão se aplicaNão se aplica",Mercado_Receita!$L$2:$L$483)</f>
        <v>0</v>
      </c>
      <c r="U25" s="13">
        <f t="shared" si="0"/>
        <v>0</v>
      </c>
      <c r="V25" s="13"/>
      <c r="W25" s="13"/>
    </row>
    <row r="26" spans="1:23" ht="11.25" customHeight="1" x14ac:dyDescent="0.3">
      <c r="A26" s="77"/>
      <c r="B26" s="77"/>
      <c r="C26" s="77"/>
      <c r="D26" s="12" t="s">
        <v>31</v>
      </c>
      <c r="E26" s="12" t="s">
        <v>25</v>
      </c>
      <c r="F26" s="12" t="s">
        <v>25</v>
      </c>
      <c r="G26" s="13" t="s">
        <v>83</v>
      </c>
      <c r="H26" s="13" t="s">
        <v>79</v>
      </c>
      <c r="I26" s="13">
        <f>SUMIF(Mercado_Receita!$S$2:$S$483,"44440B1Convencional pré-pagamentoResidencialResidencial baixa renda – faixa 04Não se aplicaNão se aplicaPonta",Mercado_Receita!$L$2:$L$483)+SUMIF(Mercado_Receita!$S$2:$S$483,"44440B1Convencional pré-pagamentoResidencialResidencial baixa renda – faixa 04Não se aplicaNão se aplicaFora ponta",Mercado_Receita!$L$2:$L$483)+SUMIF(Mercado_Receita!$S$2:$S$483,"44440B1Convencional pré-pagamentoResidencialResidencial baixa renda – faixa 04Não se aplicaNão se aplicaIntermediário",Mercado_Receita!$L$2:$L$483)+SUMIF(Mercado_Receita!$S$2:$S$483,"44440B1Convencional pré-pagamentoResidencialResidencial baixa renda – faixa 04Não se aplicaNão se aplicaNão se aplica",Mercado_Receita!$L$2:$L$483)</f>
        <v>0</v>
      </c>
      <c r="J26" s="13">
        <f>SUMIF(Mercado_Receita!$S$2:$S$483,"44470B1Convencional pré-pagamentoResidencialResidencial baixa renda – faixa 04Não se aplicaNão se aplicaPonta",Mercado_Receita!$L$2:$L$483)+SUMIF(Mercado_Receita!$S$2:$S$483,"44470B1Convencional pré-pagamentoResidencialResidencial baixa renda – faixa 04Não se aplicaNão se aplicaFora ponta",Mercado_Receita!$L$2:$L$483)+SUMIF(Mercado_Receita!$S$2:$S$483,"44470B1Convencional pré-pagamentoResidencialResidencial baixa renda – faixa 04Não se aplicaNão se aplicaIntermediário",Mercado_Receita!$L$2:$L$483)+SUMIF(Mercado_Receita!$S$2:$S$483,"44470B1Convencional pré-pagamentoResidencialResidencial baixa renda – faixa 04Não se aplicaNão se aplicaNão se aplica",Mercado_Receita!$L$2:$L$483)</f>
        <v>0</v>
      </c>
      <c r="K26" s="13">
        <f>SUMIF(Mercado_Receita!$S$2:$S$483,"44501B1Convencional pré-pagamentoResidencialResidencial baixa renda – faixa 04Não se aplicaNão se aplicaPonta",Mercado_Receita!$L$2:$L$483)+SUMIF(Mercado_Receita!$S$2:$S$483,"44501B1Convencional pré-pagamentoResidencialResidencial baixa renda – faixa 04Não se aplicaNão se aplicaFora ponta",Mercado_Receita!$L$2:$L$483)+SUMIF(Mercado_Receita!$S$2:$S$483,"44501B1Convencional pré-pagamentoResidencialResidencial baixa renda – faixa 04Não se aplicaNão se aplicaIntermediário",Mercado_Receita!$L$2:$L$483)+SUMIF(Mercado_Receita!$S$2:$S$483,"44501B1Convencional pré-pagamentoResidencialResidencial baixa renda – faixa 04Não se aplicaNão se aplicaNão se aplica",Mercado_Receita!$L$2:$L$483)</f>
        <v>0</v>
      </c>
      <c r="L26" s="13">
        <f>SUMIF(Mercado_Receita!$S$2:$S$483,"44531B1Convencional pré-pagamentoResidencialResidencial baixa renda – faixa 04Não se aplicaNão se aplicaPonta",Mercado_Receita!$L$2:$L$483)+SUMIF(Mercado_Receita!$S$2:$S$483,"44531B1Convencional pré-pagamentoResidencialResidencial baixa renda – faixa 04Não se aplicaNão se aplicaFora ponta",Mercado_Receita!$L$2:$L$483)+SUMIF(Mercado_Receita!$S$2:$S$483,"44531B1Convencional pré-pagamentoResidencialResidencial baixa renda – faixa 04Não se aplicaNão se aplicaIntermediário",Mercado_Receita!$L$2:$L$483)+SUMIF(Mercado_Receita!$S$2:$S$483,"44531B1Convencional pré-pagamentoResidencialResidencial baixa renda – faixa 04Não se aplicaNão se aplicaNão se aplica",Mercado_Receita!$L$2:$L$483)</f>
        <v>0</v>
      </c>
      <c r="M26" s="13">
        <f>SUMIF(Mercado_Receita!$S$2:$S$483,"44562B1Convencional pré-pagamentoResidencialResidencial baixa renda – faixa 04Não se aplicaNão se aplicaPonta",Mercado_Receita!$L$2:$L$483)+SUMIF(Mercado_Receita!$S$2:$S$483,"44562B1Convencional pré-pagamentoResidencialResidencial baixa renda – faixa 04Não se aplicaNão se aplicaFora ponta",Mercado_Receita!$L$2:$L$483)+SUMIF(Mercado_Receita!$S$2:$S$483,"44562B1Convencional pré-pagamentoResidencialResidencial baixa renda – faixa 04Não se aplicaNão se aplicaIntermediário",Mercado_Receita!$L$2:$L$483)+SUMIF(Mercado_Receita!$S$2:$S$483,"44562B1Convencional pré-pagamentoResidencialResidencial baixa renda – faixa 04Não se aplicaNão se aplicaNão se aplica",Mercado_Receita!$L$2:$L$483)</f>
        <v>0</v>
      </c>
      <c r="N26" s="13">
        <f>SUMIF(Mercado_Receita!$S$2:$S$483,"44593B1Convencional pré-pagamentoResidencialResidencial baixa renda – faixa 04Não se aplicaNão se aplicaPonta",Mercado_Receita!$L$2:$L$483)+SUMIF(Mercado_Receita!$S$2:$S$483,"44593B1Convencional pré-pagamentoResidencialResidencial baixa renda – faixa 04Não se aplicaNão se aplicaFora ponta",Mercado_Receita!$L$2:$L$483)+SUMIF(Mercado_Receita!$S$2:$S$483,"44593B1Convencional pré-pagamentoResidencialResidencial baixa renda – faixa 04Não se aplicaNão se aplicaIntermediário",Mercado_Receita!$L$2:$L$483)+SUMIF(Mercado_Receita!$S$2:$S$483,"44593B1Convencional pré-pagamentoResidencialResidencial baixa renda – faixa 04Não se aplicaNão se aplicaNão se aplica",Mercado_Receita!$L$2:$L$483)</f>
        <v>0</v>
      </c>
      <c r="O26" s="13">
        <f>SUMIF(Mercado_Receita!$S$2:$S$483,"44621B1Convencional pré-pagamentoResidencialResidencial baixa renda – faixa 04Não se aplicaNão se aplicaPonta",Mercado_Receita!$L$2:$L$483)+SUMIF(Mercado_Receita!$S$2:$S$483,"44621B1Convencional pré-pagamentoResidencialResidencial baixa renda – faixa 04Não se aplicaNão se aplicaFora ponta",Mercado_Receita!$L$2:$L$483)+SUMIF(Mercado_Receita!$S$2:$S$483,"44621B1Convencional pré-pagamentoResidencialResidencial baixa renda – faixa 04Não se aplicaNão se aplicaIntermediário",Mercado_Receita!$L$2:$L$483)+SUMIF(Mercado_Receita!$S$2:$S$483,"44621B1Convencional pré-pagamentoResidencialResidencial baixa renda – faixa 04Não se aplicaNão se aplicaNão se aplica",Mercado_Receita!$L$2:$L$483)</f>
        <v>0</v>
      </c>
      <c r="P26" s="13">
        <f>SUMIF(Mercado_Receita!$S$2:$S$483,"44652B1Convencional pré-pagamentoResidencialResidencial baixa renda – faixa 04Não se aplicaNão se aplicaPonta",Mercado_Receita!$L$2:$L$483)+SUMIF(Mercado_Receita!$S$2:$S$483,"44652B1Convencional pré-pagamentoResidencialResidencial baixa renda – faixa 04Não se aplicaNão se aplicaFora ponta",Mercado_Receita!$L$2:$L$483)+SUMIF(Mercado_Receita!$S$2:$S$483,"44652B1Convencional pré-pagamentoResidencialResidencial baixa renda – faixa 04Não se aplicaNão se aplicaIntermediário",Mercado_Receita!$L$2:$L$483)+SUMIF(Mercado_Receita!$S$2:$S$483,"44652B1Convencional pré-pagamentoResidencialResidencial baixa renda – faixa 04Não se aplicaNão se aplicaNão se aplica",Mercado_Receita!$L$2:$L$483)</f>
        <v>0</v>
      </c>
      <c r="Q26" s="13">
        <f>SUMIF(Mercado_Receita!$S$2:$S$483,"44682B1Convencional pré-pagamentoResidencialResidencial baixa renda – faixa 04Não se aplicaNão se aplicaPonta",Mercado_Receita!$L$2:$L$483)+SUMIF(Mercado_Receita!$S$2:$S$483,"44682B1Convencional pré-pagamentoResidencialResidencial baixa renda – faixa 04Não se aplicaNão se aplicaFora ponta",Mercado_Receita!$L$2:$L$483)+SUMIF(Mercado_Receita!$S$2:$S$483,"44682B1Convencional pré-pagamentoResidencialResidencial baixa renda – faixa 04Não se aplicaNão se aplicaIntermediário",Mercado_Receita!$L$2:$L$483)+SUMIF(Mercado_Receita!$S$2:$S$483,"44682B1Convencional pré-pagamentoResidencialResidencial baixa renda – faixa 04Não se aplicaNão se aplicaNão se aplica",Mercado_Receita!$L$2:$L$483)</f>
        <v>0</v>
      </c>
      <c r="R26" s="13">
        <f>SUMIF(Mercado_Receita!$S$2:$S$483,"44713B1Convencional pré-pagamentoResidencialResidencial baixa renda – faixa 04Não se aplicaNão se aplicaPonta",Mercado_Receita!$L$2:$L$483)+SUMIF(Mercado_Receita!$S$2:$S$483,"44713B1Convencional pré-pagamentoResidencialResidencial baixa renda – faixa 04Não se aplicaNão se aplicaFora ponta",Mercado_Receita!$L$2:$L$483)+SUMIF(Mercado_Receita!$S$2:$S$483,"44713B1Convencional pré-pagamentoResidencialResidencial baixa renda – faixa 04Não se aplicaNão se aplicaIntermediário",Mercado_Receita!$L$2:$L$483)+SUMIF(Mercado_Receita!$S$2:$S$483,"44713B1Convencional pré-pagamentoResidencialResidencial baixa renda – faixa 04Não se aplicaNão se aplicaNão se aplica",Mercado_Receita!$L$2:$L$483)</f>
        <v>0</v>
      </c>
      <c r="S26" s="13">
        <f>SUMIF(Mercado_Receita!$S$2:$S$483,"44743B1Convencional pré-pagamentoResidencialResidencial baixa renda – faixa 04Não se aplicaNão se aplicaPonta",Mercado_Receita!$L$2:$L$483)+SUMIF(Mercado_Receita!$S$2:$S$483,"44743B1Convencional pré-pagamentoResidencialResidencial baixa renda – faixa 04Não se aplicaNão se aplicaFora ponta",Mercado_Receita!$L$2:$L$483)+SUMIF(Mercado_Receita!$S$2:$S$483,"44743B1Convencional pré-pagamentoResidencialResidencial baixa renda – faixa 04Não se aplicaNão se aplicaIntermediário",Mercado_Receita!$L$2:$L$483)+SUMIF(Mercado_Receita!$S$2:$S$483,"44743B1Convencional pré-pagamentoResidencialResidencial baixa renda – faixa 04Não se aplicaNão se aplicaNão se aplica",Mercado_Receita!$L$2:$L$483)</f>
        <v>0</v>
      </c>
      <c r="T26" s="13">
        <f>SUMIF(Mercado_Receita!$S$2:$S$483,"44774B1Convencional pré-pagamentoResidencialResidencial baixa renda – faixa 04Não se aplicaNão se aplicaPonta",Mercado_Receita!$L$2:$L$483)+SUMIF(Mercado_Receita!$S$2:$S$483,"44774B1Convencional pré-pagamentoResidencialResidencial baixa renda – faixa 04Não se aplicaNão se aplicaFora ponta",Mercado_Receita!$L$2:$L$483)+SUMIF(Mercado_Receita!$S$2:$S$483,"44774B1Convencional pré-pagamentoResidencialResidencial baixa renda – faixa 04Não se aplicaNão se aplicaIntermediário",Mercado_Receita!$L$2:$L$483)+SUMIF(Mercado_Receita!$S$2:$S$483,"44774B1Convencional pré-pagamentoResidencialResidencial baixa renda – faixa 04Não se aplicaNão se aplicaNão se aplica",Mercado_Receita!$L$2:$L$483)</f>
        <v>0</v>
      </c>
      <c r="U26" s="13">
        <f t="shared" si="0"/>
        <v>0</v>
      </c>
      <c r="V26" s="13"/>
      <c r="W26" s="13"/>
    </row>
    <row r="27" spans="1:23" ht="11.25" customHeight="1" x14ac:dyDescent="0.3">
      <c r="A27" s="76" t="s">
        <v>40</v>
      </c>
      <c r="B27" s="76" t="s">
        <v>92</v>
      </c>
      <c r="C27" s="76" t="s">
        <v>41</v>
      </c>
      <c r="D27" s="76" t="s">
        <v>25</v>
      </c>
      <c r="E27" s="76" t="s">
        <v>25</v>
      </c>
      <c r="F27" s="76" t="s">
        <v>25</v>
      </c>
      <c r="G27" s="13" t="s">
        <v>80</v>
      </c>
      <c r="H27" s="13" t="s">
        <v>79</v>
      </c>
      <c r="I27" s="13">
        <f>SUMIF(Mercado_Receita!$S$2:$S$483,"44440B2BrancaRuralNão se aplicaNão se aplicaNão se aplicaPonta",Mercado_Receita!$L$2:$L$483)</f>
        <v>0</v>
      </c>
      <c r="J27" s="13">
        <f>SUMIF(Mercado_Receita!$S$2:$S$483,"44470B2BrancaRuralNão se aplicaNão se aplicaNão se aplicaPonta",Mercado_Receita!$L$2:$L$483)</f>
        <v>0</v>
      </c>
      <c r="K27" s="13">
        <f>SUMIF(Mercado_Receita!$S$2:$S$483,"44501B2BrancaRuralNão se aplicaNão se aplicaNão se aplicaPonta",Mercado_Receita!$L$2:$L$483)</f>
        <v>0</v>
      </c>
      <c r="L27" s="13">
        <f>SUMIF(Mercado_Receita!$S$2:$S$483,"44531B2BrancaRuralNão se aplicaNão se aplicaNão se aplicaPonta",Mercado_Receita!$L$2:$L$483)</f>
        <v>0</v>
      </c>
      <c r="M27" s="13">
        <f>SUMIF(Mercado_Receita!$S$2:$S$483,"44562B2BrancaRuralNão se aplicaNão se aplicaNão se aplicaPonta",Mercado_Receita!$L$2:$L$483)</f>
        <v>0</v>
      </c>
      <c r="N27" s="13">
        <f>SUMIF(Mercado_Receita!$S$2:$S$483,"44593B2BrancaRuralNão se aplicaNão se aplicaNão se aplicaPonta",Mercado_Receita!$L$2:$L$483)</f>
        <v>0</v>
      </c>
      <c r="O27" s="13">
        <f>SUMIF(Mercado_Receita!$S$2:$S$483,"44621B2BrancaRuralNão se aplicaNão se aplicaNão se aplicaPonta",Mercado_Receita!$L$2:$L$483)</f>
        <v>0</v>
      </c>
      <c r="P27" s="13">
        <f>SUMIF(Mercado_Receita!$S$2:$S$483,"44652B2BrancaRuralNão se aplicaNão se aplicaNão se aplicaPonta",Mercado_Receita!$L$2:$L$483)</f>
        <v>0</v>
      </c>
      <c r="Q27" s="13">
        <f>SUMIF(Mercado_Receita!$S$2:$S$483,"44682B2BrancaRuralNão se aplicaNão se aplicaNão se aplicaPonta",Mercado_Receita!$L$2:$L$483)</f>
        <v>0</v>
      </c>
      <c r="R27" s="13">
        <f>SUMIF(Mercado_Receita!$S$2:$S$483,"44713B2BrancaRuralNão se aplicaNão se aplicaNão se aplicaPonta",Mercado_Receita!$L$2:$L$483)</f>
        <v>0</v>
      </c>
      <c r="S27" s="13">
        <f>SUMIF(Mercado_Receita!$S$2:$S$483,"44743B2BrancaRuralNão se aplicaNão se aplicaNão se aplicaPonta",Mercado_Receita!$L$2:$L$483)</f>
        <v>0</v>
      </c>
      <c r="T27" s="13">
        <f>SUMIF(Mercado_Receita!$S$2:$S$483,"44774B2BrancaRuralNão se aplicaNão se aplicaNão se aplicaPonta",Mercado_Receita!$L$2:$L$483)</f>
        <v>0</v>
      </c>
      <c r="U27" s="13">
        <f t="shared" si="0"/>
        <v>0</v>
      </c>
      <c r="V27" s="13"/>
      <c r="W27" s="13"/>
    </row>
    <row r="28" spans="1:23" ht="11.25" customHeight="1" x14ac:dyDescent="0.3">
      <c r="A28" s="77"/>
      <c r="B28" s="77"/>
      <c r="C28" s="77"/>
      <c r="D28" s="77"/>
      <c r="E28" s="77"/>
      <c r="F28" s="77"/>
      <c r="G28" s="13" t="s">
        <v>91</v>
      </c>
      <c r="H28" s="13" t="s">
        <v>79</v>
      </c>
      <c r="I28" s="13">
        <f>SUMIF(Mercado_Receita!$S$2:$S$483,"44440B2BrancaRuralNão se aplicaNão se aplicaNão se aplicaIntermediário",Mercado_Receita!$L$2:$L$483)</f>
        <v>0</v>
      </c>
      <c r="J28" s="13">
        <f>SUMIF(Mercado_Receita!$S$2:$S$483,"44470B2BrancaRuralNão se aplicaNão se aplicaNão se aplicaIntermediário",Mercado_Receita!$L$2:$L$483)</f>
        <v>0</v>
      </c>
      <c r="K28" s="13">
        <f>SUMIF(Mercado_Receita!$S$2:$S$483,"44501B2BrancaRuralNão se aplicaNão se aplicaNão se aplicaIntermediário",Mercado_Receita!$L$2:$L$483)</f>
        <v>0</v>
      </c>
      <c r="L28" s="13">
        <f>SUMIF(Mercado_Receita!$S$2:$S$483,"44531B2BrancaRuralNão se aplicaNão se aplicaNão se aplicaIntermediário",Mercado_Receita!$L$2:$L$483)</f>
        <v>0</v>
      </c>
      <c r="M28" s="13">
        <f>SUMIF(Mercado_Receita!$S$2:$S$483,"44562B2BrancaRuralNão se aplicaNão se aplicaNão se aplicaIntermediário",Mercado_Receita!$L$2:$L$483)</f>
        <v>0</v>
      </c>
      <c r="N28" s="13">
        <f>SUMIF(Mercado_Receita!$S$2:$S$483,"44593B2BrancaRuralNão se aplicaNão se aplicaNão se aplicaIntermediário",Mercado_Receita!$L$2:$L$483)</f>
        <v>0</v>
      </c>
      <c r="O28" s="13">
        <f>SUMIF(Mercado_Receita!$S$2:$S$483,"44621B2BrancaRuralNão se aplicaNão se aplicaNão se aplicaIntermediário",Mercado_Receita!$L$2:$L$483)</f>
        <v>0</v>
      </c>
      <c r="P28" s="13">
        <f>SUMIF(Mercado_Receita!$S$2:$S$483,"44652B2BrancaRuralNão se aplicaNão se aplicaNão se aplicaIntermediário",Mercado_Receita!$L$2:$L$483)</f>
        <v>0</v>
      </c>
      <c r="Q28" s="13">
        <f>SUMIF(Mercado_Receita!$S$2:$S$483,"44682B2BrancaRuralNão se aplicaNão se aplicaNão se aplicaIntermediário",Mercado_Receita!$L$2:$L$483)</f>
        <v>0</v>
      </c>
      <c r="R28" s="13">
        <f>SUMIF(Mercado_Receita!$S$2:$S$483,"44713B2BrancaRuralNão se aplicaNão se aplicaNão se aplicaIntermediário",Mercado_Receita!$L$2:$L$483)</f>
        <v>0</v>
      </c>
      <c r="S28" s="13">
        <f>SUMIF(Mercado_Receita!$S$2:$S$483,"44743B2BrancaRuralNão se aplicaNão se aplicaNão se aplicaIntermediário",Mercado_Receita!$L$2:$L$483)</f>
        <v>0</v>
      </c>
      <c r="T28" s="13">
        <f>SUMIF(Mercado_Receita!$S$2:$S$483,"44774B2BrancaRuralNão se aplicaNão se aplicaNão se aplicaIntermediário",Mercado_Receita!$L$2:$L$483)</f>
        <v>0</v>
      </c>
      <c r="U28" s="13">
        <f t="shared" si="0"/>
        <v>0</v>
      </c>
      <c r="V28" s="13"/>
      <c r="W28" s="13"/>
    </row>
    <row r="29" spans="1:23" ht="11.25" customHeight="1" x14ac:dyDescent="0.3">
      <c r="A29" s="77"/>
      <c r="B29" s="77"/>
      <c r="C29" s="77"/>
      <c r="D29" s="77"/>
      <c r="E29" s="77"/>
      <c r="F29" s="77"/>
      <c r="G29" s="13" t="s">
        <v>81</v>
      </c>
      <c r="H29" s="13" t="s">
        <v>79</v>
      </c>
      <c r="I29" s="13">
        <f>SUMIF(Mercado_Receita!$S$2:$S$483,"44440B2BrancaRuralNão se aplicaNão se aplicaNão se aplicaFora ponta",Mercado_Receita!$L$2:$L$483)</f>
        <v>0</v>
      </c>
      <c r="J29" s="13">
        <f>SUMIF(Mercado_Receita!$S$2:$S$483,"44470B2BrancaRuralNão se aplicaNão se aplicaNão se aplicaFora ponta",Mercado_Receita!$L$2:$L$483)</f>
        <v>0</v>
      </c>
      <c r="K29" s="13">
        <f>SUMIF(Mercado_Receita!$S$2:$S$483,"44501B2BrancaRuralNão se aplicaNão se aplicaNão se aplicaFora ponta",Mercado_Receita!$L$2:$L$483)</f>
        <v>0</v>
      </c>
      <c r="L29" s="13">
        <f>SUMIF(Mercado_Receita!$S$2:$S$483,"44531B2BrancaRuralNão se aplicaNão se aplicaNão se aplicaFora ponta",Mercado_Receita!$L$2:$L$483)</f>
        <v>0</v>
      </c>
      <c r="M29" s="13">
        <f>SUMIF(Mercado_Receita!$S$2:$S$483,"44562B2BrancaRuralNão se aplicaNão se aplicaNão se aplicaFora ponta",Mercado_Receita!$L$2:$L$483)</f>
        <v>0</v>
      </c>
      <c r="N29" s="13">
        <f>SUMIF(Mercado_Receita!$S$2:$S$483,"44593B2BrancaRuralNão se aplicaNão se aplicaNão se aplicaFora ponta",Mercado_Receita!$L$2:$L$483)</f>
        <v>0</v>
      </c>
      <c r="O29" s="13">
        <f>SUMIF(Mercado_Receita!$S$2:$S$483,"44621B2BrancaRuralNão se aplicaNão se aplicaNão se aplicaFora ponta",Mercado_Receita!$L$2:$L$483)</f>
        <v>0</v>
      </c>
      <c r="P29" s="13">
        <f>SUMIF(Mercado_Receita!$S$2:$S$483,"44652B2BrancaRuralNão se aplicaNão se aplicaNão se aplicaFora ponta",Mercado_Receita!$L$2:$L$483)</f>
        <v>0</v>
      </c>
      <c r="Q29" s="13">
        <f>SUMIF(Mercado_Receita!$S$2:$S$483,"44682B2BrancaRuralNão se aplicaNão se aplicaNão se aplicaFora ponta",Mercado_Receita!$L$2:$L$483)</f>
        <v>0</v>
      </c>
      <c r="R29" s="13">
        <f>SUMIF(Mercado_Receita!$S$2:$S$483,"44713B2BrancaRuralNão se aplicaNão se aplicaNão se aplicaFora ponta",Mercado_Receita!$L$2:$L$483)</f>
        <v>0</v>
      </c>
      <c r="S29" s="13">
        <f>SUMIF(Mercado_Receita!$S$2:$S$483,"44743B2BrancaRuralNão se aplicaNão se aplicaNão se aplicaFora ponta",Mercado_Receita!$L$2:$L$483)</f>
        <v>0</v>
      </c>
      <c r="T29" s="13">
        <f>SUMIF(Mercado_Receita!$S$2:$S$483,"44774B2BrancaRuralNão se aplicaNão se aplicaNão se aplicaFora ponta",Mercado_Receita!$L$2:$L$483)</f>
        <v>0</v>
      </c>
      <c r="U29" s="13">
        <f t="shared" si="0"/>
        <v>0</v>
      </c>
      <c r="V29" s="13"/>
      <c r="W29" s="13"/>
    </row>
    <row r="30" spans="1:23" ht="11.25" customHeight="1" x14ac:dyDescent="0.3">
      <c r="A30" s="77"/>
      <c r="B30" s="12" t="s">
        <v>23</v>
      </c>
      <c r="C30" s="12" t="s">
        <v>41</v>
      </c>
      <c r="D30" s="12" t="s">
        <v>25</v>
      </c>
      <c r="E30" s="12" t="s">
        <v>25</v>
      </c>
      <c r="F30" s="12" t="s">
        <v>25</v>
      </c>
      <c r="G30" s="13" t="s">
        <v>83</v>
      </c>
      <c r="H30" s="13" t="s">
        <v>79</v>
      </c>
      <c r="I30" s="13">
        <f>SUMIF(Mercado_Receita!$S$2:$S$483,"44440B2ConvencionalRuralNão se aplicaNão se aplicaNão se aplicaPonta",Mercado_Receita!$L$2:$L$483)+SUMIF(Mercado_Receita!$S$2:$S$483,"44440B2ConvencionalRuralNão se aplicaNão se aplicaNão se aplicaFora ponta",Mercado_Receita!$L$2:$L$483)+SUMIF(Mercado_Receita!$S$2:$S$483,"44440B2ConvencionalRuralNão se aplicaNão se aplicaNão se aplicaIntermediário",Mercado_Receita!$L$2:$L$483)+SUMIF(Mercado_Receita!$S$2:$S$483,"44440B2ConvencionalRuralNão se aplicaNão se aplicaNão se aplicaNão se aplica",Mercado_Receita!$L$2:$L$483)</f>
        <v>1282.4970000000001</v>
      </c>
      <c r="J30" s="13">
        <f>SUMIF(Mercado_Receita!$S$2:$S$483,"44470B2ConvencionalRuralNão se aplicaNão se aplicaNão se aplicaPonta",Mercado_Receita!$L$2:$L$483)+SUMIF(Mercado_Receita!$S$2:$S$483,"44470B2ConvencionalRuralNão se aplicaNão se aplicaNão se aplicaFora ponta",Mercado_Receita!$L$2:$L$483)+SUMIF(Mercado_Receita!$S$2:$S$483,"44470B2ConvencionalRuralNão se aplicaNão se aplicaNão se aplicaIntermediário",Mercado_Receita!$L$2:$L$483)+SUMIF(Mercado_Receita!$S$2:$S$483,"44470B2ConvencionalRuralNão se aplicaNão se aplicaNão se aplicaNão se aplica",Mercado_Receita!$L$2:$L$483)</f>
        <v>1370.5039999999999</v>
      </c>
      <c r="K30" s="13">
        <f>SUMIF(Mercado_Receita!$S$2:$S$483,"44501B2ConvencionalRuralNão se aplicaNão se aplicaNão se aplicaPonta",Mercado_Receita!$L$2:$L$483)+SUMIF(Mercado_Receita!$S$2:$S$483,"44501B2ConvencionalRuralNão se aplicaNão se aplicaNão se aplicaFora ponta",Mercado_Receita!$L$2:$L$483)+SUMIF(Mercado_Receita!$S$2:$S$483,"44501B2ConvencionalRuralNão se aplicaNão se aplicaNão se aplicaIntermediário",Mercado_Receita!$L$2:$L$483)+SUMIF(Mercado_Receita!$S$2:$S$483,"44501B2ConvencionalRuralNão se aplicaNão se aplicaNão se aplicaNão se aplica",Mercado_Receita!$L$2:$L$483)</f>
        <v>1348.1200000000001</v>
      </c>
      <c r="L30" s="13">
        <f>SUMIF(Mercado_Receita!$S$2:$S$483,"44531B2ConvencionalRuralNão se aplicaNão se aplicaNão se aplicaPonta",Mercado_Receita!$L$2:$L$483)+SUMIF(Mercado_Receita!$S$2:$S$483,"44531B2ConvencionalRuralNão se aplicaNão se aplicaNão se aplicaFora ponta",Mercado_Receita!$L$2:$L$483)+SUMIF(Mercado_Receita!$S$2:$S$483,"44531B2ConvencionalRuralNão se aplicaNão se aplicaNão se aplicaIntermediário",Mercado_Receita!$L$2:$L$483)+SUMIF(Mercado_Receita!$S$2:$S$483,"44531B2ConvencionalRuralNão se aplicaNão se aplicaNão se aplicaNão se aplica",Mercado_Receita!$L$2:$L$483)</f>
        <v>1172.2400000000002</v>
      </c>
      <c r="M30" s="13">
        <f>SUMIF(Mercado_Receita!$S$2:$S$483,"44562B2ConvencionalRuralNão se aplicaNão se aplicaNão se aplicaPonta",Mercado_Receita!$L$2:$L$483)+SUMIF(Mercado_Receita!$S$2:$S$483,"44562B2ConvencionalRuralNão se aplicaNão se aplicaNão se aplicaFora ponta",Mercado_Receita!$L$2:$L$483)+SUMIF(Mercado_Receita!$S$2:$S$483,"44562B2ConvencionalRuralNão se aplicaNão se aplicaNão se aplicaIntermediário",Mercado_Receita!$L$2:$L$483)+SUMIF(Mercado_Receita!$S$2:$S$483,"44562B2ConvencionalRuralNão se aplicaNão se aplicaNão se aplicaNão se aplica",Mercado_Receita!$L$2:$L$483)</f>
        <v>1272.0250000000001</v>
      </c>
      <c r="N30" s="13">
        <f>SUMIF(Mercado_Receita!$S$2:$S$483,"44593B2ConvencionalRuralNão se aplicaNão se aplicaNão se aplicaPonta",Mercado_Receita!$L$2:$L$483)+SUMIF(Mercado_Receita!$S$2:$S$483,"44593B2ConvencionalRuralNão se aplicaNão se aplicaNão se aplicaFora ponta",Mercado_Receita!$L$2:$L$483)+SUMIF(Mercado_Receita!$S$2:$S$483,"44593B2ConvencionalRuralNão se aplicaNão se aplicaNão se aplicaIntermediário",Mercado_Receita!$L$2:$L$483)+SUMIF(Mercado_Receita!$S$2:$S$483,"44593B2ConvencionalRuralNão se aplicaNão se aplicaNão se aplicaNão se aplica",Mercado_Receita!$L$2:$L$483)</f>
        <v>1376.4470000000001</v>
      </c>
      <c r="O30" s="13">
        <f>SUMIF(Mercado_Receita!$S$2:$S$483,"44621B2ConvencionalRuralNão se aplicaNão se aplicaNão se aplicaPonta",Mercado_Receita!$L$2:$L$483)+SUMIF(Mercado_Receita!$S$2:$S$483,"44621B2ConvencionalRuralNão se aplicaNão se aplicaNão se aplicaFora ponta",Mercado_Receita!$L$2:$L$483)+SUMIF(Mercado_Receita!$S$2:$S$483,"44621B2ConvencionalRuralNão se aplicaNão se aplicaNão se aplicaIntermediário",Mercado_Receita!$L$2:$L$483)+SUMIF(Mercado_Receita!$S$2:$S$483,"44621B2ConvencionalRuralNão se aplicaNão se aplicaNão se aplicaNão se aplica",Mercado_Receita!$L$2:$L$483)</f>
        <v>1317.8659999999998</v>
      </c>
      <c r="P30" s="13">
        <f>SUMIF(Mercado_Receita!$S$2:$S$483,"44652B2ConvencionalRuralNão se aplicaNão se aplicaNão se aplicaPonta",Mercado_Receita!$L$2:$L$483)+SUMIF(Mercado_Receita!$S$2:$S$483,"44652B2ConvencionalRuralNão se aplicaNão se aplicaNão se aplicaFora ponta",Mercado_Receita!$L$2:$L$483)+SUMIF(Mercado_Receita!$S$2:$S$483,"44652B2ConvencionalRuralNão se aplicaNão se aplicaNão se aplicaIntermediário",Mercado_Receita!$L$2:$L$483)+SUMIF(Mercado_Receita!$S$2:$S$483,"44652B2ConvencionalRuralNão se aplicaNão se aplicaNão se aplicaNão se aplica",Mercado_Receita!$L$2:$L$483)</f>
        <v>1202.576</v>
      </c>
      <c r="Q30" s="13">
        <f>SUMIF(Mercado_Receita!$S$2:$S$483,"44682B2ConvencionalRuralNão se aplicaNão se aplicaNão se aplicaPonta",Mercado_Receita!$L$2:$L$483)+SUMIF(Mercado_Receita!$S$2:$S$483,"44682B2ConvencionalRuralNão se aplicaNão se aplicaNão se aplicaFora ponta",Mercado_Receita!$L$2:$L$483)+SUMIF(Mercado_Receita!$S$2:$S$483,"44682B2ConvencionalRuralNão se aplicaNão se aplicaNão se aplicaIntermediário",Mercado_Receita!$L$2:$L$483)+SUMIF(Mercado_Receita!$S$2:$S$483,"44682B2ConvencionalRuralNão se aplicaNão se aplicaNão se aplicaNão se aplica",Mercado_Receita!$L$2:$L$483)</f>
        <v>1206.759</v>
      </c>
      <c r="R30" s="13">
        <f>SUMIF(Mercado_Receita!$S$2:$S$483,"44713B2ConvencionalRuralNão se aplicaNão se aplicaNão se aplicaPonta",Mercado_Receita!$L$2:$L$483)+SUMIF(Mercado_Receita!$S$2:$S$483,"44713B2ConvencionalRuralNão se aplicaNão se aplicaNão se aplicaFora ponta",Mercado_Receita!$L$2:$L$483)+SUMIF(Mercado_Receita!$S$2:$S$483,"44713B2ConvencionalRuralNão se aplicaNão se aplicaNão se aplicaIntermediário",Mercado_Receita!$L$2:$L$483)+SUMIF(Mercado_Receita!$S$2:$S$483,"44713B2ConvencionalRuralNão se aplicaNão se aplicaNão se aplicaNão se aplica",Mercado_Receita!$L$2:$L$483)</f>
        <v>1219.0510000000002</v>
      </c>
      <c r="S30" s="13">
        <f>SUMIF(Mercado_Receita!$S$2:$S$483,"44743B2ConvencionalRuralNão se aplicaNão se aplicaNão se aplicaPonta",Mercado_Receita!$L$2:$L$483)+SUMIF(Mercado_Receita!$S$2:$S$483,"44743B2ConvencionalRuralNão se aplicaNão se aplicaNão se aplicaFora ponta",Mercado_Receita!$L$2:$L$483)+SUMIF(Mercado_Receita!$S$2:$S$483,"44743B2ConvencionalRuralNão se aplicaNão se aplicaNão se aplicaIntermediário",Mercado_Receita!$L$2:$L$483)+SUMIF(Mercado_Receita!$S$2:$S$483,"44743B2ConvencionalRuralNão se aplicaNão se aplicaNão se aplicaNão se aplica",Mercado_Receita!$L$2:$L$483)</f>
        <v>1175.511</v>
      </c>
      <c r="T30" s="13">
        <f>SUMIF(Mercado_Receita!$S$2:$S$483,"44774B2ConvencionalRuralNão se aplicaNão se aplicaNão se aplicaPonta",Mercado_Receita!$L$2:$L$483)+SUMIF(Mercado_Receita!$S$2:$S$483,"44774B2ConvencionalRuralNão se aplicaNão se aplicaNão se aplicaFora ponta",Mercado_Receita!$L$2:$L$483)+SUMIF(Mercado_Receita!$S$2:$S$483,"44774B2ConvencionalRuralNão se aplicaNão se aplicaNão se aplicaIntermediário",Mercado_Receita!$L$2:$L$483)+SUMIF(Mercado_Receita!$S$2:$S$483,"44774B2ConvencionalRuralNão se aplicaNão se aplicaNão se aplicaNão se aplica",Mercado_Receita!$L$2:$L$483)</f>
        <v>1175.511</v>
      </c>
      <c r="U30" s="13">
        <f t="shared" si="0"/>
        <v>15119.107000000002</v>
      </c>
      <c r="V30" s="13"/>
      <c r="W30" s="13"/>
    </row>
    <row r="31" spans="1:23" ht="11.25" customHeight="1" x14ac:dyDescent="0.3">
      <c r="A31" s="77"/>
      <c r="B31" s="76" t="s">
        <v>92</v>
      </c>
      <c r="C31" s="76" t="s">
        <v>41</v>
      </c>
      <c r="D31" s="76" t="s">
        <v>95</v>
      </c>
      <c r="E31" s="76" t="s">
        <v>25</v>
      </c>
      <c r="F31" s="76" t="s">
        <v>25</v>
      </c>
      <c r="G31" s="13" t="s">
        <v>80</v>
      </c>
      <c r="H31" s="13" t="s">
        <v>79</v>
      </c>
      <c r="I31" s="13">
        <f>SUMIF(Mercado_Receita!$S$2:$S$483,"44440B2BrancaRuralCooperativa de eletrificação ruralNão se aplicaNão se aplicaPonta",Mercado_Receita!$L$2:$L$483)</f>
        <v>0</v>
      </c>
      <c r="J31" s="13">
        <f>SUMIF(Mercado_Receita!$S$2:$S$483,"44470B2BrancaRuralCooperativa de eletrificação ruralNão se aplicaNão se aplicaPonta",Mercado_Receita!$L$2:$L$483)</f>
        <v>0</v>
      </c>
      <c r="K31" s="13">
        <f>SUMIF(Mercado_Receita!$S$2:$S$483,"44501B2BrancaRuralCooperativa de eletrificação ruralNão se aplicaNão se aplicaPonta",Mercado_Receita!$L$2:$L$483)</f>
        <v>0</v>
      </c>
      <c r="L31" s="13">
        <f>SUMIF(Mercado_Receita!$S$2:$S$483,"44531B2BrancaRuralCooperativa de eletrificação ruralNão se aplicaNão se aplicaPonta",Mercado_Receita!$L$2:$L$483)</f>
        <v>0</v>
      </c>
      <c r="M31" s="13">
        <f>SUMIF(Mercado_Receita!$S$2:$S$483,"44562B2BrancaRuralCooperativa de eletrificação ruralNão se aplicaNão se aplicaPonta",Mercado_Receita!$L$2:$L$483)</f>
        <v>0</v>
      </c>
      <c r="N31" s="13">
        <f>SUMIF(Mercado_Receita!$S$2:$S$483,"44593B2BrancaRuralCooperativa de eletrificação ruralNão se aplicaNão se aplicaPonta",Mercado_Receita!$L$2:$L$483)</f>
        <v>0</v>
      </c>
      <c r="O31" s="13">
        <f>SUMIF(Mercado_Receita!$S$2:$S$483,"44621B2BrancaRuralCooperativa de eletrificação ruralNão se aplicaNão se aplicaPonta",Mercado_Receita!$L$2:$L$483)</f>
        <v>0</v>
      </c>
      <c r="P31" s="13">
        <f>SUMIF(Mercado_Receita!$S$2:$S$483,"44652B2BrancaRuralCooperativa de eletrificação ruralNão se aplicaNão se aplicaPonta",Mercado_Receita!$L$2:$L$483)</f>
        <v>0</v>
      </c>
      <c r="Q31" s="13">
        <f>SUMIF(Mercado_Receita!$S$2:$S$483,"44682B2BrancaRuralCooperativa de eletrificação ruralNão se aplicaNão se aplicaPonta",Mercado_Receita!$L$2:$L$483)</f>
        <v>0</v>
      </c>
      <c r="R31" s="13">
        <f>SUMIF(Mercado_Receita!$S$2:$S$483,"44713B2BrancaRuralCooperativa de eletrificação ruralNão se aplicaNão se aplicaPonta",Mercado_Receita!$L$2:$L$483)</f>
        <v>0</v>
      </c>
      <c r="S31" s="13">
        <f>SUMIF(Mercado_Receita!$S$2:$S$483,"44743B2BrancaRuralCooperativa de eletrificação ruralNão se aplicaNão se aplicaPonta",Mercado_Receita!$L$2:$L$483)</f>
        <v>0</v>
      </c>
      <c r="T31" s="13">
        <f>SUMIF(Mercado_Receita!$S$2:$S$483,"44774B2BrancaRuralCooperativa de eletrificação ruralNão se aplicaNão se aplicaPonta",Mercado_Receita!$L$2:$L$483)</f>
        <v>0</v>
      </c>
      <c r="U31" s="13">
        <f t="shared" si="0"/>
        <v>0</v>
      </c>
      <c r="V31" s="13"/>
      <c r="W31" s="13"/>
    </row>
    <row r="32" spans="1:23" ht="11.25" customHeight="1" x14ac:dyDescent="0.3">
      <c r="A32" s="77"/>
      <c r="B32" s="77"/>
      <c r="C32" s="77"/>
      <c r="D32" s="77"/>
      <c r="E32" s="77"/>
      <c r="F32" s="77"/>
      <c r="G32" s="13" t="s">
        <v>91</v>
      </c>
      <c r="H32" s="13" t="s">
        <v>79</v>
      </c>
      <c r="I32" s="13">
        <f>SUMIF(Mercado_Receita!$S$2:$S$483,"44440B2BrancaRuralCooperativa de eletrificação ruralNão se aplicaNão se aplicaIntermediário",Mercado_Receita!$L$2:$L$483)</f>
        <v>0</v>
      </c>
      <c r="J32" s="13">
        <f>SUMIF(Mercado_Receita!$S$2:$S$483,"44470B2BrancaRuralCooperativa de eletrificação ruralNão se aplicaNão se aplicaIntermediário",Mercado_Receita!$L$2:$L$483)</f>
        <v>0</v>
      </c>
      <c r="K32" s="13">
        <f>SUMIF(Mercado_Receita!$S$2:$S$483,"44501B2BrancaRuralCooperativa de eletrificação ruralNão se aplicaNão se aplicaIntermediário",Mercado_Receita!$L$2:$L$483)</f>
        <v>0</v>
      </c>
      <c r="L32" s="13">
        <f>SUMIF(Mercado_Receita!$S$2:$S$483,"44531B2BrancaRuralCooperativa de eletrificação ruralNão se aplicaNão se aplicaIntermediário",Mercado_Receita!$L$2:$L$483)</f>
        <v>0</v>
      </c>
      <c r="M32" s="13">
        <f>SUMIF(Mercado_Receita!$S$2:$S$483,"44562B2BrancaRuralCooperativa de eletrificação ruralNão se aplicaNão se aplicaIntermediário",Mercado_Receita!$L$2:$L$483)</f>
        <v>0</v>
      </c>
      <c r="N32" s="13">
        <f>SUMIF(Mercado_Receita!$S$2:$S$483,"44593B2BrancaRuralCooperativa de eletrificação ruralNão se aplicaNão se aplicaIntermediário",Mercado_Receita!$L$2:$L$483)</f>
        <v>0</v>
      </c>
      <c r="O32" s="13">
        <f>SUMIF(Mercado_Receita!$S$2:$S$483,"44621B2BrancaRuralCooperativa de eletrificação ruralNão se aplicaNão se aplicaIntermediário",Mercado_Receita!$L$2:$L$483)</f>
        <v>0</v>
      </c>
      <c r="P32" s="13">
        <f>SUMIF(Mercado_Receita!$S$2:$S$483,"44652B2BrancaRuralCooperativa de eletrificação ruralNão se aplicaNão se aplicaIntermediário",Mercado_Receita!$L$2:$L$483)</f>
        <v>0</v>
      </c>
      <c r="Q32" s="13">
        <f>SUMIF(Mercado_Receita!$S$2:$S$483,"44682B2BrancaRuralCooperativa de eletrificação ruralNão se aplicaNão se aplicaIntermediário",Mercado_Receita!$L$2:$L$483)</f>
        <v>0</v>
      </c>
      <c r="R32" s="13">
        <f>SUMIF(Mercado_Receita!$S$2:$S$483,"44713B2BrancaRuralCooperativa de eletrificação ruralNão se aplicaNão se aplicaIntermediário",Mercado_Receita!$L$2:$L$483)</f>
        <v>0</v>
      </c>
      <c r="S32" s="13">
        <f>SUMIF(Mercado_Receita!$S$2:$S$483,"44743B2BrancaRuralCooperativa de eletrificação ruralNão se aplicaNão se aplicaIntermediário",Mercado_Receita!$L$2:$L$483)</f>
        <v>0</v>
      </c>
      <c r="T32" s="13">
        <f>SUMIF(Mercado_Receita!$S$2:$S$483,"44774B2BrancaRuralCooperativa de eletrificação ruralNão se aplicaNão se aplicaIntermediário",Mercado_Receita!$L$2:$L$483)</f>
        <v>0</v>
      </c>
      <c r="U32" s="13">
        <f t="shared" si="0"/>
        <v>0</v>
      </c>
      <c r="V32" s="13"/>
      <c r="W32" s="13"/>
    </row>
    <row r="33" spans="1:23" ht="11.25" customHeight="1" x14ac:dyDescent="0.3">
      <c r="A33" s="77"/>
      <c r="B33" s="77"/>
      <c r="C33" s="77"/>
      <c r="D33" s="77"/>
      <c r="E33" s="77"/>
      <c r="F33" s="77"/>
      <c r="G33" s="13" t="s">
        <v>81</v>
      </c>
      <c r="H33" s="13" t="s">
        <v>79</v>
      </c>
      <c r="I33" s="13">
        <f>SUMIF(Mercado_Receita!$S$2:$S$483,"44440B2BrancaRuralCooperativa de eletrificação ruralNão se aplicaNão se aplicaFora ponta",Mercado_Receita!$L$2:$L$483)</f>
        <v>0</v>
      </c>
      <c r="J33" s="13">
        <f>SUMIF(Mercado_Receita!$S$2:$S$483,"44470B2BrancaRuralCooperativa de eletrificação ruralNão se aplicaNão se aplicaFora ponta",Mercado_Receita!$L$2:$L$483)</f>
        <v>0</v>
      </c>
      <c r="K33" s="13">
        <f>SUMIF(Mercado_Receita!$S$2:$S$483,"44501B2BrancaRuralCooperativa de eletrificação ruralNão se aplicaNão se aplicaFora ponta",Mercado_Receita!$L$2:$L$483)</f>
        <v>0</v>
      </c>
      <c r="L33" s="13">
        <f>SUMIF(Mercado_Receita!$S$2:$S$483,"44531B2BrancaRuralCooperativa de eletrificação ruralNão se aplicaNão se aplicaFora ponta",Mercado_Receita!$L$2:$L$483)</f>
        <v>0</v>
      </c>
      <c r="M33" s="13">
        <f>SUMIF(Mercado_Receita!$S$2:$S$483,"44562B2BrancaRuralCooperativa de eletrificação ruralNão se aplicaNão se aplicaFora ponta",Mercado_Receita!$L$2:$L$483)</f>
        <v>0</v>
      </c>
      <c r="N33" s="13">
        <f>SUMIF(Mercado_Receita!$S$2:$S$483,"44593B2BrancaRuralCooperativa de eletrificação ruralNão se aplicaNão se aplicaFora ponta",Mercado_Receita!$L$2:$L$483)</f>
        <v>0</v>
      </c>
      <c r="O33" s="13">
        <f>SUMIF(Mercado_Receita!$S$2:$S$483,"44621B2BrancaRuralCooperativa de eletrificação ruralNão se aplicaNão se aplicaFora ponta",Mercado_Receita!$L$2:$L$483)</f>
        <v>0</v>
      </c>
      <c r="P33" s="13">
        <f>SUMIF(Mercado_Receita!$S$2:$S$483,"44652B2BrancaRuralCooperativa de eletrificação ruralNão se aplicaNão se aplicaFora ponta",Mercado_Receita!$L$2:$L$483)</f>
        <v>0</v>
      </c>
      <c r="Q33" s="13">
        <f>SUMIF(Mercado_Receita!$S$2:$S$483,"44682B2BrancaRuralCooperativa de eletrificação ruralNão se aplicaNão se aplicaFora ponta",Mercado_Receita!$L$2:$L$483)</f>
        <v>0</v>
      </c>
      <c r="R33" s="13">
        <f>SUMIF(Mercado_Receita!$S$2:$S$483,"44713B2BrancaRuralCooperativa de eletrificação ruralNão se aplicaNão se aplicaFora ponta",Mercado_Receita!$L$2:$L$483)</f>
        <v>0</v>
      </c>
      <c r="S33" s="13">
        <f>SUMIF(Mercado_Receita!$S$2:$S$483,"44743B2BrancaRuralCooperativa de eletrificação ruralNão se aplicaNão se aplicaFora ponta",Mercado_Receita!$L$2:$L$483)</f>
        <v>0</v>
      </c>
      <c r="T33" s="13">
        <f>SUMIF(Mercado_Receita!$S$2:$S$483,"44774B2BrancaRuralCooperativa de eletrificação ruralNão se aplicaNão se aplicaFora ponta",Mercado_Receita!$L$2:$L$483)</f>
        <v>0</v>
      </c>
      <c r="U33" s="13">
        <f t="shared" si="0"/>
        <v>0</v>
      </c>
      <c r="V33" s="13"/>
      <c r="W33" s="13"/>
    </row>
    <row r="34" spans="1:23" ht="11.25" customHeight="1" x14ac:dyDescent="0.3">
      <c r="A34" s="77"/>
      <c r="B34" s="12" t="s">
        <v>23</v>
      </c>
      <c r="C34" s="12" t="s">
        <v>41</v>
      </c>
      <c r="D34" s="12" t="s">
        <v>95</v>
      </c>
      <c r="E34" s="12" t="s">
        <v>25</v>
      </c>
      <c r="F34" s="12" t="s">
        <v>25</v>
      </c>
      <c r="G34" s="13" t="s">
        <v>83</v>
      </c>
      <c r="H34" s="13" t="s">
        <v>79</v>
      </c>
      <c r="I34" s="13">
        <f>SUMIF(Mercado_Receita!$S$2:$S$483,"44440B2ConvencionalRuralCooperativa de eletrificação ruralNão se aplicaNão se aplicaPonta",Mercado_Receita!$L$2:$L$483)+SUMIF(Mercado_Receita!$S$2:$S$483,"44440B2ConvencionalRuralCooperativa de eletrificação ruralNão se aplicaNão se aplicaFora ponta",Mercado_Receita!$L$2:$L$483)+SUMIF(Mercado_Receita!$S$2:$S$483,"44440B2ConvencionalRuralCooperativa de eletrificação ruralNão se aplicaNão se aplicaIntermediário",Mercado_Receita!$L$2:$L$483)+SUMIF(Mercado_Receita!$S$2:$S$483,"44440B2ConvencionalRuralCooperativa de eletrificação ruralNão se aplicaNão se aplicaNão se aplica",Mercado_Receita!$L$2:$L$483)</f>
        <v>0</v>
      </c>
      <c r="J34" s="13">
        <f>SUMIF(Mercado_Receita!$S$2:$S$483,"44470B2ConvencionalRuralCooperativa de eletrificação ruralNão se aplicaNão se aplicaPonta",Mercado_Receita!$L$2:$L$483)+SUMIF(Mercado_Receita!$S$2:$S$483,"44470B2ConvencionalRuralCooperativa de eletrificação ruralNão se aplicaNão se aplicaFora ponta",Mercado_Receita!$L$2:$L$483)+SUMIF(Mercado_Receita!$S$2:$S$483,"44470B2ConvencionalRuralCooperativa de eletrificação ruralNão se aplicaNão se aplicaIntermediário",Mercado_Receita!$L$2:$L$483)+SUMIF(Mercado_Receita!$S$2:$S$483,"44470B2ConvencionalRuralCooperativa de eletrificação ruralNão se aplicaNão se aplicaNão se aplica",Mercado_Receita!$L$2:$L$483)</f>
        <v>0</v>
      </c>
      <c r="K34" s="13">
        <f>SUMIF(Mercado_Receita!$S$2:$S$483,"44501B2ConvencionalRuralCooperativa de eletrificação ruralNão se aplicaNão se aplicaPonta",Mercado_Receita!$L$2:$L$483)+SUMIF(Mercado_Receita!$S$2:$S$483,"44501B2ConvencionalRuralCooperativa de eletrificação ruralNão se aplicaNão se aplicaFora ponta",Mercado_Receita!$L$2:$L$483)+SUMIF(Mercado_Receita!$S$2:$S$483,"44501B2ConvencionalRuralCooperativa de eletrificação ruralNão se aplicaNão se aplicaIntermediário",Mercado_Receita!$L$2:$L$483)+SUMIF(Mercado_Receita!$S$2:$S$483,"44501B2ConvencionalRuralCooperativa de eletrificação ruralNão se aplicaNão se aplicaNão se aplica",Mercado_Receita!$L$2:$L$483)</f>
        <v>0</v>
      </c>
      <c r="L34" s="13">
        <f>SUMIF(Mercado_Receita!$S$2:$S$483,"44531B2ConvencionalRuralCooperativa de eletrificação ruralNão se aplicaNão se aplicaPonta",Mercado_Receita!$L$2:$L$483)+SUMIF(Mercado_Receita!$S$2:$S$483,"44531B2ConvencionalRuralCooperativa de eletrificação ruralNão se aplicaNão se aplicaFora ponta",Mercado_Receita!$L$2:$L$483)+SUMIF(Mercado_Receita!$S$2:$S$483,"44531B2ConvencionalRuralCooperativa de eletrificação ruralNão se aplicaNão se aplicaIntermediário",Mercado_Receita!$L$2:$L$483)+SUMIF(Mercado_Receita!$S$2:$S$483,"44531B2ConvencionalRuralCooperativa de eletrificação ruralNão se aplicaNão se aplicaNão se aplica",Mercado_Receita!$L$2:$L$483)</f>
        <v>0</v>
      </c>
      <c r="M34" s="13">
        <f>SUMIF(Mercado_Receita!$S$2:$S$483,"44562B2ConvencionalRuralCooperativa de eletrificação ruralNão se aplicaNão se aplicaPonta",Mercado_Receita!$L$2:$L$483)+SUMIF(Mercado_Receita!$S$2:$S$483,"44562B2ConvencionalRuralCooperativa de eletrificação ruralNão se aplicaNão se aplicaFora ponta",Mercado_Receita!$L$2:$L$483)+SUMIF(Mercado_Receita!$S$2:$S$483,"44562B2ConvencionalRuralCooperativa de eletrificação ruralNão se aplicaNão se aplicaIntermediário",Mercado_Receita!$L$2:$L$483)+SUMIF(Mercado_Receita!$S$2:$S$483,"44562B2ConvencionalRuralCooperativa de eletrificação ruralNão se aplicaNão se aplicaNão se aplica",Mercado_Receita!$L$2:$L$483)</f>
        <v>0</v>
      </c>
      <c r="N34" s="13">
        <f>SUMIF(Mercado_Receita!$S$2:$S$483,"44593B2ConvencionalRuralCooperativa de eletrificação ruralNão se aplicaNão se aplicaPonta",Mercado_Receita!$L$2:$L$483)+SUMIF(Mercado_Receita!$S$2:$S$483,"44593B2ConvencionalRuralCooperativa de eletrificação ruralNão se aplicaNão se aplicaFora ponta",Mercado_Receita!$L$2:$L$483)+SUMIF(Mercado_Receita!$S$2:$S$483,"44593B2ConvencionalRuralCooperativa de eletrificação ruralNão se aplicaNão se aplicaIntermediário",Mercado_Receita!$L$2:$L$483)+SUMIF(Mercado_Receita!$S$2:$S$483,"44593B2ConvencionalRuralCooperativa de eletrificação ruralNão se aplicaNão se aplicaNão se aplica",Mercado_Receita!$L$2:$L$483)</f>
        <v>0</v>
      </c>
      <c r="O34" s="13">
        <f>SUMIF(Mercado_Receita!$S$2:$S$483,"44621B2ConvencionalRuralCooperativa de eletrificação ruralNão se aplicaNão se aplicaPonta",Mercado_Receita!$L$2:$L$483)+SUMIF(Mercado_Receita!$S$2:$S$483,"44621B2ConvencionalRuralCooperativa de eletrificação ruralNão se aplicaNão se aplicaFora ponta",Mercado_Receita!$L$2:$L$483)+SUMIF(Mercado_Receita!$S$2:$S$483,"44621B2ConvencionalRuralCooperativa de eletrificação ruralNão se aplicaNão se aplicaIntermediário",Mercado_Receita!$L$2:$L$483)+SUMIF(Mercado_Receita!$S$2:$S$483,"44621B2ConvencionalRuralCooperativa de eletrificação ruralNão se aplicaNão se aplicaNão se aplica",Mercado_Receita!$L$2:$L$483)</f>
        <v>0</v>
      </c>
      <c r="P34" s="13">
        <f>SUMIF(Mercado_Receita!$S$2:$S$483,"44652B2ConvencionalRuralCooperativa de eletrificação ruralNão se aplicaNão se aplicaPonta",Mercado_Receita!$L$2:$L$483)+SUMIF(Mercado_Receita!$S$2:$S$483,"44652B2ConvencionalRuralCooperativa de eletrificação ruralNão se aplicaNão se aplicaFora ponta",Mercado_Receita!$L$2:$L$483)+SUMIF(Mercado_Receita!$S$2:$S$483,"44652B2ConvencionalRuralCooperativa de eletrificação ruralNão se aplicaNão se aplicaIntermediário",Mercado_Receita!$L$2:$L$483)+SUMIF(Mercado_Receita!$S$2:$S$483,"44652B2ConvencionalRuralCooperativa de eletrificação ruralNão se aplicaNão se aplicaNão se aplica",Mercado_Receita!$L$2:$L$483)</f>
        <v>0</v>
      </c>
      <c r="Q34" s="13">
        <f>SUMIF(Mercado_Receita!$S$2:$S$483,"44682B2ConvencionalRuralCooperativa de eletrificação ruralNão se aplicaNão se aplicaPonta",Mercado_Receita!$L$2:$L$483)+SUMIF(Mercado_Receita!$S$2:$S$483,"44682B2ConvencionalRuralCooperativa de eletrificação ruralNão se aplicaNão se aplicaFora ponta",Mercado_Receita!$L$2:$L$483)+SUMIF(Mercado_Receita!$S$2:$S$483,"44682B2ConvencionalRuralCooperativa de eletrificação ruralNão se aplicaNão se aplicaIntermediário",Mercado_Receita!$L$2:$L$483)+SUMIF(Mercado_Receita!$S$2:$S$483,"44682B2ConvencionalRuralCooperativa de eletrificação ruralNão se aplicaNão se aplicaNão se aplica",Mercado_Receita!$L$2:$L$483)</f>
        <v>0</v>
      </c>
      <c r="R34" s="13">
        <f>SUMIF(Mercado_Receita!$S$2:$S$483,"44713B2ConvencionalRuralCooperativa de eletrificação ruralNão se aplicaNão se aplicaPonta",Mercado_Receita!$L$2:$L$483)+SUMIF(Mercado_Receita!$S$2:$S$483,"44713B2ConvencionalRuralCooperativa de eletrificação ruralNão se aplicaNão se aplicaFora ponta",Mercado_Receita!$L$2:$L$483)+SUMIF(Mercado_Receita!$S$2:$S$483,"44713B2ConvencionalRuralCooperativa de eletrificação ruralNão se aplicaNão se aplicaIntermediário",Mercado_Receita!$L$2:$L$483)+SUMIF(Mercado_Receita!$S$2:$S$483,"44713B2ConvencionalRuralCooperativa de eletrificação ruralNão se aplicaNão se aplicaNão se aplica",Mercado_Receita!$L$2:$L$483)</f>
        <v>0</v>
      </c>
      <c r="S34" s="13">
        <f>SUMIF(Mercado_Receita!$S$2:$S$483,"44743B2ConvencionalRuralCooperativa de eletrificação ruralNão se aplicaNão se aplicaPonta",Mercado_Receita!$L$2:$L$483)+SUMIF(Mercado_Receita!$S$2:$S$483,"44743B2ConvencionalRuralCooperativa de eletrificação ruralNão se aplicaNão se aplicaFora ponta",Mercado_Receita!$L$2:$L$483)+SUMIF(Mercado_Receita!$S$2:$S$483,"44743B2ConvencionalRuralCooperativa de eletrificação ruralNão se aplicaNão se aplicaIntermediário",Mercado_Receita!$L$2:$L$483)+SUMIF(Mercado_Receita!$S$2:$S$483,"44743B2ConvencionalRuralCooperativa de eletrificação ruralNão se aplicaNão se aplicaNão se aplica",Mercado_Receita!$L$2:$L$483)</f>
        <v>0</v>
      </c>
      <c r="T34" s="13">
        <f>SUMIF(Mercado_Receita!$S$2:$S$483,"44774B2ConvencionalRuralCooperativa de eletrificação ruralNão se aplicaNão se aplicaPonta",Mercado_Receita!$L$2:$L$483)+SUMIF(Mercado_Receita!$S$2:$S$483,"44774B2ConvencionalRuralCooperativa de eletrificação ruralNão se aplicaNão se aplicaFora ponta",Mercado_Receita!$L$2:$L$483)+SUMIF(Mercado_Receita!$S$2:$S$483,"44774B2ConvencionalRuralCooperativa de eletrificação ruralNão se aplicaNão se aplicaIntermediário",Mercado_Receita!$L$2:$L$483)+SUMIF(Mercado_Receita!$S$2:$S$483,"44774B2ConvencionalRuralCooperativa de eletrificação ruralNão se aplicaNão se aplicaNão se aplica",Mercado_Receita!$L$2:$L$483)</f>
        <v>0</v>
      </c>
      <c r="U34" s="13">
        <f t="shared" si="0"/>
        <v>0</v>
      </c>
      <c r="V34" s="13"/>
      <c r="W34" s="13"/>
    </row>
    <row r="35" spans="1:23" ht="11.25" customHeight="1" x14ac:dyDescent="0.3">
      <c r="A35" s="77"/>
      <c r="B35" s="76" t="s">
        <v>92</v>
      </c>
      <c r="C35" s="76" t="s">
        <v>41</v>
      </c>
      <c r="D35" s="76" t="s">
        <v>96</v>
      </c>
      <c r="E35" s="76" t="s">
        <v>25</v>
      </c>
      <c r="F35" s="76" t="s">
        <v>25</v>
      </c>
      <c r="G35" s="13" t="s">
        <v>80</v>
      </c>
      <c r="H35" s="13" t="s">
        <v>79</v>
      </c>
      <c r="I35" s="13">
        <f>SUMIF(Mercado_Receita!$S$2:$S$483,"44440B2BrancaRuralServiço público de irrigação ruralNão se aplicaNão se aplicaPonta",Mercado_Receita!$L$2:$L$483)</f>
        <v>0</v>
      </c>
      <c r="J35" s="13">
        <f>SUMIF(Mercado_Receita!$S$2:$S$483,"44470B2BrancaRuralServiço público de irrigação ruralNão se aplicaNão se aplicaPonta",Mercado_Receita!$L$2:$L$483)</f>
        <v>0</v>
      </c>
      <c r="K35" s="13">
        <f>SUMIF(Mercado_Receita!$S$2:$S$483,"44501B2BrancaRuralServiço público de irrigação ruralNão se aplicaNão se aplicaPonta",Mercado_Receita!$L$2:$L$483)</f>
        <v>0</v>
      </c>
      <c r="L35" s="13">
        <f>SUMIF(Mercado_Receita!$S$2:$S$483,"44531B2BrancaRuralServiço público de irrigação ruralNão se aplicaNão se aplicaPonta",Mercado_Receita!$L$2:$L$483)</f>
        <v>0</v>
      </c>
      <c r="M35" s="13">
        <f>SUMIF(Mercado_Receita!$S$2:$S$483,"44562B2BrancaRuralServiço público de irrigação ruralNão se aplicaNão se aplicaPonta",Mercado_Receita!$L$2:$L$483)</f>
        <v>0</v>
      </c>
      <c r="N35" s="13">
        <f>SUMIF(Mercado_Receita!$S$2:$S$483,"44593B2BrancaRuralServiço público de irrigação ruralNão se aplicaNão se aplicaPonta",Mercado_Receita!$L$2:$L$483)</f>
        <v>0</v>
      </c>
      <c r="O35" s="13">
        <f>SUMIF(Mercado_Receita!$S$2:$S$483,"44621B2BrancaRuralServiço público de irrigação ruralNão se aplicaNão se aplicaPonta",Mercado_Receita!$L$2:$L$483)</f>
        <v>0</v>
      </c>
      <c r="P35" s="13">
        <f>SUMIF(Mercado_Receita!$S$2:$S$483,"44652B2BrancaRuralServiço público de irrigação ruralNão se aplicaNão se aplicaPonta",Mercado_Receita!$L$2:$L$483)</f>
        <v>0</v>
      </c>
      <c r="Q35" s="13">
        <f>SUMIF(Mercado_Receita!$S$2:$S$483,"44682B2BrancaRuralServiço público de irrigação ruralNão se aplicaNão se aplicaPonta",Mercado_Receita!$L$2:$L$483)</f>
        <v>0</v>
      </c>
      <c r="R35" s="13">
        <f>SUMIF(Mercado_Receita!$S$2:$S$483,"44713B2BrancaRuralServiço público de irrigação ruralNão se aplicaNão se aplicaPonta",Mercado_Receita!$L$2:$L$483)</f>
        <v>0</v>
      </c>
      <c r="S35" s="13">
        <f>SUMIF(Mercado_Receita!$S$2:$S$483,"44743B2BrancaRuralServiço público de irrigação ruralNão se aplicaNão se aplicaPonta",Mercado_Receita!$L$2:$L$483)</f>
        <v>0</v>
      </c>
      <c r="T35" s="13">
        <f>SUMIF(Mercado_Receita!$S$2:$S$483,"44774B2BrancaRuralServiço público de irrigação ruralNão se aplicaNão se aplicaPonta",Mercado_Receita!$L$2:$L$483)</f>
        <v>0</v>
      </c>
      <c r="U35" s="13">
        <f t="shared" si="0"/>
        <v>0</v>
      </c>
      <c r="V35" s="13"/>
      <c r="W35" s="13"/>
    </row>
    <row r="36" spans="1:23" ht="11.25" customHeight="1" x14ac:dyDescent="0.3">
      <c r="A36" s="77"/>
      <c r="B36" s="77"/>
      <c r="C36" s="77"/>
      <c r="D36" s="77"/>
      <c r="E36" s="77"/>
      <c r="F36" s="77"/>
      <c r="G36" s="13" t="s">
        <v>91</v>
      </c>
      <c r="H36" s="13" t="s">
        <v>79</v>
      </c>
      <c r="I36" s="13">
        <f>SUMIF(Mercado_Receita!$S$2:$S$483,"44440B2BrancaRuralServiço público de irrigação ruralNão se aplicaNão se aplicaIntermediário",Mercado_Receita!$L$2:$L$483)</f>
        <v>0</v>
      </c>
      <c r="J36" s="13">
        <f>SUMIF(Mercado_Receita!$S$2:$S$483,"44470B2BrancaRuralServiço público de irrigação ruralNão se aplicaNão se aplicaIntermediário",Mercado_Receita!$L$2:$L$483)</f>
        <v>0</v>
      </c>
      <c r="K36" s="13">
        <f>SUMIF(Mercado_Receita!$S$2:$S$483,"44501B2BrancaRuralServiço público de irrigação ruralNão se aplicaNão se aplicaIntermediário",Mercado_Receita!$L$2:$L$483)</f>
        <v>0</v>
      </c>
      <c r="L36" s="13">
        <f>SUMIF(Mercado_Receita!$S$2:$S$483,"44531B2BrancaRuralServiço público de irrigação ruralNão se aplicaNão se aplicaIntermediário",Mercado_Receita!$L$2:$L$483)</f>
        <v>0</v>
      </c>
      <c r="M36" s="13">
        <f>SUMIF(Mercado_Receita!$S$2:$S$483,"44562B2BrancaRuralServiço público de irrigação ruralNão se aplicaNão se aplicaIntermediário",Mercado_Receita!$L$2:$L$483)</f>
        <v>0</v>
      </c>
      <c r="N36" s="13">
        <f>SUMIF(Mercado_Receita!$S$2:$S$483,"44593B2BrancaRuralServiço público de irrigação ruralNão se aplicaNão se aplicaIntermediário",Mercado_Receita!$L$2:$L$483)</f>
        <v>0</v>
      </c>
      <c r="O36" s="13">
        <f>SUMIF(Mercado_Receita!$S$2:$S$483,"44621B2BrancaRuralServiço público de irrigação ruralNão se aplicaNão se aplicaIntermediário",Mercado_Receita!$L$2:$L$483)</f>
        <v>0</v>
      </c>
      <c r="P36" s="13">
        <f>SUMIF(Mercado_Receita!$S$2:$S$483,"44652B2BrancaRuralServiço público de irrigação ruralNão se aplicaNão se aplicaIntermediário",Mercado_Receita!$L$2:$L$483)</f>
        <v>0</v>
      </c>
      <c r="Q36" s="13">
        <f>SUMIF(Mercado_Receita!$S$2:$S$483,"44682B2BrancaRuralServiço público de irrigação ruralNão se aplicaNão se aplicaIntermediário",Mercado_Receita!$L$2:$L$483)</f>
        <v>0</v>
      </c>
      <c r="R36" s="13">
        <f>SUMIF(Mercado_Receita!$S$2:$S$483,"44713B2BrancaRuralServiço público de irrigação ruralNão se aplicaNão se aplicaIntermediário",Mercado_Receita!$L$2:$L$483)</f>
        <v>0</v>
      </c>
      <c r="S36" s="13">
        <f>SUMIF(Mercado_Receita!$S$2:$S$483,"44743B2BrancaRuralServiço público de irrigação ruralNão se aplicaNão se aplicaIntermediário",Mercado_Receita!$L$2:$L$483)</f>
        <v>0</v>
      </c>
      <c r="T36" s="13">
        <f>SUMIF(Mercado_Receita!$S$2:$S$483,"44774B2BrancaRuralServiço público de irrigação ruralNão se aplicaNão se aplicaIntermediário",Mercado_Receita!$L$2:$L$483)</f>
        <v>0</v>
      </c>
      <c r="U36" s="13">
        <f t="shared" si="0"/>
        <v>0</v>
      </c>
      <c r="V36" s="13"/>
      <c r="W36" s="13"/>
    </row>
    <row r="37" spans="1:23" ht="11.25" customHeight="1" x14ac:dyDescent="0.3">
      <c r="A37" s="77"/>
      <c r="B37" s="77"/>
      <c r="C37" s="77"/>
      <c r="D37" s="77"/>
      <c r="E37" s="77"/>
      <c r="F37" s="77"/>
      <c r="G37" s="13" t="s">
        <v>81</v>
      </c>
      <c r="H37" s="13" t="s">
        <v>79</v>
      </c>
      <c r="I37" s="13">
        <f>SUMIF(Mercado_Receita!$S$2:$S$483,"44440B2BrancaRuralServiço público de irrigação ruralNão se aplicaNão se aplicaFora ponta",Mercado_Receita!$L$2:$L$483)</f>
        <v>0</v>
      </c>
      <c r="J37" s="13">
        <f>SUMIF(Mercado_Receita!$S$2:$S$483,"44470B2BrancaRuralServiço público de irrigação ruralNão se aplicaNão se aplicaFora ponta",Mercado_Receita!$L$2:$L$483)</f>
        <v>0</v>
      </c>
      <c r="K37" s="13">
        <f>SUMIF(Mercado_Receita!$S$2:$S$483,"44501B2BrancaRuralServiço público de irrigação ruralNão se aplicaNão se aplicaFora ponta",Mercado_Receita!$L$2:$L$483)</f>
        <v>0</v>
      </c>
      <c r="L37" s="13">
        <f>SUMIF(Mercado_Receita!$S$2:$S$483,"44531B2BrancaRuralServiço público de irrigação ruralNão se aplicaNão se aplicaFora ponta",Mercado_Receita!$L$2:$L$483)</f>
        <v>0</v>
      </c>
      <c r="M37" s="13">
        <f>SUMIF(Mercado_Receita!$S$2:$S$483,"44562B2BrancaRuralServiço público de irrigação ruralNão se aplicaNão se aplicaFora ponta",Mercado_Receita!$L$2:$L$483)</f>
        <v>0</v>
      </c>
      <c r="N37" s="13">
        <f>SUMIF(Mercado_Receita!$S$2:$S$483,"44593B2BrancaRuralServiço público de irrigação ruralNão se aplicaNão se aplicaFora ponta",Mercado_Receita!$L$2:$L$483)</f>
        <v>0</v>
      </c>
      <c r="O37" s="13">
        <f>SUMIF(Mercado_Receita!$S$2:$S$483,"44621B2BrancaRuralServiço público de irrigação ruralNão se aplicaNão se aplicaFora ponta",Mercado_Receita!$L$2:$L$483)</f>
        <v>0</v>
      </c>
      <c r="P37" s="13">
        <f>SUMIF(Mercado_Receita!$S$2:$S$483,"44652B2BrancaRuralServiço público de irrigação ruralNão se aplicaNão se aplicaFora ponta",Mercado_Receita!$L$2:$L$483)</f>
        <v>0</v>
      </c>
      <c r="Q37" s="13">
        <f>SUMIF(Mercado_Receita!$S$2:$S$483,"44682B2BrancaRuralServiço público de irrigação ruralNão se aplicaNão se aplicaFora ponta",Mercado_Receita!$L$2:$L$483)</f>
        <v>0</v>
      </c>
      <c r="R37" s="13">
        <f>SUMIF(Mercado_Receita!$S$2:$S$483,"44713B2BrancaRuralServiço público de irrigação ruralNão se aplicaNão se aplicaFora ponta",Mercado_Receita!$L$2:$L$483)</f>
        <v>0</v>
      </c>
      <c r="S37" s="13">
        <f>SUMIF(Mercado_Receita!$S$2:$S$483,"44743B2BrancaRuralServiço público de irrigação ruralNão se aplicaNão se aplicaFora ponta",Mercado_Receita!$L$2:$L$483)</f>
        <v>0</v>
      </c>
      <c r="T37" s="13">
        <f>SUMIF(Mercado_Receita!$S$2:$S$483,"44774B2BrancaRuralServiço público de irrigação ruralNão se aplicaNão se aplicaFora ponta",Mercado_Receita!$L$2:$L$483)</f>
        <v>0</v>
      </c>
      <c r="U37" s="13">
        <f t="shared" si="0"/>
        <v>0</v>
      </c>
      <c r="V37" s="13"/>
      <c r="W37" s="13"/>
    </row>
    <row r="38" spans="1:23" ht="11.25" customHeight="1" x14ac:dyDescent="0.3">
      <c r="A38" s="77"/>
      <c r="B38" s="12" t="s">
        <v>23</v>
      </c>
      <c r="C38" s="12" t="s">
        <v>41</v>
      </c>
      <c r="D38" s="12" t="s">
        <v>96</v>
      </c>
      <c r="E38" s="12" t="s">
        <v>25</v>
      </c>
      <c r="F38" s="12" t="s">
        <v>25</v>
      </c>
      <c r="G38" s="13" t="s">
        <v>83</v>
      </c>
      <c r="H38" s="13" t="s">
        <v>79</v>
      </c>
      <c r="I38" s="13">
        <f>SUMIF(Mercado_Receita!$S$2:$S$483,"44440B2ConvencionalRuralServiço público de irrigação ruralNão se aplicaNão se aplicaPonta",Mercado_Receita!$L$2:$L$483)+SUMIF(Mercado_Receita!$S$2:$S$483,"44440B2ConvencionalRuralServiço público de irrigação ruralNão se aplicaNão se aplicaFora ponta",Mercado_Receita!$L$2:$L$483)+SUMIF(Mercado_Receita!$S$2:$S$483,"44440B2ConvencionalRuralServiço público de irrigação ruralNão se aplicaNão se aplicaIntermediário",Mercado_Receita!$L$2:$L$483)+SUMIF(Mercado_Receita!$S$2:$S$483,"44440B2ConvencionalRuralServiço público de irrigação ruralNão se aplicaNão se aplicaNão se aplica",Mercado_Receita!$L$2:$L$483)</f>
        <v>0</v>
      </c>
      <c r="J38" s="13">
        <f>SUMIF(Mercado_Receita!$S$2:$S$483,"44470B2ConvencionalRuralServiço público de irrigação ruralNão se aplicaNão se aplicaPonta",Mercado_Receita!$L$2:$L$483)+SUMIF(Mercado_Receita!$S$2:$S$483,"44470B2ConvencionalRuralServiço público de irrigação ruralNão se aplicaNão se aplicaFora ponta",Mercado_Receita!$L$2:$L$483)+SUMIF(Mercado_Receita!$S$2:$S$483,"44470B2ConvencionalRuralServiço público de irrigação ruralNão se aplicaNão se aplicaIntermediário",Mercado_Receita!$L$2:$L$483)+SUMIF(Mercado_Receita!$S$2:$S$483,"44470B2ConvencionalRuralServiço público de irrigação ruralNão se aplicaNão se aplicaNão se aplica",Mercado_Receita!$L$2:$L$483)</f>
        <v>0</v>
      </c>
      <c r="K38" s="13">
        <f>SUMIF(Mercado_Receita!$S$2:$S$483,"44501B2ConvencionalRuralServiço público de irrigação ruralNão se aplicaNão se aplicaPonta",Mercado_Receita!$L$2:$L$483)+SUMIF(Mercado_Receita!$S$2:$S$483,"44501B2ConvencionalRuralServiço público de irrigação ruralNão se aplicaNão se aplicaFora ponta",Mercado_Receita!$L$2:$L$483)+SUMIF(Mercado_Receita!$S$2:$S$483,"44501B2ConvencionalRuralServiço público de irrigação ruralNão se aplicaNão se aplicaIntermediário",Mercado_Receita!$L$2:$L$483)+SUMIF(Mercado_Receita!$S$2:$S$483,"44501B2ConvencionalRuralServiço público de irrigação ruralNão se aplicaNão se aplicaNão se aplica",Mercado_Receita!$L$2:$L$483)</f>
        <v>0</v>
      </c>
      <c r="L38" s="13">
        <f>SUMIF(Mercado_Receita!$S$2:$S$483,"44531B2ConvencionalRuralServiço público de irrigação ruralNão se aplicaNão se aplicaPonta",Mercado_Receita!$L$2:$L$483)+SUMIF(Mercado_Receita!$S$2:$S$483,"44531B2ConvencionalRuralServiço público de irrigação ruralNão se aplicaNão se aplicaFora ponta",Mercado_Receita!$L$2:$L$483)+SUMIF(Mercado_Receita!$S$2:$S$483,"44531B2ConvencionalRuralServiço público de irrigação ruralNão se aplicaNão se aplicaIntermediário",Mercado_Receita!$L$2:$L$483)+SUMIF(Mercado_Receita!$S$2:$S$483,"44531B2ConvencionalRuralServiço público de irrigação ruralNão se aplicaNão se aplicaNão se aplica",Mercado_Receita!$L$2:$L$483)</f>
        <v>0</v>
      </c>
      <c r="M38" s="13">
        <f>SUMIF(Mercado_Receita!$S$2:$S$483,"44562B2ConvencionalRuralServiço público de irrigação ruralNão se aplicaNão se aplicaPonta",Mercado_Receita!$L$2:$L$483)+SUMIF(Mercado_Receita!$S$2:$S$483,"44562B2ConvencionalRuralServiço público de irrigação ruralNão se aplicaNão se aplicaFora ponta",Mercado_Receita!$L$2:$L$483)+SUMIF(Mercado_Receita!$S$2:$S$483,"44562B2ConvencionalRuralServiço público de irrigação ruralNão se aplicaNão se aplicaIntermediário",Mercado_Receita!$L$2:$L$483)+SUMIF(Mercado_Receita!$S$2:$S$483,"44562B2ConvencionalRuralServiço público de irrigação ruralNão se aplicaNão se aplicaNão se aplica",Mercado_Receita!$L$2:$L$483)</f>
        <v>0</v>
      </c>
      <c r="N38" s="13">
        <f>SUMIF(Mercado_Receita!$S$2:$S$483,"44593B2ConvencionalRuralServiço público de irrigação ruralNão se aplicaNão se aplicaPonta",Mercado_Receita!$L$2:$L$483)+SUMIF(Mercado_Receita!$S$2:$S$483,"44593B2ConvencionalRuralServiço público de irrigação ruralNão se aplicaNão se aplicaFora ponta",Mercado_Receita!$L$2:$L$483)+SUMIF(Mercado_Receita!$S$2:$S$483,"44593B2ConvencionalRuralServiço público de irrigação ruralNão se aplicaNão se aplicaIntermediário",Mercado_Receita!$L$2:$L$483)+SUMIF(Mercado_Receita!$S$2:$S$483,"44593B2ConvencionalRuralServiço público de irrigação ruralNão se aplicaNão se aplicaNão se aplica",Mercado_Receita!$L$2:$L$483)</f>
        <v>0</v>
      </c>
      <c r="O38" s="13">
        <f>SUMIF(Mercado_Receita!$S$2:$S$483,"44621B2ConvencionalRuralServiço público de irrigação ruralNão se aplicaNão se aplicaPonta",Mercado_Receita!$L$2:$L$483)+SUMIF(Mercado_Receita!$S$2:$S$483,"44621B2ConvencionalRuralServiço público de irrigação ruralNão se aplicaNão se aplicaFora ponta",Mercado_Receita!$L$2:$L$483)+SUMIF(Mercado_Receita!$S$2:$S$483,"44621B2ConvencionalRuralServiço público de irrigação ruralNão se aplicaNão se aplicaIntermediário",Mercado_Receita!$L$2:$L$483)+SUMIF(Mercado_Receita!$S$2:$S$483,"44621B2ConvencionalRuralServiço público de irrigação ruralNão se aplicaNão se aplicaNão se aplica",Mercado_Receita!$L$2:$L$483)</f>
        <v>0</v>
      </c>
      <c r="P38" s="13">
        <f>SUMIF(Mercado_Receita!$S$2:$S$483,"44652B2ConvencionalRuralServiço público de irrigação ruralNão se aplicaNão se aplicaPonta",Mercado_Receita!$L$2:$L$483)+SUMIF(Mercado_Receita!$S$2:$S$483,"44652B2ConvencionalRuralServiço público de irrigação ruralNão se aplicaNão se aplicaFora ponta",Mercado_Receita!$L$2:$L$483)+SUMIF(Mercado_Receita!$S$2:$S$483,"44652B2ConvencionalRuralServiço público de irrigação ruralNão se aplicaNão se aplicaIntermediário",Mercado_Receita!$L$2:$L$483)+SUMIF(Mercado_Receita!$S$2:$S$483,"44652B2ConvencionalRuralServiço público de irrigação ruralNão se aplicaNão se aplicaNão se aplica",Mercado_Receita!$L$2:$L$483)</f>
        <v>0</v>
      </c>
      <c r="Q38" s="13">
        <f>SUMIF(Mercado_Receita!$S$2:$S$483,"44682B2ConvencionalRuralServiço público de irrigação ruralNão se aplicaNão se aplicaPonta",Mercado_Receita!$L$2:$L$483)+SUMIF(Mercado_Receita!$S$2:$S$483,"44682B2ConvencionalRuralServiço público de irrigação ruralNão se aplicaNão se aplicaFora ponta",Mercado_Receita!$L$2:$L$483)+SUMIF(Mercado_Receita!$S$2:$S$483,"44682B2ConvencionalRuralServiço público de irrigação ruralNão se aplicaNão se aplicaIntermediário",Mercado_Receita!$L$2:$L$483)+SUMIF(Mercado_Receita!$S$2:$S$483,"44682B2ConvencionalRuralServiço público de irrigação ruralNão se aplicaNão se aplicaNão se aplica",Mercado_Receita!$L$2:$L$483)</f>
        <v>0</v>
      </c>
      <c r="R38" s="13">
        <f>SUMIF(Mercado_Receita!$S$2:$S$483,"44713B2ConvencionalRuralServiço público de irrigação ruralNão se aplicaNão se aplicaPonta",Mercado_Receita!$L$2:$L$483)+SUMIF(Mercado_Receita!$S$2:$S$483,"44713B2ConvencionalRuralServiço público de irrigação ruralNão se aplicaNão se aplicaFora ponta",Mercado_Receita!$L$2:$L$483)+SUMIF(Mercado_Receita!$S$2:$S$483,"44713B2ConvencionalRuralServiço público de irrigação ruralNão se aplicaNão se aplicaIntermediário",Mercado_Receita!$L$2:$L$483)+SUMIF(Mercado_Receita!$S$2:$S$483,"44713B2ConvencionalRuralServiço público de irrigação ruralNão se aplicaNão se aplicaNão se aplica",Mercado_Receita!$L$2:$L$483)</f>
        <v>0</v>
      </c>
      <c r="S38" s="13">
        <f>SUMIF(Mercado_Receita!$S$2:$S$483,"44743B2ConvencionalRuralServiço público de irrigação ruralNão se aplicaNão se aplicaPonta",Mercado_Receita!$L$2:$L$483)+SUMIF(Mercado_Receita!$S$2:$S$483,"44743B2ConvencionalRuralServiço público de irrigação ruralNão se aplicaNão se aplicaFora ponta",Mercado_Receita!$L$2:$L$483)+SUMIF(Mercado_Receita!$S$2:$S$483,"44743B2ConvencionalRuralServiço público de irrigação ruralNão se aplicaNão se aplicaIntermediário",Mercado_Receita!$L$2:$L$483)+SUMIF(Mercado_Receita!$S$2:$S$483,"44743B2ConvencionalRuralServiço público de irrigação ruralNão se aplicaNão se aplicaNão se aplica",Mercado_Receita!$L$2:$L$483)</f>
        <v>0</v>
      </c>
      <c r="T38" s="13">
        <f>SUMIF(Mercado_Receita!$S$2:$S$483,"44774B2ConvencionalRuralServiço público de irrigação ruralNão se aplicaNão se aplicaPonta",Mercado_Receita!$L$2:$L$483)+SUMIF(Mercado_Receita!$S$2:$S$483,"44774B2ConvencionalRuralServiço público de irrigação ruralNão se aplicaNão se aplicaFora ponta",Mercado_Receita!$L$2:$L$483)+SUMIF(Mercado_Receita!$S$2:$S$483,"44774B2ConvencionalRuralServiço público de irrigação ruralNão se aplicaNão se aplicaIntermediário",Mercado_Receita!$L$2:$L$483)+SUMIF(Mercado_Receita!$S$2:$S$483,"44774B2ConvencionalRuralServiço público de irrigação ruralNão se aplicaNão se aplicaNão se aplica",Mercado_Receita!$L$2:$L$483)</f>
        <v>0</v>
      </c>
      <c r="U38" s="13">
        <f t="shared" si="0"/>
        <v>0</v>
      </c>
      <c r="V38" s="13"/>
      <c r="W38" s="13"/>
    </row>
    <row r="39" spans="1:23" ht="11.25" customHeight="1" x14ac:dyDescent="0.3">
      <c r="A39" s="77"/>
      <c r="B39" s="76" t="s">
        <v>94</v>
      </c>
      <c r="C39" s="76" t="s">
        <v>41</v>
      </c>
      <c r="D39" s="12" t="s">
        <v>25</v>
      </c>
      <c r="E39" s="12" t="s">
        <v>25</v>
      </c>
      <c r="F39" s="12" t="s">
        <v>25</v>
      </c>
      <c r="G39" s="13" t="s">
        <v>83</v>
      </c>
      <c r="H39" s="13" t="s">
        <v>79</v>
      </c>
      <c r="I39" s="13">
        <f>SUMIF(Mercado_Receita!$S$2:$S$483,"44440B2Convencional pré-pagamentoRuralNão se aplicaNão se aplicaNão se aplicaPonta",Mercado_Receita!$L$2:$L$483)+SUMIF(Mercado_Receita!$S$2:$S$483,"44440B2Convencional pré-pagamentoRuralNão se aplicaNão se aplicaNão se aplicaFora ponta",Mercado_Receita!$L$2:$L$483)+SUMIF(Mercado_Receita!$S$2:$S$483,"44440B2Convencional pré-pagamentoRuralNão se aplicaNão se aplicaNão se aplicaIntermediário",Mercado_Receita!$L$2:$L$483)+SUMIF(Mercado_Receita!$S$2:$S$483,"44440B2Convencional pré-pagamentoRuralNão se aplicaNão se aplicaNão se aplicaNão se aplica",Mercado_Receita!$L$2:$L$483)</f>
        <v>0</v>
      </c>
      <c r="J39" s="13">
        <f>SUMIF(Mercado_Receita!$S$2:$S$483,"44470B2Convencional pré-pagamentoRuralNão se aplicaNão se aplicaNão se aplicaPonta",Mercado_Receita!$L$2:$L$483)+SUMIF(Mercado_Receita!$S$2:$S$483,"44470B2Convencional pré-pagamentoRuralNão se aplicaNão se aplicaNão se aplicaFora ponta",Mercado_Receita!$L$2:$L$483)+SUMIF(Mercado_Receita!$S$2:$S$483,"44470B2Convencional pré-pagamentoRuralNão se aplicaNão se aplicaNão se aplicaIntermediário",Mercado_Receita!$L$2:$L$483)+SUMIF(Mercado_Receita!$S$2:$S$483,"44470B2Convencional pré-pagamentoRuralNão se aplicaNão se aplicaNão se aplicaNão se aplica",Mercado_Receita!$L$2:$L$483)</f>
        <v>0</v>
      </c>
      <c r="K39" s="13">
        <f>SUMIF(Mercado_Receita!$S$2:$S$483,"44501B2Convencional pré-pagamentoRuralNão se aplicaNão se aplicaNão se aplicaPonta",Mercado_Receita!$L$2:$L$483)+SUMIF(Mercado_Receita!$S$2:$S$483,"44501B2Convencional pré-pagamentoRuralNão se aplicaNão se aplicaNão se aplicaFora ponta",Mercado_Receita!$L$2:$L$483)+SUMIF(Mercado_Receita!$S$2:$S$483,"44501B2Convencional pré-pagamentoRuralNão se aplicaNão se aplicaNão se aplicaIntermediário",Mercado_Receita!$L$2:$L$483)+SUMIF(Mercado_Receita!$S$2:$S$483,"44501B2Convencional pré-pagamentoRuralNão se aplicaNão se aplicaNão se aplicaNão se aplica",Mercado_Receita!$L$2:$L$483)</f>
        <v>0</v>
      </c>
      <c r="L39" s="13">
        <f>SUMIF(Mercado_Receita!$S$2:$S$483,"44531B2Convencional pré-pagamentoRuralNão se aplicaNão se aplicaNão se aplicaPonta",Mercado_Receita!$L$2:$L$483)+SUMIF(Mercado_Receita!$S$2:$S$483,"44531B2Convencional pré-pagamentoRuralNão se aplicaNão se aplicaNão se aplicaFora ponta",Mercado_Receita!$L$2:$L$483)+SUMIF(Mercado_Receita!$S$2:$S$483,"44531B2Convencional pré-pagamentoRuralNão se aplicaNão se aplicaNão se aplicaIntermediário",Mercado_Receita!$L$2:$L$483)+SUMIF(Mercado_Receita!$S$2:$S$483,"44531B2Convencional pré-pagamentoRuralNão se aplicaNão se aplicaNão se aplicaNão se aplica",Mercado_Receita!$L$2:$L$483)</f>
        <v>0</v>
      </c>
      <c r="M39" s="13">
        <f>SUMIF(Mercado_Receita!$S$2:$S$483,"44562B2Convencional pré-pagamentoRuralNão se aplicaNão se aplicaNão se aplicaPonta",Mercado_Receita!$L$2:$L$483)+SUMIF(Mercado_Receita!$S$2:$S$483,"44562B2Convencional pré-pagamentoRuralNão se aplicaNão se aplicaNão se aplicaFora ponta",Mercado_Receita!$L$2:$L$483)+SUMIF(Mercado_Receita!$S$2:$S$483,"44562B2Convencional pré-pagamentoRuralNão se aplicaNão se aplicaNão se aplicaIntermediário",Mercado_Receita!$L$2:$L$483)+SUMIF(Mercado_Receita!$S$2:$S$483,"44562B2Convencional pré-pagamentoRuralNão se aplicaNão se aplicaNão se aplicaNão se aplica",Mercado_Receita!$L$2:$L$483)</f>
        <v>0</v>
      </c>
      <c r="N39" s="13">
        <f>SUMIF(Mercado_Receita!$S$2:$S$483,"44593B2Convencional pré-pagamentoRuralNão se aplicaNão se aplicaNão se aplicaPonta",Mercado_Receita!$L$2:$L$483)+SUMIF(Mercado_Receita!$S$2:$S$483,"44593B2Convencional pré-pagamentoRuralNão se aplicaNão se aplicaNão se aplicaFora ponta",Mercado_Receita!$L$2:$L$483)+SUMIF(Mercado_Receita!$S$2:$S$483,"44593B2Convencional pré-pagamentoRuralNão se aplicaNão se aplicaNão se aplicaIntermediário",Mercado_Receita!$L$2:$L$483)+SUMIF(Mercado_Receita!$S$2:$S$483,"44593B2Convencional pré-pagamentoRuralNão se aplicaNão se aplicaNão se aplicaNão se aplica",Mercado_Receita!$L$2:$L$483)</f>
        <v>0</v>
      </c>
      <c r="O39" s="13">
        <f>SUMIF(Mercado_Receita!$S$2:$S$483,"44621B2Convencional pré-pagamentoRuralNão se aplicaNão se aplicaNão se aplicaPonta",Mercado_Receita!$L$2:$L$483)+SUMIF(Mercado_Receita!$S$2:$S$483,"44621B2Convencional pré-pagamentoRuralNão se aplicaNão se aplicaNão se aplicaFora ponta",Mercado_Receita!$L$2:$L$483)+SUMIF(Mercado_Receita!$S$2:$S$483,"44621B2Convencional pré-pagamentoRuralNão se aplicaNão se aplicaNão se aplicaIntermediário",Mercado_Receita!$L$2:$L$483)+SUMIF(Mercado_Receita!$S$2:$S$483,"44621B2Convencional pré-pagamentoRuralNão se aplicaNão se aplicaNão se aplicaNão se aplica",Mercado_Receita!$L$2:$L$483)</f>
        <v>0</v>
      </c>
      <c r="P39" s="13">
        <f>SUMIF(Mercado_Receita!$S$2:$S$483,"44652B2Convencional pré-pagamentoRuralNão se aplicaNão se aplicaNão se aplicaPonta",Mercado_Receita!$L$2:$L$483)+SUMIF(Mercado_Receita!$S$2:$S$483,"44652B2Convencional pré-pagamentoRuralNão se aplicaNão se aplicaNão se aplicaFora ponta",Mercado_Receita!$L$2:$L$483)+SUMIF(Mercado_Receita!$S$2:$S$483,"44652B2Convencional pré-pagamentoRuralNão se aplicaNão se aplicaNão se aplicaIntermediário",Mercado_Receita!$L$2:$L$483)+SUMIF(Mercado_Receita!$S$2:$S$483,"44652B2Convencional pré-pagamentoRuralNão se aplicaNão se aplicaNão se aplicaNão se aplica",Mercado_Receita!$L$2:$L$483)</f>
        <v>0</v>
      </c>
      <c r="Q39" s="13">
        <f>SUMIF(Mercado_Receita!$S$2:$S$483,"44682B2Convencional pré-pagamentoRuralNão se aplicaNão se aplicaNão se aplicaPonta",Mercado_Receita!$L$2:$L$483)+SUMIF(Mercado_Receita!$S$2:$S$483,"44682B2Convencional pré-pagamentoRuralNão se aplicaNão se aplicaNão se aplicaFora ponta",Mercado_Receita!$L$2:$L$483)+SUMIF(Mercado_Receita!$S$2:$S$483,"44682B2Convencional pré-pagamentoRuralNão se aplicaNão se aplicaNão se aplicaIntermediário",Mercado_Receita!$L$2:$L$483)+SUMIF(Mercado_Receita!$S$2:$S$483,"44682B2Convencional pré-pagamentoRuralNão se aplicaNão se aplicaNão se aplicaNão se aplica",Mercado_Receita!$L$2:$L$483)</f>
        <v>0</v>
      </c>
      <c r="R39" s="13">
        <f>SUMIF(Mercado_Receita!$S$2:$S$483,"44713B2Convencional pré-pagamentoRuralNão se aplicaNão se aplicaNão se aplicaPonta",Mercado_Receita!$L$2:$L$483)+SUMIF(Mercado_Receita!$S$2:$S$483,"44713B2Convencional pré-pagamentoRuralNão se aplicaNão se aplicaNão se aplicaFora ponta",Mercado_Receita!$L$2:$L$483)+SUMIF(Mercado_Receita!$S$2:$S$483,"44713B2Convencional pré-pagamentoRuralNão se aplicaNão se aplicaNão se aplicaIntermediário",Mercado_Receita!$L$2:$L$483)+SUMIF(Mercado_Receita!$S$2:$S$483,"44713B2Convencional pré-pagamentoRuralNão se aplicaNão se aplicaNão se aplicaNão se aplica",Mercado_Receita!$L$2:$L$483)</f>
        <v>0</v>
      </c>
      <c r="S39" s="13">
        <f>SUMIF(Mercado_Receita!$S$2:$S$483,"44743B2Convencional pré-pagamentoRuralNão se aplicaNão se aplicaNão se aplicaPonta",Mercado_Receita!$L$2:$L$483)+SUMIF(Mercado_Receita!$S$2:$S$483,"44743B2Convencional pré-pagamentoRuralNão se aplicaNão se aplicaNão se aplicaFora ponta",Mercado_Receita!$L$2:$L$483)+SUMIF(Mercado_Receita!$S$2:$S$483,"44743B2Convencional pré-pagamentoRuralNão se aplicaNão se aplicaNão se aplicaIntermediário",Mercado_Receita!$L$2:$L$483)+SUMIF(Mercado_Receita!$S$2:$S$483,"44743B2Convencional pré-pagamentoRuralNão se aplicaNão se aplicaNão se aplicaNão se aplica",Mercado_Receita!$L$2:$L$483)</f>
        <v>0</v>
      </c>
      <c r="T39" s="13">
        <f>SUMIF(Mercado_Receita!$S$2:$S$483,"44774B2Convencional pré-pagamentoRuralNão se aplicaNão se aplicaNão se aplicaPonta",Mercado_Receita!$L$2:$L$483)+SUMIF(Mercado_Receita!$S$2:$S$483,"44774B2Convencional pré-pagamentoRuralNão se aplicaNão se aplicaNão se aplicaFora ponta",Mercado_Receita!$L$2:$L$483)+SUMIF(Mercado_Receita!$S$2:$S$483,"44774B2Convencional pré-pagamentoRuralNão se aplicaNão se aplicaNão se aplicaIntermediário",Mercado_Receita!$L$2:$L$483)+SUMIF(Mercado_Receita!$S$2:$S$483,"44774B2Convencional pré-pagamentoRuralNão se aplicaNão se aplicaNão se aplicaNão se aplica",Mercado_Receita!$L$2:$L$483)</f>
        <v>0</v>
      </c>
      <c r="U39" s="13">
        <f t="shared" si="0"/>
        <v>0</v>
      </c>
      <c r="V39" s="13"/>
      <c r="W39" s="13"/>
    </row>
    <row r="40" spans="1:23" ht="11.25" customHeight="1" x14ac:dyDescent="0.3">
      <c r="A40" s="77"/>
      <c r="B40" s="77"/>
      <c r="C40" s="77"/>
      <c r="D40" s="12" t="s">
        <v>95</v>
      </c>
      <c r="E40" s="12" t="s">
        <v>25</v>
      </c>
      <c r="F40" s="12" t="s">
        <v>25</v>
      </c>
      <c r="G40" s="13" t="s">
        <v>83</v>
      </c>
      <c r="H40" s="13" t="s">
        <v>79</v>
      </c>
      <c r="I40" s="13">
        <f>SUMIF(Mercado_Receita!$S$2:$S$483,"44440B2Convencional pré-pagamentoRuralCooperativa de eletrificação ruralNão se aplicaNão se aplicaPonta",Mercado_Receita!$L$2:$L$483)+SUMIF(Mercado_Receita!$S$2:$S$483,"44440B2Convencional pré-pagamentoRuralCooperativa de eletrificação ruralNão se aplicaNão se aplicaFora ponta",Mercado_Receita!$L$2:$L$483)+SUMIF(Mercado_Receita!$S$2:$S$483,"44440B2Convencional pré-pagamentoRuralCooperativa de eletrificação ruralNão se aplicaNão se aplicaIntermediário",Mercado_Receita!$L$2:$L$483)+SUMIF(Mercado_Receita!$S$2:$S$483,"44440B2Convencional pré-pagamentoRuralCooperativa de eletrificação ruralNão se aplicaNão se aplicaNão se aplica",Mercado_Receita!$L$2:$L$483)</f>
        <v>0</v>
      </c>
      <c r="J40" s="13">
        <f>SUMIF(Mercado_Receita!$S$2:$S$483,"44470B2Convencional pré-pagamentoRuralCooperativa de eletrificação ruralNão se aplicaNão se aplicaPonta",Mercado_Receita!$L$2:$L$483)+SUMIF(Mercado_Receita!$S$2:$S$483,"44470B2Convencional pré-pagamentoRuralCooperativa de eletrificação ruralNão se aplicaNão se aplicaFora ponta",Mercado_Receita!$L$2:$L$483)+SUMIF(Mercado_Receita!$S$2:$S$483,"44470B2Convencional pré-pagamentoRuralCooperativa de eletrificação ruralNão se aplicaNão se aplicaIntermediário",Mercado_Receita!$L$2:$L$483)+SUMIF(Mercado_Receita!$S$2:$S$483,"44470B2Convencional pré-pagamentoRuralCooperativa de eletrificação ruralNão se aplicaNão se aplicaNão se aplica",Mercado_Receita!$L$2:$L$483)</f>
        <v>0</v>
      </c>
      <c r="K40" s="13">
        <f>SUMIF(Mercado_Receita!$S$2:$S$483,"44501B2Convencional pré-pagamentoRuralCooperativa de eletrificação ruralNão se aplicaNão se aplicaPonta",Mercado_Receita!$L$2:$L$483)+SUMIF(Mercado_Receita!$S$2:$S$483,"44501B2Convencional pré-pagamentoRuralCooperativa de eletrificação ruralNão se aplicaNão se aplicaFora ponta",Mercado_Receita!$L$2:$L$483)+SUMIF(Mercado_Receita!$S$2:$S$483,"44501B2Convencional pré-pagamentoRuralCooperativa de eletrificação ruralNão se aplicaNão se aplicaIntermediário",Mercado_Receita!$L$2:$L$483)+SUMIF(Mercado_Receita!$S$2:$S$483,"44501B2Convencional pré-pagamentoRuralCooperativa de eletrificação ruralNão se aplicaNão se aplicaNão se aplica",Mercado_Receita!$L$2:$L$483)</f>
        <v>0</v>
      </c>
      <c r="L40" s="13">
        <f>SUMIF(Mercado_Receita!$S$2:$S$483,"44531B2Convencional pré-pagamentoRuralCooperativa de eletrificação ruralNão se aplicaNão se aplicaPonta",Mercado_Receita!$L$2:$L$483)+SUMIF(Mercado_Receita!$S$2:$S$483,"44531B2Convencional pré-pagamentoRuralCooperativa de eletrificação ruralNão se aplicaNão se aplicaFora ponta",Mercado_Receita!$L$2:$L$483)+SUMIF(Mercado_Receita!$S$2:$S$483,"44531B2Convencional pré-pagamentoRuralCooperativa de eletrificação ruralNão se aplicaNão se aplicaIntermediário",Mercado_Receita!$L$2:$L$483)+SUMIF(Mercado_Receita!$S$2:$S$483,"44531B2Convencional pré-pagamentoRuralCooperativa de eletrificação ruralNão se aplicaNão se aplicaNão se aplica",Mercado_Receita!$L$2:$L$483)</f>
        <v>0</v>
      </c>
      <c r="M40" s="13">
        <f>SUMIF(Mercado_Receita!$S$2:$S$483,"44562B2Convencional pré-pagamentoRuralCooperativa de eletrificação ruralNão se aplicaNão se aplicaPonta",Mercado_Receita!$L$2:$L$483)+SUMIF(Mercado_Receita!$S$2:$S$483,"44562B2Convencional pré-pagamentoRuralCooperativa de eletrificação ruralNão se aplicaNão se aplicaFora ponta",Mercado_Receita!$L$2:$L$483)+SUMIF(Mercado_Receita!$S$2:$S$483,"44562B2Convencional pré-pagamentoRuralCooperativa de eletrificação ruralNão se aplicaNão se aplicaIntermediário",Mercado_Receita!$L$2:$L$483)+SUMIF(Mercado_Receita!$S$2:$S$483,"44562B2Convencional pré-pagamentoRuralCooperativa de eletrificação ruralNão se aplicaNão se aplicaNão se aplica",Mercado_Receita!$L$2:$L$483)</f>
        <v>0</v>
      </c>
      <c r="N40" s="13">
        <f>SUMIF(Mercado_Receita!$S$2:$S$483,"44593B2Convencional pré-pagamentoRuralCooperativa de eletrificação ruralNão se aplicaNão se aplicaPonta",Mercado_Receita!$L$2:$L$483)+SUMIF(Mercado_Receita!$S$2:$S$483,"44593B2Convencional pré-pagamentoRuralCooperativa de eletrificação ruralNão se aplicaNão se aplicaFora ponta",Mercado_Receita!$L$2:$L$483)+SUMIF(Mercado_Receita!$S$2:$S$483,"44593B2Convencional pré-pagamentoRuralCooperativa de eletrificação ruralNão se aplicaNão se aplicaIntermediário",Mercado_Receita!$L$2:$L$483)+SUMIF(Mercado_Receita!$S$2:$S$483,"44593B2Convencional pré-pagamentoRuralCooperativa de eletrificação ruralNão se aplicaNão se aplicaNão se aplica",Mercado_Receita!$L$2:$L$483)</f>
        <v>0</v>
      </c>
      <c r="O40" s="13">
        <f>SUMIF(Mercado_Receita!$S$2:$S$483,"44621B2Convencional pré-pagamentoRuralCooperativa de eletrificação ruralNão se aplicaNão se aplicaPonta",Mercado_Receita!$L$2:$L$483)+SUMIF(Mercado_Receita!$S$2:$S$483,"44621B2Convencional pré-pagamentoRuralCooperativa de eletrificação ruralNão se aplicaNão se aplicaFora ponta",Mercado_Receita!$L$2:$L$483)+SUMIF(Mercado_Receita!$S$2:$S$483,"44621B2Convencional pré-pagamentoRuralCooperativa de eletrificação ruralNão se aplicaNão se aplicaIntermediário",Mercado_Receita!$L$2:$L$483)+SUMIF(Mercado_Receita!$S$2:$S$483,"44621B2Convencional pré-pagamentoRuralCooperativa de eletrificação ruralNão se aplicaNão se aplicaNão se aplica",Mercado_Receita!$L$2:$L$483)</f>
        <v>0</v>
      </c>
      <c r="P40" s="13">
        <f>SUMIF(Mercado_Receita!$S$2:$S$483,"44652B2Convencional pré-pagamentoRuralCooperativa de eletrificação ruralNão se aplicaNão se aplicaPonta",Mercado_Receita!$L$2:$L$483)+SUMIF(Mercado_Receita!$S$2:$S$483,"44652B2Convencional pré-pagamentoRuralCooperativa de eletrificação ruralNão se aplicaNão se aplicaFora ponta",Mercado_Receita!$L$2:$L$483)+SUMIF(Mercado_Receita!$S$2:$S$483,"44652B2Convencional pré-pagamentoRuralCooperativa de eletrificação ruralNão se aplicaNão se aplicaIntermediário",Mercado_Receita!$L$2:$L$483)+SUMIF(Mercado_Receita!$S$2:$S$483,"44652B2Convencional pré-pagamentoRuralCooperativa de eletrificação ruralNão se aplicaNão se aplicaNão se aplica",Mercado_Receita!$L$2:$L$483)</f>
        <v>0</v>
      </c>
      <c r="Q40" s="13">
        <f>SUMIF(Mercado_Receita!$S$2:$S$483,"44682B2Convencional pré-pagamentoRuralCooperativa de eletrificação ruralNão se aplicaNão se aplicaPonta",Mercado_Receita!$L$2:$L$483)+SUMIF(Mercado_Receita!$S$2:$S$483,"44682B2Convencional pré-pagamentoRuralCooperativa de eletrificação ruralNão se aplicaNão se aplicaFora ponta",Mercado_Receita!$L$2:$L$483)+SUMIF(Mercado_Receita!$S$2:$S$483,"44682B2Convencional pré-pagamentoRuralCooperativa de eletrificação ruralNão se aplicaNão se aplicaIntermediário",Mercado_Receita!$L$2:$L$483)+SUMIF(Mercado_Receita!$S$2:$S$483,"44682B2Convencional pré-pagamentoRuralCooperativa de eletrificação ruralNão se aplicaNão se aplicaNão se aplica",Mercado_Receita!$L$2:$L$483)</f>
        <v>0</v>
      </c>
      <c r="R40" s="13">
        <f>SUMIF(Mercado_Receita!$S$2:$S$483,"44713B2Convencional pré-pagamentoRuralCooperativa de eletrificação ruralNão se aplicaNão se aplicaPonta",Mercado_Receita!$L$2:$L$483)+SUMIF(Mercado_Receita!$S$2:$S$483,"44713B2Convencional pré-pagamentoRuralCooperativa de eletrificação ruralNão se aplicaNão se aplicaFora ponta",Mercado_Receita!$L$2:$L$483)+SUMIF(Mercado_Receita!$S$2:$S$483,"44713B2Convencional pré-pagamentoRuralCooperativa de eletrificação ruralNão se aplicaNão se aplicaIntermediário",Mercado_Receita!$L$2:$L$483)+SUMIF(Mercado_Receita!$S$2:$S$483,"44713B2Convencional pré-pagamentoRuralCooperativa de eletrificação ruralNão se aplicaNão se aplicaNão se aplica",Mercado_Receita!$L$2:$L$483)</f>
        <v>0</v>
      </c>
      <c r="S40" s="13">
        <f>SUMIF(Mercado_Receita!$S$2:$S$483,"44743B2Convencional pré-pagamentoRuralCooperativa de eletrificação ruralNão se aplicaNão se aplicaPonta",Mercado_Receita!$L$2:$L$483)+SUMIF(Mercado_Receita!$S$2:$S$483,"44743B2Convencional pré-pagamentoRuralCooperativa de eletrificação ruralNão se aplicaNão se aplicaFora ponta",Mercado_Receita!$L$2:$L$483)+SUMIF(Mercado_Receita!$S$2:$S$483,"44743B2Convencional pré-pagamentoRuralCooperativa de eletrificação ruralNão se aplicaNão se aplicaIntermediário",Mercado_Receita!$L$2:$L$483)+SUMIF(Mercado_Receita!$S$2:$S$483,"44743B2Convencional pré-pagamentoRuralCooperativa de eletrificação ruralNão se aplicaNão se aplicaNão se aplica",Mercado_Receita!$L$2:$L$483)</f>
        <v>0</v>
      </c>
      <c r="T40" s="13">
        <f>SUMIF(Mercado_Receita!$S$2:$S$483,"44774B2Convencional pré-pagamentoRuralCooperativa de eletrificação ruralNão se aplicaNão se aplicaPonta",Mercado_Receita!$L$2:$L$483)+SUMIF(Mercado_Receita!$S$2:$S$483,"44774B2Convencional pré-pagamentoRuralCooperativa de eletrificação ruralNão se aplicaNão se aplicaFora ponta",Mercado_Receita!$L$2:$L$483)+SUMIF(Mercado_Receita!$S$2:$S$483,"44774B2Convencional pré-pagamentoRuralCooperativa de eletrificação ruralNão se aplicaNão se aplicaIntermediário",Mercado_Receita!$L$2:$L$483)+SUMIF(Mercado_Receita!$S$2:$S$483,"44774B2Convencional pré-pagamentoRuralCooperativa de eletrificação ruralNão se aplicaNão se aplicaNão se aplica",Mercado_Receita!$L$2:$L$483)</f>
        <v>0</v>
      </c>
      <c r="U40" s="13">
        <f t="shared" si="0"/>
        <v>0</v>
      </c>
      <c r="V40" s="13"/>
      <c r="W40" s="13"/>
    </row>
    <row r="41" spans="1:23" ht="11.25" customHeight="1" x14ac:dyDescent="0.3">
      <c r="A41" s="77"/>
      <c r="B41" s="77"/>
      <c r="C41" s="77"/>
      <c r="D41" s="12" t="s">
        <v>96</v>
      </c>
      <c r="E41" s="12" t="s">
        <v>25</v>
      </c>
      <c r="F41" s="12" t="s">
        <v>25</v>
      </c>
      <c r="G41" s="13" t="s">
        <v>83</v>
      </c>
      <c r="H41" s="13" t="s">
        <v>79</v>
      </c>
      <c r="I41" s="13">
        <f>SUMIF(Mercado_Receita!$S$2:$S$483,"44440B2Convencional pré-pagamentoRuralServiço público de irrigação ruralNão se aplicaNão se aplicaPonta",Mercado_Receita!$L$2:$L$483)+SUMIF(Mercado_Receita!$S$2:$S$483,"44440B2Convencional pré-pagamentoRuralServiço público de irrigação ruralNão se aplicaNão se aplicaFora ponta",Mercado_Receita!$L$2:$L$483)+SUMIF(Mercado_Receita!$S$2:$S$483,"44440B2Convencional pré-pagamentoRuralServiço público de irrigação ruralNão se aplicaNão se aplicaIntermediário",Mercado_Receita!$L$2:$L$483)+SUMIF(Mercado_Receita!$S$2:$S$483,"44440B2Convencional pré-pagamentoRuralServiço público de irrigação ruralNão se aplicaNão se aplicaNão se aplica",Mercado_Receita!$L$2:$L$483)</f>
        <v>0</v>
      </c>
      <c r="J41" s="13">
        <f>SUMIF(Mercado_Receita!$S$2:$S$483,"44470B2Convencional pré-pagamentoRuralServiço público de irrigação ruralNão se aplicaNão se aplicaPonta",Mercado_Receita!$L$2:$L$483)+SUMIF(Mercado_Receita!$S$2:$S$483,"44470B2Convencional pré-pagamentoRuralServiço público de irrigação ruralNão se aplicaNão se aplicaFora ponta",Mercado_Receita!$L$2:$L$483)+SUMIF(Mercado_Receita!$S$2:$S$483,"44470B2Convencional pré-pagamentoRuralServiço público de irrigação ruralNão se aplicaNão se aplicaIntermediário",Mercado_Receita!$L$2:$L$483)+SUMIF(Mercado_Receita!$S$2:$S$483,"44470B2Convencional pré-pagamentoRuralServiço público de irrigação ruralNão se aplicaNão se aplicaNão se aplica",Mercado_Receita!$L$2:$L$483)</f>
        <v>0</v>
      </c>
      <c r="K41" s="13">
        <f>SUMIF(Mercado_Receita!$S$2:$S$483,"44501B2Convencional pré-pagamentoRuralServiço público de irrigação ruralNão se aplicaNão se aplicaPonta",Mercado_Receita!$L$2:$L$483)+SUMIF(Mercado_Receita!$S$2:$S$483,"44501B2Convencional pré-pagamentoRuralServiço público de irrigação ruralNão se aplicaNão se aplicaFora ponta",Mercado_Receita!$L$2:$L$483)+SUMIF(Mercado_Receita!$S$2:$S$483,"44501B2Convencional pré-pagamentoRuralServiço público de irrigação ruralNão se aplicaNão se aplicaIntermediário",Mercado_Receita!$L$2:$L$483)+SUMIF(Mercado_Receita!$S$2:$S$483,"44501B2Convencional pré-pagamentoRuralServiço público de irrigação ruralNão se aplicaNão se aplicaNão se aplica",Mercado_Receita!$L$2:$L$483)</f>
        <v>0</v>
      </c>
      <c r="L41" s="13">
        <f>SUMIF(Mercado_Receita!$S$2:$S$483,"44531B2Convencional pré-pagamentoRuralServiço público de irrigação ruralNão se aplicaNão se aplicaPonta",Mercado_Receita!$L$2:$L$483)+SUMIF(Mercado_Receita!$S$2:$S$483,"44531B2Convencional pré-pagamentoRuralServiço público de irrigação ruralNão se aplicaNão se aplicaFora ponta",Mercado_Receita!$L$2:$L$483)+SUMIF(Mercado_Receita!$S$2:$S$483,"44531B2Convencional pré-pagamentoRuralServiço público de irrigação ruralNão se aplicaNão se aplicaIntermediário",Mercado_Receita!$L$2:$L$483)+SUMIF(Mercado_Receita!$S$2:$S$483,"44531B2Convencional pré-pagamentoRuralServiço público de irrigação ruralNão se aplicaNão se aplicaNão se aplica",Mercado_Receita!$L$2:$L$483)</f>
        <v>0</v>
      </c>
      <c r="M41" s="13">
        <f>SUMIF(Mercado_Receita!$S$2:$S$483,"44562B2Convencional pré-pagamentoRuralServiço público de irrigação ruralNão se aplicaNão se aplicaPonta",Mercado_Receita!$L$2:$L$483)+SUMIF(Mercado_Receita!$S$2:$S$483,"44562B2Convencional pré-pagamentoRuralServiço público de irrigação ruralNão se aplicaNão se aplicaFora ponta",Mercado_Receita!$L$2:$L$483)+SUMIF(Mercado_Receita!$S$2:$S$483,"44562B2Convencional pré-pagamentoRuralServiço público de irrigação ruralNão se aplicaNão se aplicaIntermediário",Mercado_Receita!$L$2:$L$483)+SUMIF(Mercado_Receita!$S$2:$S$483,"44562B2Convencional pré-pagamentoRuralServiço público de irrigação ruralNão se aplicaNão se aplicaNão se aplica",Mercado_Receita!$L$2:$L$483)</f>
        <v>0</v>
      </c>
      <c r="N41" s="13">
        <f>SUMIF(Mercado_Receita!$S$2:$S$483,"44593B2Convencional pré-pagamentoRuralServiço público de irrigação ruralNão se aplicaNão se aplicaPonta",Mercado_Receita!$L$2:$L$483)+SUMIF(Mercado_Receita!$S$2:$S$483,"44593B2Convencional pré-pagamentoRuralServiço público de irrigação ruralNão se aplicaNão se aplicaFora ponta",Mercado_Receita!$L$2:$L$483)+SUMIF(Mercado_Receita!$S$2:$S$483,"44593B2Convencional pré-pagamentoRuralServiço público de irrigação ruralNão se aplicaNão se aplicaIntermediário",Mercado_Receita!$L$2:$L$483)+SUMIF(Mercado_Receita!$S$2:$S$483,"44593B2Convencional pré-pagamentoRuralServiço público de irrigação ruralNão se aplicaNão se aplicaNão se aplica",Mercado_Receita!$L$2:$L$483)</f>
        <v>0</v>
      </c>
      <c r="O41" s="13">
        <f>SUMIF(Mercado_Receita!$S$2:$S$483,"44621B2Convencional pré-pagamentoRuralServiço público de irrigação ruralNão se aplicaNão se aplicaPonta",Mercado_Receita!$L$2:$L$483)+SUMIF(Mercado_Receita!$S$2:$S$483,"44621B2Convencional pré-pagamentoRuralServiço público de irrigação ruralNão se aplicaNão se aplicaFora ponta",Mercado_Receita!$L$2:$L$483)+SUMIF(Mercado_Receita!$S$2:$S$483,"44621B2Convencional pré-pagamentoRuralServiço público de irrigação ruralNão se aplicaNão se aplicaIntermediário",Mercado_Receita!$L$2:$L$483)+SUMIF(Mercado_Receita!$S$2:$S$483,"44621B2Convencional pré-pagamentoRuralServiço público de irrigação ruralNão se aplicaNão se aplicaNão se aplica",Mercado_Receita!$L$2:$L$483)</f>
        <v>0</v>
      </c>
      <c r="P41" s="13">
        <f>SUMIF(Mercado_Receita!$S$2:$S$483,"44652B2Convencional pré-pagamentoRuralServiço público de irrigação ruralNão se aplicaNão se aplicaPonta",Mercado_Receita!$L$2:$L$483)+SUMIF(Mercado_Receita!$S$2:$S$483,"44652B2Convencional pré-pagamentoRuralServiço público de irrigação ruralNão se aplicaNão se aplicaFora ponta",Mercado_Receita!$L$2:$L$483)+SUMIF(Mercado_Receita!$S$2:$S$483,"44652B2Convencional pré-pagamentoRuralServiço público de irrigação ruralNão se aplicaNão se aplicaIntermediário",Mercado_Receita!$L$2:$L$483)+SUMIF(Mercado_Receita!$S$2:$S$483,"44652B2Convencional pré-pagamentoRuralServiço público de irrigação ruralNão se aplicaNão se aplicaNão se aplica",Mercado_Receita!$L$2:$L$483)</f>
        <v>0</v>
      </c>
      <c r="Q41" s="13">
        <f>SUMIF(Mercado_Receita!$S$2:$S$483,"44682B2Convencional pré-pagamentoRuralServiço público de irrigação ruralNão se aplicaNão se aplicaPonta",Mercado_Receita!$L$2:$L$483)+SUMIF(Mercado_Receita!$S$2:$S$483,"44682B2Convencional pré-pagamentoRuralServiço público de irrigação ruralNão se aplicaNão se aplicaFora ponta",Mercado_Receita!$L$2:$L$483)+SUMIF(Mercado_Receita!$S$2:$S$483,"44682B2Convencional pré-pagamentoRuralServiço público de irrigação ruralNão se aplicaNão se aplicaIntermediário",Mercado_Receita!$L$2:$L$483)+SUMIF(Mercado_Receita!$S$2:$S$483,"44682B2Convencional pré-pagamentoRuralServiço público de irrigação ruralNão se aplicaNão se aplicaNão se aplica",Mercado_Receita!$L$2:$L$483)</f>
        <v>0</v>
      </c>
      <c r="R41" s="13">
        <f>SUMIF(Mercado_Receita!$S$2:$S$483,"44713B2Convencional pré-pagamentoRuralServiço público de irrigação ruralNão se aplicaNão se aplicaPonta",Mercado_Receita!$L$2:$L$483)+SUMIF(Mercado_Receita!$S$2:$S$483,"44713B2Convencional pré-pagamentoRuralServiço público de irrigação ruralNão se aplicaNão se aplicaFora ponta",Mercado_Receita!$L$2:$L$483)+SUMIF(Mercado_Receita!$S$2:$S$483,"44713B2Convencional pré-pagamentoRuralServiço público de irrigação ruralNão se aplicaNão se aplicaIntermediário",Mercado_Receita!$L$2:$L$483)+SUMIF(Mercado_Receita!$S$2:$S$483,"44713B2Convencional pré-pagamentoRuralServiço público de irrigação ruralNão se aplicaNão se aplicaNão se aplica",Mercado_Receita!$L$2:$L$483)</f>
        <v>0</v>
      </c>
      <c r="S41" s="13">
        <f>SUMIF(Mercado_Receita!$S$2:$S$483,"44743B2Convencional pré-pagamentoRuralServiço público de irrigação ruralNão se aplicaNão se aplicaPonta",Mercado_Receita!$L$2:$L$483)+SUMIF(Mercado_Receita!$S$2:$S$483,"44743B2Convencional pré-pagamentoRuralServiço público de irrigação ruralNão se aplicaNão se aplicaFora ponta",Mercado_Receita!$L$2:$L$483)+SUMIF(Mercado_Receita!$S$2:$S$483,"44743B2Convencional pré-pagamentoRuralServiço público de irrigação ruralNão se aplicaNão se aplicaIntermediário",Mercado_Receita!$L$2:$L$483)+SUMIF(Mercado_Receita!$S$2:$S$483,"44743B2Convencional pré-pagamentoRuralServiço público de irrigação ruralNão se aplicaNão se aplicaNão se aplica",Mercado_Receita!$L$2:$L$483)</f>
        <v>0</v>
      </c>
      <c r="T41" s="13">
        <f>SUMIF(Mercado_Receita!$S$2:$S$483,"44774B2Convencional pré-pagamentoRuralServiço público de irrigação ruralNão se aplicaNão se aplicaPonta",Mercado_Receita!$L$2:$L$483)+SUMIF(Mercado_Receita!$S$2:$S$483,"44774B2Convencional pré-pagamentoRuralServiço público de irrigação ruralNão se aplicaNão se aplicaFora ponta",Mercado_Receita!$L$2:$L$483)+SUMIF(Mercado_Receita!$S$2:$S$483,"44774B2Convencional pré-pagamentoRuralServiço público de irrigação ruralNão se aplicaNão se aplicaIntermediário",Mercado_Receita!$L$2:$L$483)+SUMIF(Mercado_Receita!$S$2:$S$483,"44774B2Convencional pré-pagamentoRuralServiço público de irrigação ruralNão se aplicaNão se aplicaNão se aplica",Mercado_Receita!$L$2:$L$483)</f>
        <v>0</v>
      </c>
      <c r="U41" s="13">
        <f t="shared" si="0"/>
        <v>0</v>
      </c>
      <c r="V41" s="13"/>
      <c r="W41" s="13"/>
    </row>
    <row r="42" spans="1:23" ht="11.25" customHeight="1" x14ac:dyDescent="0.3">
      <c r="A42" s="76" t="s">
        <v>32</v>
      </c>
      <c r="B42" s="76" t="s">
        <v>92</v>
      </c>
      <c r="C42" s="76" t="s">
        <v>25</v>
      </c>
      <c r="D42" s="76" t="s">
        <v>25</v>
      </c>
      <c r="E42" s="76" t="s">
        <v>25</v>
      </c>
      <c r="F42" s="76" t="s">
        <v>25</v>
      </c>
      <c r="G42" s="13" t="s">
        <v>80</v>
      </c>
      <c r="H42" s="13" t="s">
        <v>79</v>
      </c>
      <c r="I42" s="13">
        <f>SUMIF(Mercado_Receita!$S$2:$S$483,"44440B3BrancaNão se aplicaNão se aplicaNão se aplicaNão se aplicaPonta",Mercado_Receita!$L$2:$L$483)</f>
        <v>0</v>
      </c>
      <c r="J42" s="13">
        <f>SUMIF(Mercado_Receita!$S$2:$S$483,"44470B3BrancaNão se aplicaNão se aplicaNão se aplicaNão se aplicaPonta",Mercado_Receita!$L$2:$L$483)</f>
        <v>0</v>
      </c>
      <c r="K42" s="13">
        <f>SUMIF(Mercado_Receita!$S$2:$S$483,"44501B3BrancaNão se aplicaNão se aplicaNão se aplicaNão se aplicaPonta",Mercado_Receita!$L$2:$L$483)</f>
        <v>0</v>
      </c>
      <c r="L42" s="13">
        <f>SUMIF(Mercado_Receita!$S$2:$S$483,"44531B3BrancaNão se aplicaNão se aplicaNão se aplicaNão se aplicaPonta",Mercado_Receita!$L$2:$L$483)</f>
        <v>0</v>
      </c>
      <c r="M42" s="13">
        <f>SUMIF(Mercado_Receita!$S$2:$S$483,"44562B3BrancaNão se aplicaNão se aplicaNão se aplicaNão se aplicaPonta",Mercado_Receita!$L$2:$L$483)</f>
        <v>0</v>
      </c>
      <c r="N42" s="13">
        <f>SUMIF(Mercado_Receita!$S$2:$S$483,"44593B3BrancaNão se aplicaNão se aplicaNão se aplicaNão se aplicaPonta",Mercado_Receita!$L$2:$L$483)</f>
        <v>0</v>
      </c>
      <c r="O42" s="13">
        <f>SUMIF(Mercado_Receita!$S$2:$S$483,"44621B3BrancaNão se aplicaNão se aplicaNão se aplicaNão se aplicaPonta",Mercado_Receita!$L$2:$L$483)</f>
        <v>0</v>
      </c>
      <c r="P42" s="13">
        <f>SUMIF(Mercado_Receita!$S$2:$S$483,"44652B3BrancaNão se aplicaNão se aplicaNão se aplicaNão se aplicaPonta",Mercado_Receita!$L$2:$L$483)</f>
        <v>0</v>
      </c>
      <c r="Q42" s="13">
        <f>SUMIF(Mercado_Receita!$S$2:$S$483,"44682B3BrancaNão se aplicaNão se aplicaNão se aplicaNão se aplicaPonta",Mercado_Receita!$L$2:$L$483)</f>
        <v>0</v>
      </c>
      <c r="R42" s="13">
        <f>SUMIF(Mercado_Receita!$S$2:$S$483,"44713B3BrancaNão se aplicaNão se aplicaNão se aplicaNão se aplicaPonta",Mercado_Receita!$L$2:$L$483)</f>
        <v>0</v>
      </c>
      <c r="S42" s="13">
        <f>SUMIF(Mercado_Receita!$S$2:$S$483,"44743B3BrancaNão se aplicaNão se aplicaNão se aplicaNão se aplicaPonta",Mercado_Receita!$L$2:$L$483)</f>
        <v>0</v>
      </c>
      <c r="T42" s="13">
        <f>SUMIF(Mercado_Receita!$S$2:$S$483,"44774B3BrancaNão se aplicaNão se aplicaNão se aplicaNão se aplicaPonta",Mercado_Receita!$L$2:$L$483)</f>
        <v>0</v>
      </c>
      <c r="U42" s="13">
        <f t="shared" si="0"/>
        <v>0</v>
      </c>
      <c r="V42" s="13"/>
      <c r="W42" s="13"/>
    </row>
    <row r="43" spans="1:23" ht="11.25" customHeight="1" x14ac:dyDescent="0.3">
      <c r="A43" s="77"/>
      <c r="B43" s="77"/>
      <c r="C43" s="77"/>
      <c r="D43" s="77"/>
      <c r="E43" s="77"/>
      <c r="F43" s="77"/>
      <c r="G43" s="13" t="s">
        <v>91</v>
      </c>
      <c r="H43" s="13" t="s">
        <v>79</v>
      </c>
      <c r="I43" s="13">
        <f>SUMIF(Mercado_Receita!$S$2:$S$483,"44440B3BrancaNão se aplicaNão se aplicaNão se aplicaNão se aplicaIntermediário",Mercado_Receita!$L$2:$L$483)</f>
        <v>0</v>
      </c>
      <c r="J43" s="13">
        <f>SUMIF(Mercado_Receita!$S$2:$S$483,"44470B3BrancaNão se aplicaNão se aplicaNão se aplicaNão se aplicaIntermediário",Mercado_Receita!$L$2:$L$483)</f>
        <v>0</v>
      </c>
      <c r="K43" s="13">
        <f>SUMIF(Mercado_Receita!$S$2:$S$483,"44501B3BrancaNão se aplicaNão se aplicaNão se aplicaNão se aplicaIntermediário",Mercado_Receita!$L$2:$L$483)</f>
        <v>0</v>
      </c>
      <c r="L43" s="13">
        <f>SUMIF(Mercado_Receita!$S$2:$S$483,"44531B3BrancaNão se aplicaNão se aplicaNão se aplicaNão se aplicaIntermediário",Mercado_Receita!$L$2:$L$483)</f>
        <v>0</v>
      </c>
      <c r="M43" s="13">
        <f>SUMIF(Mercado_Receita!$S$2:$S$483,"44562B3BrancaNão se aplicaNão se aplicaNão se aplicaNão se aplicaIntermediário",Mercado_Receita!$L$2:$L$483)</f>
        <v>0</v>
      </c>
      <c r="N43" s="13">
        <f>SUMIF(Mercado_Receita!$S$2:$S$483,"44593B3BrancaNão se aplicaNão se aplicaNão se aplicaNão se aplicaIntermediário",Mercado_Receita!$L$2:$L$483)</f>
        <v>0</v>
      </c>
      <c r="O43" s="13">
        <f>SUMIF(Mercado_Receita!$S$2:$S$483,"44621B3BrancaNão se aplicaNão se aplicaNão se aplicaNão se aplicaIntermediário",Mercado_Receita!$L$2:$L$483)</f>
        <v>0</v>
      </c>
      <c r="P43" s="13">
        <f>SUMIF(Mercado_Receita!$S$2:$S$483,"44652B3BrancaNão se aplicaNão se aplicaNão se aplicaNão se aplicaIntermediário",Mercado_Receita!$L$2:$L$483)</f>
        <v>0</v>
      </c>
      <c r="Q43" s="13">
        <f>SUMIF(Mercado_Receita!$S$2:$S$483,"44682B3BrancaNão se aplicaNão se aplicaNão se aplicaNão se aplicaIntermediário",Mercado_Receita!$L$2:$L$483)</f>
        <v>0</v>
      </c>
      <c r="R43" s="13">
        <f>SUMIF(Mercado_Receita!$S$2:$S$483,"44713B3BrancaNão se aplicaNão se aplicaNão se aplicaNão se aplicaIntermediário",Mercado_Receita!$L$2:$L$483)</f>
        <v>0</v>
      </c>
      <c r="S43" s="13">
        <f>SUMIF(Mercado_Receita!$S$2:$S$483,"44743B3BrancaNão se aplicaNão se aplicaNão se aplicaNão se aplicaIntermediário",Mercado_Receita!$L$2:$L$483)</f>
        <v>0</v>
      </c>
      <c r="T43" s="13">
        <f>SUMIF(Mercado_Receita!$S$2:$S$483,"44774B3BrancaNão se aplicaNão se aplicaNão se aplicaNão se aplicaIntermediário",Mercado_Receita!$L$2:$L$483)</f>
        <v>0</v>
      </c>
      <c r="U43" s="13">
        <f t="shared" si="0"/>
        <v>0</v>
      </c>
      <c r="V43" s="13"/>
      <c r="W43" s="13"/>
    </row>
    <row r="44" spans="1:23" ht="11.25" customHeight="1" x14ac:dyDescent="0.3">
      <c r="A44" s="77"/>
      <c r="B44" s="77"/>
      <c r="C44" s="77"/>
      <c r="D44" s="77"/>
      <c r="E44" s="77"/>
      <c r="F44" s="77"/>
      <c r="G44" s="13" t="s">
        <v>81</v>
      </c>
      <c r="H44" s="13" t="s">
        <v>79</v>
      </c>
      <c r="I44" s="13">
        <f>SUMIF(Mercado_Receita!$S$2:$S$483,"44440B3BrancaNão se aplicaNão se aplicaNão se aplicaNão se aplicaFora ponta",Mercado_Receita!$L$2:$L$483)</f>
        <v>0</v>
      </c>
      <c r="J44" s="13">
        <f>SUMIF(Mercado_Receita!$S$2:$S$483,"44470B3BrancaNão se aplicaNão se aplicaNão se aplicaNão se aplicaFora ponta",Mercado_Receita!$L$2:$L$483)</f>
        <v>0</v>
      </c>
      <c r="K44" s="13">
        <f>SUMIF(Mercado_Receita!$S$2:$S$483,"44501B3BrancaNão se aplicaNão se aplicaNão se aplicaNão se aplicaFora ponta",Mercado_Receita!$L$2:$L$483)</f>
        <v>0</v>
      </c>
      <c r="L44" s="13">
        <f>SUMIF(Mercado_Receita!$S$2:$S$483,"44531B3BrancaNão se aplicaNão se aplicaNão se aplicaNão se aplicaFora ponta",Mercado_Receita!$L$2:$L$483)</f>
        <v>0</v>
      </c>
      <c r="M44" s="13">
        <f>SUMIF(Mercado_Receita!$S$2:$S$483,"44562B3BrancaNão se aplicaNão se aplicaNão se aplicaNão se aplicaFora ponta",Mercado_Receita!$L$2:$L$483)</f>
        <v>0</v>
      </c>
      <c r="N44" s="13">
        <f>SUMIF(Mercado_Receita!$S$2:$S$483,"44593B3BrancaNão se aplicaNão se aplicaNão se aplicaNão se aplicaFora ponta",Mercado_Receita!$L$2:$L$483)</f>
        <v>0</v>
      </c>
      <c r="O44" s="13">
        <f>SUMIF(Mercado_Receita!$S$2:$S$483,"44621B3BrancaNão se aplicaNão se aplicaNão se aplicaNão se aplicaFora ponta",Mercado_Receita!$L$2:$L$483)</f>
        <v>0</v>
      </c>
      <c r="P44" s="13">
        <f>SUMIF(Mercado_Receita!$S$2:$S$483,"44652B3BrancaNão se aplicaNão se aplicaNão se aplicaNão se aplicaFora ponta",Mercado_Receita!$L$2:$L$483)</f>
        <v>0</v>
      </c>
      <c r="Q44" s="13">
        <f>SUMIF(Mercado_Receita!$S$2:$S$483,"44682B3BrancaNão se aplicaNão se aplicaNão se aplicaNão se aplicaFora ponta",Mercado_Receita!$L$2:$L$483)</f>
        <v>0</v>
      </c>
      <c r="R44" s="13">
        <f>SUMIF(Mercado_Receita!$S$2:$S$483,"44713B3BrancaNão se aplicaNão se aplicaNão se aplicaNão se aplicaFora ponta",Mercado_Receita!$L$2:$L$483)</f>
        <v>0</v>
      </c>
      <c r="S44" s="13">
        <f>SUMIF(Mercado_Receita!$S$2:$S$483,"44743B3BrancaNão se aplicaNão se aplicaNão se aplicaNão se aplicaFora ponta",Mercado_Receita!$L$2:$L$483)</f>
        <v>0</v>
      </c>
      <c r="T44" s="13">
        <f>SUMIF(Mercado_Receita!$S$2:$S$483,"44774B3BrancaNão se aplicaNão se aplicaNão se aplicaNão se aplicaFora ponta",Mercado_Receita!$L$2:$L$483)</f>
        <v>0</v>
      </c>
      <c r="U44" s="13">
        <f t="shared" si="0"/>
        <v>0</v>
      </c>
      <c r="V44" s="13"/>
      <c r="W44" s="13"/>
    </row>
    <row r="45" spans="1:23" ht="11.25" customHeight="1" x14ac:dyDescent="0.3">
      <c r="A45" s="77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83</v>
      </c>
      <c r="H45" s="13" t="s">
        <v>79</v>
      </c>
      <c r="I45" s="13">
        <f>SUMIF(Mercado_Receita!$S$2:$S$483,"44440B3ConvencionalNão se aplicaNão se aplicaNão se aplicaNão se aplicaPonta",Mercado_Receita!$L$2:$L$483)+SUMIF(Mercado_Receita!$S$2:$S$483,"44440B3ConvencionalNão se aplicaNão se aplicaNão se aplicaNão se aplicaFora ponta",Mercado_Receita!$L$2:$L$483)+SUMIF(Mercado_Receita!$S$2:$S$483,"44440B3ConvencionalNão se aplicaNão se aplicaNão se aplicaNão se aplicaIntermediário",Mercado_Receita!$L$2:$L$483)+SUMIF(Mercado_Receita!$S$2:$S$483,"44440B3ConvencionalNão se aplicaNão se aplicaNão se aplicaNão se aplicaNão se aplica",Mercado_Receita!$L$2:$L$483)</f>
        <v>664.50999999999988</v>
      </c>
      <c r="J45" s="13">
        <f>SUMIF(Mercado_Receita!$S$2:$S$483,"44470B3ConvencionalNão se aplicaNão se aplicaNão se aplicaNão se aplicaPonta",Mercado_Receita!$L$2:$L$483)+SUMIF(Mercado_Receita!$S$2:$S$483,"44470B3ConvencionalNão se aplicaNão se aplicaNão se aplicaNão se aplicaFora ponta",Mercado_Receita!$L$2:$L$483)+SUMIF(Mercado_Receita!$S$2:$S$483,"44470B3ConvencionalNão se aplicaNão se aplicaNão se aplicaNão se aplicaIntermediário",Mercado_Receita!$L$2:$L$483)+SUMIF(Mercado_Receita!$S$2:$S$483,"44470B3ConvencionalNão se aplicaNão se aplicaNão se aplicaNão se aplicaNão se aplica",Mercado_Receita!$L$2:$L$483)</f>
        <v>683.42500000000007</v>
      </c>
      <c r="K45" s="13">
        <f>SUMIF(Mercado_Receita!$S$2:$S$483,"44501B3ConvencionalNão se aplicaNão se aplicaNão se aplicaNão se aplicaPonta",Mercado_Receita!$L$2:$L$483)+SUMIF(Mercado_Receita!$S$2:$S$483,"44501B3ConvencionalNão se aplicaNão se aplicaNão se aplicaNão se aplicaFora ponta",Mercado_Receita!$L$2:$L$483)+SUMIF(Mercado_Receita!$S$2:$S$483,"44501B3ConvencionalNão se aplicaNão se aplicaNão se aplicaNão se aplicaIntermediário",Mercado_Receita!$L$2:$L$483)+SUMIF(Mercado_Receita!$S$2:$S$483,"44501B3ConvencionalNão se aplicaNão se aplicaNão se aplicaNão se aplicaNão se aplica",Mercado_Receita!$L$2:$L$483)</f>
        <v>680.05000000000007</v>
      </c>
      <c r="L45" s="13">
        <f>SUMIF(Mercado_Receita!$S$2:$S$483,"44531B3ConvencionalNão se aplicaNão se aplicaNão se aplicaNão se aplicaPonta",Mercado_Receita!$L$2:$L$483)+SUMIF(Mercado_Receita!$S$2:$S$483,"44531B3ConvencionalNão se aplicaNão se aplicaNão se aplicaNão se aplicaFora ponta",Mercado_Receita!$L$2:$L$483)+SUMIF(Mercado_Receita!$S$2:$S$483,"44531B3ConvencionalNão se aplicaNão se aplicaNão se aplicaNão se aplicaIntermediário",Mercado_Receita!$L$2:$L$483)+SUMIF(Mercado_Receita!$S$2:$S$483,"44531B3ConvencionalNão se aplicaNão se aplicaNão se aplicaNão se aplicaNão se aplica",Mercado_Receita!$L$2:$L$483)</f>
        <v>616.82799999999997</v>
      </c>
      <c r="M45" s="13">
        <f>SUMIF(Mercado_Receita!$S$2:$S$483,"44562B3ConvencionalNão se aplicaNão se aplicaNão se aplicaNão se aplicaPonta",Mercado_Receita!$L$2:$L$483)+SUMIF(Mercado_Receita!$S$2:$S$483,"44562B3ConvencionalNão se aplicaNão se aplicaNão se aplicaNão se aplicaFora ponta",Mercado_Receita!$L$2:$L$483)+SUMIF(Mercado_Receita!$S$2:$S$483,"44562B3ConvencionalNão se aplicaNão se aplicaNão se aplicaNão se aplicaIntermediário",Mercado_Receita!$L$2:$L$483)+SUMIF(Mercado_Receita!$S$2:$S$483,"44562B3ConvencionalNão se aplicaNão se aplicaNão se aplicaNão se aplicaNão se aplica",Mercado_Receita!$L$2:$L$483)</f>
        <v>521.82600000000002</v>
      </c>
      <c r="N45" s="13">
        <f>SUMIF(Mercado_Receita!$S$2:$S$483,"44593B3ConvencionalNão se aplicaNão se aplicaNão se aplicaNão se aplicaPonta",Mercado_Receita!$L$2:$L$483)+SUMIF(Mercado_Receita!$S$2:$S$483,"44593B3ConvencionalNão se aplicaNão se aplicaNão se aplicaNão se aplicaFora ponta",Mercado_Receita!$L$2:$L$483)+SUMIF(Mercado_Receita!$S$2:$S$483,"44593B3ConvencionalNão se aplicaNão se aplicaNão se aplicaNão se aplicaIntermediário",Mercado_Receita!$L$2:$L$483)+SUMIF(Mercado_Receita!$S$2:$S$483,"44593B3ConvencionalNão se aplicaNão se aplicaNão se aplicaNão se aplicaNão se aplica",Mercado_Receita!$L$2:$L$483)</f>
        <v>766.13400000000001</v>
      </c>
      <c r="O45" s="13">
        <f>SUMIF(Mercado_Receita!$S$2:$S$483,"44621B3ConvencionalNão se aplicaNão se aplicaNão se aplicaNão se aplicaPonta",Mercado_Receita!$L$2:$L$483)+SUMIF(Mercado_Receita!$S$2:$S$483,"44621B3ConvencionalNão se aplicaNão se aplicaNão se aplicaNão se aplicaFora ponta",Mercado_Receita!$L$2:$L$483)+SUMIF(Mercado_Receita!$S$2:$S$483,"44621B3ConvencionalNão se aplicaNão se aplicaNão se aplicaNão se aplicaIntermediário",Mercado_Receita!$L$2:$L$483)+SUMIF(Mercado_Receita!$S$2:$S$483,"44621B3ConvencionalNão se aplicaNão se aplicaNão se aplicaNão se aplicaNão se aplica",Mercado_Receita!$L$2:$L$483)</f>
        <v>729.95899999999995</v>
      </c>
      <c r="P45" s="13">
        <f>SUMIF(Mercado_Receita!$S$2:$S$483,"44652B3ConvencionalNão se aplicaNão se aplicaNão se aplicaNão se aplicaPonta",Mercado_Receita!$L$2:$L$483)+SUMIF(Mercado_Receita!$S$2:$S$483,"44652B3ConvencionalNão se aplicaNão se aplicaNão se aplicaNão se aplicaFora ponta",Mercado_Receita!$L$2:$L$483)+SUMIF(Mercado_Receita!$S$2:$S$483,"44652B3ConvencionalNão se aplicaNão se aplicaNão se aplicaNão se aplicaIntermediário",Mercado_Receita!$L$2:$L$483)+SUMIF(Mercado_Receita!$S$2:$S$483,"44652B3ConvencionalNão se aplicaNão se aplicaNão se aplicaNão se aplicaNão se aplica",Mercado_Receita!$L$2:$L$483)</f>
        <v>629.77600000000007</v>
      </c>
      <c r="Q45" s="13">
        <f>SUMIF(Mercado_Receita!$S$2:$S$483,"44682B3ConvencionalNão se aplicaNão se aplicaNão se aplicaNão se aplicaPonta",Mercado_Receita!$L$2:$L$483)+SUMIF(Mercado_Receita!$S$2:$S$483,"44682B3ConvencionalNão se aplicaNão se aplicaNão se aplicaNão se aplicaFora ponta",Mercado_Receita!$L$2:$L$483)+SUMIF(Mercado_Receita!$S$2:$S$483,"44682B3ConvencionalNão se aplicaNão se aplicaNão se aplicaNão se aplicaIntermediário",Mercado_Receita!$L$2:$L$483)+SUMIF(Mercado_Receita!$S$2:$S$483,"44682B3ConvencionalNão se aplicaNão se aplicaNão se aplicaNão se aplicaNão se aplica",Mercado_Receita!$L$2:$L$483)</f>
        <v>605.68400000000008</v>
      </c>
      <c r="R45" s="13">
        <f>SUMIF(Mercado_Receita!$S$2:$S$483,"44713B3ConvencionalNão se aplicaNão se aplicaNão se aplicaNão se aplicaPonta",Mercado_Receita!$L$2:$L$483)+SUMIF(Mercado_Receita!$S$2:$S$483,"44713B3ConvencionalNão se aplicaNão se aplicaNão se aplicaNão se aplicaFora ponta",Mercado_Receita!$L$2:$L$483)+SUMIF(Mercado_Receita!$S$2:$S$483,"44713B3ConvencionalNão se aplicaNão se aplicaNão se aplicaNão se aplicaIntermediário",Mercado_Receita!$L$2:$L$483)+SUMIF(Mercado_Receita!$S$2:$S$483,"44713B3ConvencionalNão se aplicaNão se aplicaNão se aplicaNão se aplicaNão se aplica",Mercado_Receita!$L$2:$L$483)</f>
        <v>649.44000000000005</v>
      </c>
      <c r="S45" s="13">
        <f>SUMIF(Mercado_Receita!$S$2:$S$483,"44743B3ConvencionalNão se aplicaNão se aplicaNão se aplicaNão se aplicaPonta",Mercado_Receita!$L$2:$L$483)+SUMIF(Mercado_Receita!$S$2:$S$483,"44743B3ConvencionalNão se aplicaNão se aplicaNão se aplicaNão se aplicaFora ponta",Mercado_Receita!$L$2:$L$483)+SUMIF(Mercado_Receita!$S$2:$S$483,"44743B3ConvencionalNão se aplicaNão se aplicaNão se aplicaNão se aplicaIntermediário",Mercado_Receita!$L$2:$L$483)+SUMIF(Mercado_Receita!$S$2:$S$483,"44743B3ConvencionalNão se aplicaNão se aplicaNão se aplicaNão se aplicaNão se aplica",Mercado_Receita!$L$2:$L$483)</f>
        <v>601.27799999999991</v>
      </c>
      <c r="T45" s="13">
        <f>SUMIF(Mercado_Receita!$S$2:$S$483,"44774B3ConvencionalNão se aplicaNão se aplicaNão se aplicaNão se aplicaPonta",Mercado_Receita!$L$2:$L$483)+SUMIF(Mercado_Receita!$S$2:$S$483,"44774B3ConvencionalNão se aplicaNão se aplicaNão se aplicaNão se aplicaFora ponta",Mercado_Receita!$L$2:$L$483)+SUMIF(Mercado_Receita!$S$2:$S$483,"44774B3ConvencionalNão se aplicaNão se aplicaNão se aplicaNão se aplicaIntermediário",Mercado_Receita!$L$2:$L$483)+SUMIF(Mercado_Receita!$S$2:$S$483,"44774B3ConvencionalNão se aplicaNão se aplicaNão se aplicaNão se aplicaNão se aplica",Mercado_Receita!$L$2:$L$483)</f>
        <v>601.27799999999991</v>
      </c>
      <c r="U45" s="13">
        <f t="shared" si="0"/>
        <v>7750.1880000000001</v>
      </c>
      <c r="V45" s="13"/>
      <c r="W45" s="13"/>
    </row>
    <row r="46" spans="1:23" ht="11.25" customHeight="1" x14ac:dyDescent="0.3">
      <c r="A46" s="77"/>
      <c r="B46" s="12" t="s">
        <v>94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83</v>
      </c>
      <c r="H46" s="13" t="s">
        <v>79</v>
      </c>
      <c r="I46" s="13">
        <f>SUMIF(Mercado_Receita!$S$2:$S$483,"44440B3Convencional pré-pagamentoNão se aplicaNão se aplicaNão se aplicaNão se aplicaPonta",Mercado_Receita!$L$2:$L$483)+SUMIF(Mercado_Receita!$S$2:$S$483,"44440B3Convencional pré-pagamentoNão se aplicaNão se aplicaNão se aplicaNão se aplicaFora ponta",Mercado_Receita!$L$2:$L$483)+SUMIF(Mercado_Receita!$S$2:$S$483,"44440B3Convencional pré-pagamentoNão se aplicaNão se aplicaNão se aplicaNão se aplicaIntermediário",Mercado_Receita!$L$2:$L$483)+SUMIF(Mercado_Receita!$S$2:$S$483,"44440B3Convencional pré-pagamentoNão se aplicaNão se aplicaNão se aplicaNão se aplicaNão se aplica",Mercado_Receita!$L$2:$L$483)</f>
        <v>0</v>
      </c>
      <c r="J46" s="13">
        <f>SUMIF(Mercado_Receita!$S$2:$S$483,"44470B3Convencional pré-pagamentoNão se aplicaNão se aplicaNão se aplicaNão se aplicaPonta",Mercado_Receita!$L$2:$L$483)+SUMIF(Mercado_Receita!$S$2:$S$483,"44470B3Convencional pré-pagamentoNão se aplicaNão se aplicaNão se aplicaNão se aplicaFora ponta",Mercado_Receita!$L$2:$L$483)+SUMIF(Mercado_Receita!$S$2:$S$483,"44470B3Convencional pré-pagamentoNão se aplicaNão se aplicaNão se aplicaNão se aplicaIntermediário",Mercado_Receita!$L$2:$L$483)+SUMIF(Mercado_Receita!$S$2:$S$483,"44470B3Convencional pré-pagamentoNão se aplicaNão se aplicaNão se aplicaNão se aplicaNão se aplica",Mercado_Receita!$L$2:$L$483)</f>
        <v>0</v>
      </c>
      <c r="K46" s="13">
        <f>SUMIF(Mercado_Receita!$S$2:$S$483,"44501B3Convencional pré-pagamentoNão se aplicaNão se aplicaNão se aplicaNão se aplicaPonta",Mercado_Receita!$L$2:$L$483)+SUMIF(Mercado_Receita!$S$2:$S$483,"44501B3Convencional pré-pagamentoNão se aplicaNão se aplicaNão se aplicaNão se aplicaFora ponta",Mercado_Receita!$L$2:$L$483)+SUMIF(Mercado_Receita!$S$2:$S$483,"44501B3Convencional pré-pagamentoNão se aplicaNão se aplicaNão se aplicaNão se aplicaIntermediário",Mercado_Receita!$L$2:$L$483)+SUMIF(Mercado_Receita!$S$2:$S$483,"44501B3Convencional pré-pagamentoNão se aplicaNão se aplicaNão se aplicaNão se aplicaNão se aplica",Mercado_Receita!$L$2:$L$483)</f>
        <v>0</v>
      </c>
      <c r="L46" s="13">
        <f>SUMIF(Mercado_Receita!$S$2:$S$483,"44531B3Convencional pré-pagamentoNão se aplicaNão se aplicaNão se aplicaNão se aplicaPonta",Mercado_Receita!$L$2:$L$483)+SUMIF(Mercado_Receita!$S$2:$S$483,"44531B3Convencional pré-pagamentoNão se aplicaNão se aplicaNão se aplicaNão se aplicaFora ponta",Mercado_Receita!$L$2:$L$483)+SUMIF(Mercado_Receita!$S$2:$S$483,"44531B3Convencional pré-pagamentoNão se aplicaNão se aplicaNão se aplicaNão se aplicaIntermediário",Mercado_Receita!$L$2:$L$483)+SUMIF(Mercado_Receita!$S$2:$S$483,"44531B3Convencional pré-pagamentoNão se aplicaNão se aplicaNão se aplicaNão se aplicaNão se aplica",Mercado_Receita!$L$2:$L$483)</f>
        <v>0</v>
      </c>
      <c r="M46" s="13">
        <f>SUMIF(Mercado_Receita!$S$2:$S$483,"44562B3Convencional pré-pagamentoNão se aplicaNão se aplicaNão se aplicaNão se aplicaPonta",Mercado_Receita!$L$2:$L$483)+SUMIF(Mercado_Receita!$S$2:$S$483,"44562B3Convencional pré-pagamentoNão se aplicaNão se aplicaNão se aplicaNão se aplicaFora ponta",Mercado_Receita!$L$2:$L$483)+SUMIF(Mercado_Receita!$S$2:$S$483,"44562B3Convencional pré-pagamentoNão se aplicaNão se aplicaNão se aplicaNão se aplicaIntermediário",Mercado_Receita!$L$2:$L$483)+SUMIF(Mercado_Receita!$S$2:$S$483,"44562B3Convencional pré-pagamentoNão se aplicaNão se aplicaNão se aplicaNão se aplicaNão se aplica",Mercado_Receita!$L$2:$L$483)</f>
        <v>0</v>
      </c>
      <c r="N46" s="13">
        <f>SUMIF(Mercado_Receita!$S$2:$S$483,"44593B3Convencional pré-pagamentoNão se aplicaNão se aplicaNão se aplicaNão se aplicaPonta",Mercado_Receita!$L$2:$L$483)+SUMIF(Mercado_Receita!$S$2:$S$483,"44593B3Convencional pré-pagamentoNão se aplicaNão se aplicaNão se aplicaNão se aplicaFora ponta",Mercado_Receita!$L$2:$L$483)+SUMIF(Mercado_Receita!$S$2:$S$483,"44593B3Convencional pré-pagamentoNão se aplicaNão se aplicaNão se aplicaNão se aplicaIntermediário",Mercado_Receita!$L$2:$L$483)+SUMIF(Mercado_Receita!$S$2:$S$483,"44593B3Convencional pré-pagamentoNão se aplicaNão se aplicaNão se aplicaNão se aplicaNão se aplica",Mercado_Receita!$L$2:$L$483)</f>
        <v>0</v>
      </c>
      <c r="O46" s="13">
        <f>SUMIF(Mercado_Receita!$S$2:$S$483,"44621B3Convencional pré-pagamentoNão se aplicaNão se aplicaNão se aplicaNão se aplicaPonta",Mercado_Receita!$L$2:$L$483)+SUMIF(Mercado_Receita!$S$2:$S$483,"44621B3Convencional pré-pagamentoNão se aplicaNão se aplicaNão se aplicaNão se aplicaFora ponta",Mercado_Receita!$L$2:$L$483)+SUMIF(Mercado_Receita!$S$2:$S$483,"44621B3Convencional pré-pagamentoNão se aplicaNão se aplicaNão se aplicaNão se aplicaIntermediário",Mercado_Receita!$L$2:$L$483)+SUMIF(Mercado_Receita!$S$2:$S$483,"44621B3Convencional pré-pagamentoNão se aplicaNão se aplicaNão se aplicaNão se aplicaNão se aplica",Mercado_Receita!$L$2:$L$483)</f>
        <v>0</v>
      </c>
      <c r="P46" s="13">
        <f>SUMIF(Mercado_Receita!$S$2:$S$483,"44652B3Convencional pré-pagamentoNão se aplicaNão se aplicaNão se aplicaNão se aplicaPonta",Mercado_Receita!$L$2:$L$483)+SUMIF(Mercado_Receita!$S$2:$S$483,"44652B3Convencional pré-pagamentoNão se aplicaNão se aplicaNão se aplicaNão se aplicaFora ponta",Mercado_Receita!$L$2:$L$483)+SUMIF(Mercado_Receita!$S$2:$S$483,"44652B3Convencional pré-pagamentoNão se aplicaNão se aplicaNão se aplicaNão se aplicaIntermediário",Mercado_Receita!$L$2:$L$483)+SUMIF(Mercado_Receita!$S$2:$S$483,"44652B3Convencional pré-pagamentoNão se aplicaNão se aplicaNão se aplicaNão se aplicaNão se aplica",Mercado_Receita!$L$2:$L$483)</f>
        <v>0</v>
      </c>
      <c r="Q46" s="13">
        <f>SUMIF(Mercado_Receita!$S$2:$S$483,"44682B3Convencional pré-pagamentoNão se aplicaNão se aplicaNão se aplicaNão se aplicaPonta",Mercado_Receita!$L$2:$L$483)+SUMIF(Mercado_Receita!$S$2:$S$483,"44682B3Convencional pré-pagamentoNão se aplicaNão se aplicaNão se aplicaNão se aplicaFora ponta",Mercado_Receita!$L$2:$L$483)+SUMIF(Mercado_Receita!$S$2:$S$483,"44682B3Convencional pré-pagamentoNão se aplicaNão se aplicaNão se aplicaNão se aplicaIntermediário",Mercado_Receita!$L$2:$L$483)+SUMIF(Mercado_Receita!$S$2:$S$483,"44682B3Convencional pré-pagamentoNão se aplicaNão se aplicaNão se aplicaNão se aplicaNão se aplica",Mercado_Receita!$L$2:$L$483)</f>
        <v>0</v>
      </c>
      <c r="R46" s="13">
        <f>SUMIF(Mercado_Receita!$S$2:$S$483,"44713B3Convencional pré-pagamentoNão se aplicaNão se aplicaNão se aplicaNão se aplicaPonta",Mercado_Receita!$L$2:$L$483)+SUMIF(Mercado_Receita!$S$2:$S$483,"44713B3Convencional pré-pagamentoNão se aplicaNão se aplicaNão se aplicaNão se aplicaFora ponta",Mercado_Receita!$L$2:$L$483)+SUMIF(Mercado_Receita!$S$2:$S$483,"44713B3Convencional pré-pagamentoNão se aplicaNão se aplicaNão se aplicaNão se aplicaIntermediário",Mercado_Receita!$L$2:$L$483)+SUMIF(Mercado_Receita!$S$2:$S$483,"44713B3Convencional pré-pagamentoNão se aplicaNão se aplicaNão se aplicaNão se aplicaNão se aplica",Mercado_Receita!$L$2:$L$483)</f>
        <v>0</v>
      </c>
      <c r="S46" s="13">
        <f>SUMIF(Mercado_Receita!$S$2:$S$483,"44743B3Convencional pré-pagamentoNão se aplicaNão se aplicaNão se aplicaNão se aplicaPonta",Mercado_Receita!$L$2:$L$483)+SUMIF(Mercado_Receita!$S$2:$S$483,"44743B3Convencional pré-pagamentoNão se aplicaNão se aplicaNão se aplicaNão se aplicaFora ponta",Mercado_Receita!$L$2:$L$483)+SUMIF(Mercado_Receita!$S$2:$S$483,"44743B3Convencional pré-pagamentoNão se aplicaNão se aplicaNão se aplicaNão se aplicaIntermediário",Mercado_Receita!$L$2:$L$483)+SUMIF(Mercado_Receita!$S$2:$S$483,"44743B3Convencional pré-pagamentoNão se aplicaNão se aplicaNão se aplicaNão se aplicaNão se aplica",Mercado_Receita!$L$2:$L$483)</f>
        <v>0</v>
      </c>
      <c r="T46" s="13">
        <f>SUMIF(Mercado_Receita!$S$2:$S$483,"44774B3Convencional pré-pagamentoNão se aplicaNão se aplicaNão se aplicaNão se aplicaPonta",Mercado_Receita!$L$2:$L$483)+SUMIF(Mercado_Receita!$S$2:$S$483,"44774B3Convencional pré-pagamentoNão se aplicaNão se aplicaNão se aplicaNão se aplicaFora ponta",Mercado_Receita!$L$2:$L$483)+SUMIF(Mercado_Receita!$S$2:$S$483,"44774B3Convencional pré-pagamentoNão se aplicaNão se aplicaNão se aplicaNão se aplicaIntermediário",Mercado_Receita!$L$2:$L$483)+SUMIF(Mercado_Receita!$S$2:$S$483,"44774B3Convencional pré-pagamentoNão se aplicaNão se aplicaNão se aplicaNão se aplicaNão se aplica",Mercado_Receita!$L$2:$L$483)</f>
        <v>0</v>
      </c>
      <c r="U46" s="13">
        <f t="shared" si="0"/>
        <v>0</v>
      </c>
      <c r="V46" s="13"/>
      <c r="W46" s="13"/>
    </row>
    <row r="47" spans="1:23" ht="11.25" customHeight="1" x14ac:dyDescent="0.3">
      <c r="A47" s="76" t="s">
        <v>43</v>
      </c>
      <c r="B47" s="76" t="s">
        <v>23</v>
      </c>
      <c r="C47" s="76" t="s">
        <v>44</v>
      </c>
      <c r="D47" s="12" t="s">
        <v>97</v>
      </c>
      <c r="E47" s="12" t="s">
        <v>25</v>
      </c>
      <c r="F47" s="12" t="s">
        <v>25</v>
      </c>
      <c r="G47" s="13" t="s">
        <v>83</v>
      </c>
      <c r="H47" s="13" t="s">
        <v>79</v>
      </c>
      <c r="I47" s="13">
        <f>SUMIF(Mercado_Receita!$S$2:$S$483,"44440B4ConvencionalIluminação públicaIluminação pública – B4aNão se aplicaNão se aplicaPonta",Mercado_Receita!$L$2:$L$483)+SUMIF(Mercado_Receita!$S$2:$S$483,"44440B4ConvencionalIluminação públicaIluminação pública – B4aNão se aplicaNão se aplicaFora ponta",Mercado_Receita!$L$2:$L$483)+SUMIF(Mercado_Receita!$S$2:$S$483,"44440B4ConvencionalIluminação públicaIluminação pública – B4aNão se aplicaNão se aplicaIntermediário",Mercado_Receita!$L$2:$L$483)+SUMIF(Mercado_Receita!$S$2:$S$483,"44440B4ConvencionalIluminação públicaIluminação pública – B4aNão se aplicaNão se aplicaNão se aplica",Mercado_Receita!$L$2:$L$483)</f>
        <v>0</v>
      </c>
      <c r="J47" s="13">
        <f>SUMIF(Mercado_Receita!$S$2:$S$483,"44470B4ConvencionalIluminação públicaIluminação pública – B4aNão se aplicaNão se aplicaPonta",Mercado_Receita!$L$2:$L$483)+SUMIF(Mercado_Receita!$S$2:$S$483,"44470B4ConvencionalIluminação públicaIluminação pública – B4aNão se aplicaNão se aplicaFora ponta",Mercado_Receita!$L$2:$L$483)+SUMIF(Mercado_Receita!$S$2:$S$483,"44470B4ConvencionalIluminação públicaIluminação pública – B4aNão se aplicaNão se aplicaIntermediário",Mercado_Receita!$L$2:$L$483)+SUMIF(Mercado_Receita!$S$2:$S$483,"44470B4ConvencionalIluminação públicaIluminação pública – B4aNão se aplicaNão se aplicaNão se aplica",Mercado_Receita!$L$2:$L$483)</f>
        <v>0</v>
      </c>
      <c r="K47" s="13">
        <f>SUMIF(Mercado_Receita!$S$2:$S$483,"44501B4ConvencionalIluminação públicaIluminação pública – B4aNão se aplicaNão se aplicaPonta",Mercado_Receita!$L$2:$L$483)+SUMIF(Mercado_Receita!$S$2:$S$483,"44501B4ConvencionalIluminação públicaIluminação pública – B4aNão se aplicaNão se aplicaFora ponta",Mercado_Receita!$L$2:$L$483)+SUMIF(Mercado_Receita!$S$2:$S$483,"44501B4ConvencionalIluminação públicaIluminação pública – B4aNão se aplicaNão se aplicaIntermediário",Mercado_Receita!$L$2:$L$483)+SUMIF(Mercado_Receita!$S$2:$S$483,"44501B4ConvencionalIluminação públicaIluminação pública – B4aNão se aplicaNão se aplicaNão se aplica",Mercado_Receita!$L$2:$L$483)</f>
        <v>0</v>
      </c>
      <c r="L47" s="13">
        <f>SUMIF(Mercado_Receita!$S$2:$S$483,"44531B4ConvencionalIluminação públicaIluminação pública – B4aNão se aplicaNão se aplicaPonta",Mercado_Receita!$L$2:$L$483)+SUMIF(Mercado_Receita!$S$2:$S$483,"44531B4ConvencionalIluminação públicaIluminação pública – B4aNão se aplicaNão se aplicaFora ponta",Mercado_Receita!$L$2:$L$483)+SUMIF(Mercado_Receita!$S$2:$S$483,"44531B4ConvencionalIluminação públicaIluminação pública – B4aNão se aplicaNão se aplicaIntermediário",Mercado_Receita!$L$2:$L$483)+SUMIF(Mercado_Receita!$S$2:$S$483,"44531B4ConvencionalIluminação públicaIluminação pública – B4aNão se aplicaNão se aplicaNão se aplica",Mercado_Receita!$L$2:$L$483)</f>
        <v>0</v>
      </c>
      <c r="M47" s="13">
        <f>SUMIF(Mercado_Receita!$S$2:$S$483,"44562B4ConvencionalIluminação públicaIluminação pública – B4aNão se aplicaNão se aplicaPonta",Mercado_Receita!$L$2:$L$483)+SUMIF(Mercado_Receita!$S$2:$S$483,"44562B4ConvencionalIluminação públicaIluminação pública – B4aNão se aplicaNão se aplicaFora ponta",Mercado_Receita!$L$2:$L$483)+SUMIF(Mercado_Receita!$S$2:$S$483,"44562B4ConvencionalIluminação públicaIluminação pública – B4aNão se aplicaNão se aplicaIntermediário",Mercado_Receita!$L$2:$L$483)+SUMIF(Mercado_Receita!$S$2:$S$483,"44562B4ConvencionalIluminação públicaIluminação pública – B4aNão se aplicaNão se aplicaNão se aplica",Mercado_Receita!$L$2:$L$483)</f>
        <v>0</v>
      </c>
      <c r="N47" s="13">
        <f>SUMIF(Mercado_Receita!$S$2:$S$483,"44593B4ConvencionalIluminação públicaIluminação pública – B4aNão se aplicaNão se aplicaPonta",Mercado_Receita!$L$2:$L$483)+SUMIF(Mercado_Receita!$S$2:$S$483,"44593B4ConvencionalIluminação públicaIluminação pública – B4aNão se aplicaNão se aplicaFora ponta",Mercado_Receita!$L$2:$L$483)+SUMIF(Mercado_Receita!$S$2:$S$483,"44593B4ConvencionalIluminação públicaIluminação pública – B4aNão se aplicaNão se aplicaIntermediário",Mercado_Receita!$L$2:$L$483)+SUMIF(Mercado_Receita!$S$2:$S$483,"44593B4ConvencionalIluminação públicaIluminação pública – B4aNão se aplicaNão se aplicaNão se aplica",Mercado_Receita!$L$2:$L$483)</f>
        <v>0</v>
      </c>
      <c r="O47" s="13">
        <f>SUMIF(Mercado_Receita!$S$2:$S$483,"44621B4ConvencionalIluminação públicaIluminação pública – B4aNão se aplicaNão se aplicaPonta",Mercado_Receita!$L$2:$L$483)+SUMIF(Mercado_Receita!$S$2:$S$483,"44621B4ConvencionalIluminação públicaIluminação pública – B4aNão se aplicaNão se aplicaFora ponta",Mercado_Receita!$L$2:$L$483)+SUMIF(Mercado_Receita!$S$2:$S$483,"44621B4ConvencionalIluminação públicaIluminação pública – B4aNão se aplicaNão se aplicaIntermediário",Mercado_Receita!$L$2:$L$483)+SUMIF(Mercado_Receita!$S$2:$S$483,"44621B4ConvencionalIluminação públicaIluminação pública – B4aNão se aplicaNão se aplicaNão se aplica",Mercado_Receita!$L$2:$L$483)</f>
        <v>0</v>
      </c>
      <c r="P47" s="13">
        <f>SUMIF(Mercado_Receita!$S$2:$S$483,"44652B4ConvencionalIluminação públicaIluminação pública – B4aNão se aplicaNão se aplicaPonta",Mercado_Receita!$L$2:$L$483)+SUMIF(Mercado_Receita!$S$2:$S$483,"44652B4ConvencionalIluminação públicaIluminação pública – B4aNão se aplicaNão se aplicaFora ponta",Mercado_Receita!$L$2:$L$483)+SUMIF(Mercado_Receita!$S$2:$S$483,"44652B4ConvencionalIluminação públicaIluminação pública – B4aNão se aplicaNão se aplicaIntermediário",Mercado_Receita!$L$2:$L$483)+SUMIF(Mercado_Receita!$S$2:$S$483,"44652B4ConvencionalIluminação públicaIluminação pública – B4aNão se aplicaNão se aplicaNão se aplica",Mercado_Receita!$L$2:$L$483)</f>
        <v>0</v>
      </c>
      <c r="Q47" s="13">
        <f>SUMIF(Mercado_Receita!$S$2:$S$483,"44682B4ConvencionalIluminação públicaIluminação pública – B4aNão se aplicaNão se aplicaPonta",Mercado_Receita!$L$2:$L$483)+SUMIF(Mercado_Receita!$S$2:$S$483,"44682B4ConvencionalIluminação públicaIluminação pública – B4aNão se aplicaNão se aplicaFora ponta",Mercado_Receita!$L$2:$L$483)+SUMIF(Mercado_Receita!$S$2:$S$483,"44682B4ConvencionalIluminação públicaIluminação pública – B4aNão se aplicaNão se aplicaIntermediário",Mercado_Receita!$L$2:$L$483)+SUMIF(Mercado_Receita!$S$2:$S$483,"44682B4ConvencionalIluminação públicaIluminação pública – B4aNão se aplicaNão se aplicaNão se aplica",Mercado_Receita!$L$2:$L$483)</f>
        <v>0</v>
      </c>
      <c r="R47" s="13">
        <f>SUMIF(Mercado_Receita!$S$2:$S$483,"44713B4ConvencionalIluminação públicaIluminação pública – B4aNão se aplicaNão se aplicaPonta",Mercado_Receita!$L$2:$L$483)+SUMIF(Mercado_Receita!$S$2:$S$483,"44713B4ConvencionalIluminação públicaIluminação pública – B4aNão se aplicaNão se aplicaFora ponta",Mercado_Receita!$L$2:$L$483)+SUMIF(Mercado_Receita!$S$2:$S$483,"44713B4ConvencionalIluminação públicaIluminação pública – B4aNão se aplicaNão se aplicaIntermediário",Mercado_Receita!$L$2:$L$483)+SUMIF(Mercado_Receita!$S$2:$S$483,"44713B4ConvencionalIluminação públicaIluminação pública – B4aNão se aplicaNão se aplicaNão se aplica",Mercado_Receita!$L$2:$L$483)</f>
        <v>0</v>
      </c>
      <c r="S47" s="13">
        <f>SUMIF(Mercado_Receita!$S$2:$S$483,"44743B4ConvencionalIluminação públicaIluminação pública – B4aNão se aplicaNão se aplicaPonta",Mercado_Receita!$L$2:$L$483)+SUMIF(Mercado_Receita!$S$2:$S$483,"44743B4ConvencionalIluminação públicaIluminação pública – B4aNão se aplicaNão se aplicaFora ponta",Mercado_Receita!$L$2:$L$483)+SUMIF(Mercado_Receita!$S$2:$S$483,"44743B4ConvencionalIluminação públicaIluminação pública – B4aNão se aplicaNão se aplicaIntermediário",Mercado_Receita!$L$2:$L$483)+SUMIF(Mercado_Receita!$S$2:$S$483,"44743B4ConvencionalIluminação públicaIluminação pública – B4aNão se aplicaNão se aplicaNão se aplica",Mercado_Receita!$L$2:$L$483)</f>
        <v>0</v>
      </c>
      <c r="T47" s="13">
        <f>SUMIF(Mercado_Receita!$S$2:$S$483,"44774B4ConvencionalIluminação públicaIluminação pública – B4aNão se aplicaNão se aplicaPonta",Mercado_Receita!$L$2:$L$483)+SUMIF(Mercado_Receita!$S$2:$S$483,"44774B4ConvencionalIluminação públicaIluminação pública – B4aNão se aplicaNão se aplicaFora ponta",Mercado_Receita!$L$2:$L$483)+SUMIF(Mercado_Receita!$S$2:$S$483,"44774B4ConvencionalIluminação públicaIluminação pública – B4aNão se aplicaNão se aplicaIntermediário",Mercado_Receita!$L$2:$L$483)+SUMIF(Mercado_Receita!$S$2:$S$483,"44774B4ConvencionalIluminação públicaIluminação pública – B4aNão se aplicaNão se aplicaNão se aplica",Mercado_Receita!$L$2:$L$483)</f>
        <v>0</v>
      </c>
      <c r="U47" s="13">
        <f t="shared" si="0"/>
        <v>0</v>
      </c>
      <c r="V47" s="13"/>
      <c r="W47" s="13"/>
    </row>
    <row r="48" spans="1:23" ht="11.25" customHeight="1" x14ac:dyDescent="0.3">
      <c r="A48" s="77"/>
      <c r="B48" s="77"/>
      <c r="C48" s="77"/>
      <c r="D48" s="13" t="s">
        <v>45</v>
      </c>
      <c r="E48" s="13" t="s">
        <v>25</v>
      </c>
      <c r="F48" s="13" t="s">
        <v>25</v>
      </c>
      <c r="G48" s="13" t="s">
        <v>83</v>
      </c>
      <c r="H48" s="13" t="s">
        <v>79</v>
      </c>
      <c r="I48" s="13">
        <f>SUMIF(Mercado_Receita!$S$2:$S$483,"44440B4ConvencionalIluminação públicaIluminação pública – B4bNão se aplicaNão se aplicaPonta",Mercado_Receita!$L$2:$L$483)+SUMIF(Mercado_Receita!$S$2:$S$483,"44440B4ConvencionalIluminação públicaIluminação pública – B4bNão se aplicaNão se aplicaFora ponta",Mercado_Receita!$L$2:$L$483)+SUMIF(Mercado_Receita!$S$2:$S$483,"44440B4ConvencionalIluminação públicaIluminação pública – B4bNão se aplicaNão se aplicaIntermediário",Mercado_Receita!$L$2:$L$483)+SUMIF(Mercado_Receita!$S$2:$S$483,"44440B4ConvencionalIluminação públicaIluminação pública – B4bNão se aplicaNão se aplicaNão se aplica",Mercado_Receita!$L$2:$L$483)</f>
        <v>151.68799999999999</v>
      </c>
      <c r="J48" s="13">
        <f>SUMIF(Mercado_Receita!$S$2:$S$483,"44470B4ConvencionalIluminação públicaIluminação pública – B4bNão se aplicaNão se aplicaPonta",Mercado_Receita!$L$2:$L$483)+SUMIF(Mercado_Receita!$S$2:$S$483,"44470B4ConvencionalIluminação públicaIluminação pública – B4bNão se aplicaNão se aplicaFora ponta",Mercado_Receita!$L$2:$L$483)+SUMIF(Mercado_Receita!$S$2:$S$483,"44470B4ConvencionalIluminação públicaIluminação pública – B4bNão se aplicaNão se aplicaIntermediário",Mercado_Receita!$L$2:$L$483)+SUMIF(Mercado_Receita!$S$2:$S$483,"44470B4ConvencionalIluminação públicaIluminação pública – B4bNão se aplicaNão se aplicaNão se aplica",Mercado_Receita!$L$2:$L$483)</f>
        <v>156.339</v>
      </c>
      <c r="K48" s="13">
        <f>SUMIF(Mercado_Receita!$S$2:$S$483,"44501B4ConvencionalIluminação públicaIluminação pública – B4bNão se aplicaNão se aplicaPonta",Mercado_Receita!$L$2:$L$483)+SUMIF(Mercado_Receita!$S$2:$S$483,"44501B4ConvencionalIluminação públicaIluminação pública – B4bNão se aplicaNão se aplicaFora ponta",Mercado_Receita!$L$2:$L$483)+SUMIF(Mercado_Receita!$S$2:$S$483,"44501B4ConvencionalIluminação públicaIluminação pública – B4bNão se aplicaNão se aplicaIntermediário",Mercado_Receita!$L$2:$L$483)+SUMIF(Mercado_Receita!$S$2:$S$483,"44501B4ConvencionalIluminação públicaIluminação pública – B4bNão se aplicaNão se aplicaNão se aplica",Mercado_Receita!$L$2:$L$483)</f>
        <v>151.298</v>
      </c>
      <c r="L48" s="13">
        <f>SUMIF(Mercado_Receita!$S$2:$S$483,"44531B4ConvencionalIluminação públicaIluminação pública – B4bNão se aplicaNão se aplicaPonta",Mercado_Receita!$L$2:$L$483)+SUMIF(Mercado_Receita!$S$2:$S$483,"44531B4ConvencionalIluminação públicaIluminação pública – B4bNão se aplicaNão se aplicaFora ponta",Mercado_Receita!$L$2:$L$483)+SUMIF(Mercado_Receita!$S$2:$S$483,"44531B4ConvencionalIluminação públicaIluminação pública – B4bNão se aplicaNão se aplicaIntermediário",Mercado_Receita!$L$2:$L$483)+SUMIF(Mercado_Receita!$S$2:$S$483,"44531B4ConvencionalIluminação públicaIluminação pública – B4bNão se aplicaNão se aplicaNão se aplica",Mercado_Receita!$L$2:$L$483)</f>
        <v>151.13900000000001</v>
      </c>
      <c r="M48" s="13">
        <f>SUMIF(Mercado_Receita!$S$2:$S$483,"44562B4ConvencionalIluminação públicaIluminação pública – B4bNão se aplicaNão se aplicaPonta",Mercado_Receita!$L$2:$L$483)+SUMIF(Mercado_Receita!$S$2:$S$483,"44562B4ConvencionalIluminação públicaIluminação pública – B4bNão se aplicaNão se aplicaFora ponta",Mercado_Receita!$L$2:$L$483)+SUMIF(Mercado_Receita!$S$2:$S$483,"44562B4ConvencionalIluminação públicaIluminação pública – B4bNão se aplicaNão se aplicaIntermediário",Mercado_Receita!$L$2:$L$483)+SUMIF(Mercado_Receita!$S$2:$S$483,"44562B4ConvencionalIluminação públicaIluminação pública – B4bNão se aplicaNão se aplicaNão se aplica",Mercado_Receita!$L$2:$L$483)</f>
        <v>145.63</v>
      </c>
      <c r="N48" s="13">
        <f>SUMIF(Mercado_Receita!$S$2:$S$483,"44593B4ConvencionalIluminação públicaIluminação pública – B4bNão se aplicaNão se aplicaPonta",Mercado_Receita!$L$2:$L$483)+SUMIF(Mercado_Receita!$S$2:$S$483,"44593B4ConvencionalIluminação públicaIluminação pública – B4bNão se aplicaNão se aplicaFora ponta",Mercado_Receita!$L$2:$L$483)+SUMIF(Mercado_Receita!$S$2:$S$483,"44593B4ConvencionalIluminação públicaIluminação pública – B4bNão se aplicaNão se aplicaIntermediário",Mercado_Receita!$L$2:$L$483)+SUMIF(Mercado_Receita!$S$2:$S$483,"44593B4ConvencionalIluminação públicaIluminação pública – B4bNão se aplicaNão se aplicaNão se aplica",Mercado_Receita!$L$2:$L$483)</f>
        <v>134.91399999999999</v>
      </c>
      <c r="O48" s="13">
        <f>SUMIF(Mercado_Receita!$S$2:$S$483,"44621B4ConvencionalIluminação públicaIluminação pública – B4bNão se aplicaNão se aplicaPonta",Mercado_Receita!$L$2:$L$483)+SUMIF(Mercado_Receita!$S$2:$S$483,"44621B4ConvencionalIluminação públicaIluminação pública – B4bNão se aplicaNão se aplicaFora ponta",Mercado_Receita!$L$2:$L$483)+SUMIF(Mercado_Receita!$S$2:$S$483,"44621B4ConvencionalIluminação públicaIluminação pública – B4bNão se aplicaNão se aplicaIntermediário",Mercado_Receita!$L$2:$L$483)+SUMIF(Mercado_Receita!$S$2:$S$483,"44621B4ConvencionalIluminação públicaIluminação pública – B4bNão se aplicaNão se aplicaNão se aplica",Mercado_Receita!$L$2:$L$483)</f>
        <v>149.76599999999999</v>
      </c>
      <c r="P48" s="13">
        <f>SUMIF(Mercado_Receita!$S$2:$S$483,"44652B4ConvencionalIluminação públicaIluminação pública – B4bNão se aplicaNão se aplicaPonta",Mercado_Receita!$L$2:$L$483)+SUMIF(Mercado_Receita!$S$2:$S$483,"44652B4ConvencionalIluminação públicaIluminação pública – B4bNão se aplicaNão se aplicaFora ponta",Mercado_Receita!$L$2:$L$483)+SUMIF(Mercado_Receita!$S$2:$S$483,"44652B4ConvencionalIluminação públicaIluminação pública – B4bNão se aplicaNão se aplicaIntermediário",Mercado_Receita!$L$2:$L$483)+SUMIF(Mercado_Receita!$S$2:$S$483,"44652B4ConvencionalIluminação públicaIluminação pública – B4bNão se aplicaNão se aplicaNão se aplica",Mercado_Receita!$L$2:$L$483)</f>
        <v>141.10400000000001</v>
      </c>
      <c r="Q48" s="13">
        <f>SUMIF(Mercado_Receita!$S$2:$S$483,"44682B4ConvencionalIluminação públicaIluminação pública – B4bNão se aplicaNão se aplicaPonta",Mercado_Receita!$L$2:$L$483)+SUMIF(Mercado_Receita!$S$2:$S$483,"44682B4ConvencionalIluminação públicaIluminação pública – B4bNão se aplicaNão se aplicaFora ponta",Mercado_Receita!$L$2:$L$483)+SUMIF(Mercado_Receita!$S$2:$S$483,"44682B4ConvencionalIluminação públicaIluminação pública – B4bNão se aplicaNão se aplicaIntermediário",Mercado_Receita!$L$2:$L$483)+SUMIF(Mercado_Receita!$S$2:$S$483,"44682B4ConvencionalIluminação públicaIluminação pública – B4bNão se aplicaNão se aplicaNão se aplica",Mercado_Receita!$L$2:$L$483)</f>
        <v>147.321</v>
      </c>
      <c r="R48" s="13">
        <f>SUMIF(Mercado_Receita!$S$2:$S$483,"44713B4ConvencionalIluminação públicaIluminação pública – B4bNão se aplicaNão se aplicaPonta",Mercado_Receita!$L$2:$L$483)+SUMIF(Mercado_Receita!$S$2:$S$483,"44713B4ConvencionalIluminação públicaIluminação pública – B4bNão se aplicaNão se aplicaFora ponta",Mercado_Receita!$L$2:$L$483)+SUMIF(Mercado_Receita!$S$2:$S$483,"44713B4ConvencionalIluminação públicaIluminação pública – B4bNão se aplicaNão se aplicaIntermediário",Mercado_Receita!$L$2:$L$483)+SUMIF(Mercado_Receita!$S$2:$S$483,"44713B4ConvencionalIluminação públicaIluminação pública – B4bNão se aplicaNão se aplicaNão se aplica",Mercado_Receita!$L$2:$L$483)</f>
        <v>145.928</v>
      </c>
      <c r="S48" s="13">
        <f>SUMIF(Mercado_Receita!$S$2:$S$483,"44743B4ConvencionalIluminação públicaIluminação pública – B4bNão se aplicaNão se aplicaPonta",Mercado_Receita!$L$2:$L$483)+SUMIF(Mercado_Receita!$S$2:$S$483,"44743B4ConvencionalIluminação públicaIluminação pública – B4bNão se aplicaNão se aplicaFora ponta",Mercado_Receita!$L$2:$L$483)+SUMIF(Mercado_Receita!$S$2:$S$483,"44743B4ConvencionalIluminação públicaIluminação pública – B4bNão se aplicaNão se aplicaIntermediário",Mercado_Receita!$L$2:$L$483)+SUMIF(Mercado_Receita!$S$2:$S$483,"44743B4ConvencionalIluminação públicaIluminação pública – B4bNão se aplicaNão se aplicaNão se aplica",Mercado_Receita!$L$2:$L$483)</f>
        <v>150.80000000000001</v>
      </c>
      <c r="T48" s="13">
        <f>SUMIF(Mercado_Receita!$S$2:$S$483,"44774B4ConvencionalIluminação públicaIluminação pública – B4bNão se aplicaNão se aplicaPonta",Mercado_Receita!$L$2:$L$483)+SUMIF(Mercado_Receita!$S$2:$S$483,"44774B4ConvencionalIluminação públicaIluminação pública – B4bNão se aplicaNão se aplicaFora ponta",Mercado_Receita!$L$2:$L$483)+SUMIF(Mercado_Receita!$S$2:$S$483,"44774B4ConvencionalIluminação públicaIluminação pública – B4bNão se aplicaNão se aplicaIntermediário",Mercado_Receita!$L$2:$L$483)+SUMIF(Mercado_Receita!$S$2:$S$483,"44774B4ConvencionalIluminação públicaIluminação pública – B4bNão se aplicaNão se aplicaNão se aplica",Mercado_Receita!$L$2:$L$483)</f>
        <v>150.80000000000001</v>
      </c>
      <c r="U48" s="13">
        <f t="shared" si="0"/>
        <v>1776.7269999999999</v>
      </c>
      <c r="V48" s="13"/>
      <c r="W48" s="13"/>
    </row>
    <row r="49" spans="1:23" ht="11.25" customHeight="1" x14ac:dyDescent="0.3">
      <c r="A49" s="78" t="s">
        <v>392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13"/>
      <c r="W49" s="13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B628-2120-4701-AD07-0F54E299AEE2}">
  <dimension ref="A1:AD40"/>
  <sheetViews>
    <sheetView showGridLines="0" workbookViewId="0">
      <selection sqref="A1:W40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8" width="7.109375" style="9" bestFit="1" customWidth="1"/>
    <col min="9" max="20" width="6.33203125" style="9" bestFit="1" customWidth="1"/>
    <col min="21" max="21" width="13" style="9" bestFit="1" customWidth="1"/>
    <col min="22" max="16384" width="8.88671875" style="9"/>
  </cols>
  <sheetData>
    <row r="1" spans="1:30" ht="11.25" customHeight="1" x14ac:dyDescent="0.3">
      <c r="A1" s="10" t="s">
        <v>69</v>
      </c>
      <c r="B1" s="10" t="s">
        <v>70</v>
      </c>
      <c r="C1" s="10" t="s">
        <v>71</v>
      </c>
      <c r="D1" s="10" t="s">
        <v>72</v>
      </c>
      <c r="E1" s="10" t="s">
        <v>73</v>
      </c>
      <c r="F1" s="10" t="s">
        <v>74</v>
      </c>
      <c r="G1" s="10" t="s">
        <v>75</v>
      </c>
      <c r="H1" s="10" t="s">
        <v>76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77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76" t="s">
        <v>34</v>
      </c>
      <c r="B2" s="76" t="s">
        <v>78</v>
      </c>
      <c r="C2" s="76" t="s">
        <v>25</v>
      </c>
      <c r="D2" s="76" t="s">
        <v>25</v>
      </c>
      <c r="E2" s="76" t="s">
        <v>25</v>
      </c>
      <c r="F2" s="76" t="s">
        <v>25</v>
      </c>
      <c r="G2" s="13" t="s">
        <v>80</v>
      </c>
      <c r="H2" s="13" t="s">
        <v>79</v>
      </c>
      <c r="I2" s="13">
        <f>SUMIF(Mercado_Receita!$T$2:$T$483,"44440A4Energia horáriaNão se aplicaNão se aplicaNão se aplicaNão se aplicaPonta",Mercado_Receita!$N$2:$N$483)</f>
        <v>19.827999999999999</v>
      </c>
      <c r="J2" s="13">
        <f>SUMIF(Mercado_Receita!$T$2:$T$483,"44470A4Energia horáriaNão se aplicaNão se aplicaNão se aplicaNão se aplicaPonta",Mercado_Receita!$N$2:$N$483)</f>
        <v>19.728000000000002</v>
      </c>
      <c r="K2" s="13">
        <f>SUMIF(Mercado_Receita!$T$2:$T$483,"44501A4Energia horáriaNão se aplicaNão se aplicaNão se aplicaNão se aplicaPonta",Mercado_Receita!$N$2:$N$483)</f>
        <v>19.311</v>
      </c>
      <c r="L2" s="13">
        <f>SUMIF(Mercado_Receita!$T$2:$T$483,"44531A4Energia horáriaNão se aplicaNão se aplicaNão se aplicaNão se aplicaPonta",Mercado_Receita!$N$2:$N$483)</f>
        <v>20.637</v>
      </c>
      <c r="M2" s="13">
        <f>SUMIF(Mercado_Receita!$T$2:$T$483,"44562A4Energia horáriaNão se aplicaNão se aplicaNão se aplicaNão se aplicaPonta",Mercado_Receita!$N$2:$N$483)</f>
        <v>23.627000000000002</v>
      </c>
      <c r="N2" s="13">
        <f>SUMIF(Mercado_Receita!$T$2:$T$483,"44593A4Energia horáriaNão se aplicaNão se aplicaNão se aplicaNão se aplicaPonta",Mercado_Receita!$N$2:$N$483)</f>
        <v>21.443999999999999</v>
      </c>
      <c r="O2" s="13">
        <f>SUMIF(Mercado_Receita!$T$2:$T$483,"44621A4Energia horáriaNão se aplicaNão se aplicaNão se aplicaNão se aplicaPonta",Mercado_Receita!$N$2:$N$483)</f>
        <v>54.304000000000002</v>
      </c>
      <c r="P2" s="13">
        <f>SUMIF(Mercado_Receita!$T$2:$T$483,"44652A4Energia horáriaNão se aplicaNão se aplicaNão se aplicaNão se aplicaPonta",Mercado_Receita!$N$2:$N$483)</f>
        <v>42.283000000000001</v>
      </c>
      <c r="Q2" s="13">
        <f>SUMIF(Mercado_Receita!$T$2:$T$483,"44682A4Energia horáriaNão se aplicaNão se aplicaNão se aplicaNão se aplicaPonta",Mercado_Receita!$N$2:$N$483)</f>
        <v>18.198000000000004</v>
      </c>
      <c r="R2" s="13">
        <f>SUMIF(Mercado_Receita!$T$2:$T$483,"44713A4Energia horáriaNão se aplicaNão se aplicaNão se aplicaNão se aplicaPonta",Mercado_Receita!$N$2:$N$483)</f>
        <v>21.838999999999999</v>
      </c>
      <c r="S2" s="13">
        <f>SUMIF(Mercado_Receita!$T$2:$T$483,"44743A4Energia horáriaNão se aplicaNão se aplicaNão se aplicaNão se aplicaPonta",Mercado_Receita!$N$2:$N$483)</f>
        <v>24.976999999999997</v>
      </c>
      <c r="T2" s="13">
        <f>SUMIF(Mercado_Receita!$T$2:$T$483,"44774A4Energia horáriaNão se aplicaNão se aplicaNão se aplicaNão se aplicaPonta",Mercado_Receita!$N$2:$N$483)</f>
        <v>24.976999999999997</v>
      </c>
      <c r="U2" s="13">
        <f t="shared" ref="U2:U39" si="0">SUM(I2:T2)</f>
        <v>311.15300000000002</v>
      </c>
      <c r="V2" s="13"/>
      <c r="W2" s="13"/>
    </row>
    <row r="3" spans="1:30" ht="11.25" customHeight="1" x14ac:dyDescent="0.3">
      <c r="A3" s="77"/>
      <c r="B3" s="77"/>
      <c r="C3" s="77"/>
      <c r="D3" s="77"/>
      <c r="E3" s="77"/>
      <c r="F3" s="77"/>
      <c r="G3" s="13" t="s">
        <v>81</v>
      </c>
      <c r="H3" s="13" t="s">
        <v>79</v>
      </c>
      <c r="I3" s="13">
        <f>SUMIF(Mercado_Receita!$T$2:$T$483,"44440A4Energia horáriaNão se aplicaNão se aplicaNão se aplicaNão se aplicaFora ponta",Mercado_Receita!$N$2:$N$483)</f>
        <v>646.55400000000009</v>
      </c>
      <c r="J3" s="13">
        <f>SUMIF(Mercado_Receita!$T$2:$T$483,"44470A4Energia horáriaNão se aplicaNão se aplicaNão se aplicaNão se aplicaFora ponta",Mercado_Receita!$N$2:$N$483)</f>
        <v>654.024</v>
      </c>
      <c r="K3" s="13">
        <f>SUMIF(Mercado_Receita!$T$2:$T$483,"44501A4Energia horáriaNão se aplicaNão se aplicaNão se aplicaNão se aplicaFora ponta",Mercado_Receita!$N$2:$N$483)</f>
        <v>634.22100000000012</v>
      </c>
      <c r="L3" s="13">
        <f>SUMIF(Mercado_Receita!$T$2:$T$483,"44531A4Energia horáriaNão se aplicaNão se aplicaNão se aplicaNão se aplicaFora ponta",Mercado_Receita!$N$2:$N$483)</f>
        <v>558.904</v>
      </c>
      <c r="M3" s="13">
        <f>SUMIF(Mercado_Receita!$T$2:$T$483,"44562A4Energia horáriaNão se aplicaNão se aplicaNão se aplicaNão se aplicaFora ponta",Mercado_Receita!$N$2:$N$483)</f>
        <v>671.03300000000002</v>
      </c>
      <c r="N3" s="13">
        <f>SUMIF(Mercado_Receita!$T$2:$T$483,"44593A4Energia horáriaNão se aplicaNão se aplicaNão se aplicaNão se aplicaFora ponta",Mercado_Receita!$N$2:$N$483)</f>
        <v>643.62299999999993</v>
      </c>
      <c r="O3" s="13">
        <f>SUMIF(Mercado_Receita!$T$2:$T$483,"44621A4Energia horáriaNão se aplicaNão se aplicaNão se aplicaNão se aplicaFora ponta",Mercado_Receita!$N$2:$N$483)</f>
        <v>649.47899999999993</v>
      </c>
      <c r="P3" s="13">
        <f>SUMIF(Mercado_Receita!$T$2:$T$483,"44652A4Energia horáriaNão se aplicaNão se aplicaNão se aplicaNão se aplicaFora ponta",Mercado_Receita!$N$2:$N$483)</f>
        <v>605.40099999999995</v>
      </c>
      <c r="Q3" s="13">
        <f>SUMIF(Mercado_Receita!$T$2:$T$483,"44682A4Energia horáriaNão se aplicaNão se aplicaNão se aplicaNão se aplicaFora ponta",Mercado_Receita!$N$2:$N$483)</f>
        <v>630.1629999999999</v>
      </c>
      <c r="R3" s="13">
        <f>SUMIF(Mercado_Receita!$T$2:$T$483,"44713A4Energia horáriaNão se aplicaNão se aplicaNão se aplicaNão se aplicaFora ponta",Mercado_Receita!$N$2:$N$483)</f>
        <v>621.24200000000008</v>
      </c>
      <c r="S3" s="13">
        <f>SUMIF(Mercado_Receita!$T$2:$T$483,"44743A4Energia horáriaNão se aplicaNão se aplicaNão se aplicaNão se aplicaFora ponta",Mercado_Receita!$N$2:$N$483)</f>
        <v>562.32999999999981</v>
      </c>
      <c r="T3" s="13">
        <f>SUMIF(Mercado_Receita!$T$2:$T$483,"44774A4Energia horáriaNão se aplicaNão se aplicaNão se aplicaNão se aplicaFora ponta",Mercado_Receita!$N$2:$N$483)</f>
        <v>562.32999999999981</v>
      </c>
      <c r="U3" s="13">
        <f t="shared" si="0"/>
        <v>7439.3039999999992</v>
      </c>
      <c r="V3" s="13"/>
      <c r="W3" s="13"/>
    </row>
    <row r="4" spans="1:30" ht="11.25" customHeight="1" x14ac:dyDescent="0.3">
      <c r="A4" s="77"/>
      <c r="B4" s="12" t="s">
        <v>82</v>
      </c>
      <c r="C4" s="12" t="s">
        <v>25</v>
      </c>
      <c r="D4" s="12" t="s">
        <v>25</v>
      </c>
      <c r="E4" s="12" t="s">
        <v>25</v>
      </c>
      <c r="F4" s="12" t="s">
        <v>25</v>
      </c>
      <c r="G4" s="13" t="s">
        <v>83</v>
      </c>
      <c r="H4" s="13" t="s">
        <v>79</v>
      </c>
      <c r="I4" s="13">
        <f>SUMIF(Mercado_Receita!$T$2:$T$483,"44440A4Energia convencionalNão se aplicaNão se aplicaNão se aplicaNão se aplicaNão se aplica",Mercado_Receita!$N$2:$N$483)</f>
        <v>0</v>
      </c>
      <c r="J4" s="13">
        <f>SUMIF(Mercado_Receita!$T$2:$T$483,"44470A4Energia convencionalNão se aplicaNão se aplicaNão se aplicaNão se aplicaNão se aplica",Mercado_Receita!$N$2:$N$483)</f>
        <v>0</v>
      </c>
      <c r="K4" s="13">
        <f>SUMIF(Mercado_Receita!$T$2:$T$483,"44501A4Energia convencionalNão se aplicaNão se aplicaNão se aplicaNão se aplicaNão se aplica",Mercado_Receita!$N$2:$N$483)</f>
        <v>0</v>
      </c>
      <c r="L4" s="13">
        <f>SUMIF(Mercado_Receita!$T$2:$T$483,"44531A4Energia convencionalNão se aplicaNão se aplicaNão se aplicaNão se aplicaNão se aplica",Mercado_Receita!$N$2:$N$483)</f>
        <v>0</v>
      </c>
      <c r="M4" s="13">
        <f>SUMIF(Mercado_Receita!$T$2:$T$483,"44562A4Energia convencionalNão se aplicaNão se aplicaNão se aplicaNão se aplicaNão se aplica",Mercado_Receita!$N$2:$N$483)</f>
        <v>0</v>
      </c>
      <c r="N4" s="13">
        <f>SUMIF(Mercado_Receita!$T$2:$T$483,"44593A4Energia convencionalNão se aplicaNão se aplicaNão se aplicaNão se aplicaNão se aplica",Mercado_Receita!$N$2:$N$483)</f>
        <v>0</v>
      </c>
      <c r="O4" s="13">
        <f>SUMIF(Mercado_Receita!$T$2:$T$483,"44621A4Energia convencionalNão se aplicaNão se aplicaNão se aplicaNão se aplicaNão se aplica",Mercado_Receita!$N$2:$N$483)</f>
        <v>0</v>
      </c>
      <c r="P4" s="13">
        <f>SUMIF(Mercado_Receita!$T$2:$T$483,"44652A4Energia convencionalNão se aplicaNão se aplicaNão se aplicaNão se aplicaNão se aplica",Mercado_Receita!$N$2:$N$483)</f>
        <v>0</v>
      </c>
      <c r="Q4" s="13">
        <f>SUMIF(Mercado_Receita!$T$2:$T$483,"44682A4Energia convencionalNão se aplicaNão se aplicaNão se aplicaNão se aplicaNão se aplica",Mercado_Receita!$N$2:$N$483)</f>
        <v>0</v>
      </c>
      <c r="R4" s="13">
        <f>SUMIF(Mercado_Receita!$T$2:$T$483,"44713A4Energia convencionalNão se aplicaNão se aplicaNão se aplicaNão se aplicaNão se aplica",Mercado_Receita!$N$2:$N$483)</f>
        <v>0</v>
      </c>
      <c r="S4" s="13">
        <f>SUMIF(Mercado_Receita!$T$2:$T$483,"44743A4Energia convencionalNão se aplicaNão se aplicaNão se aplicaNão se aplicaNão se aplica",Mercado_Receita!$N$2:$N$483)</f>
        <v>0</v>
      </c>
      <c r="T4" s="13">
        <f>SUMIF(Mercado_Receita!$T$2:$T$483,"44774A4Energia convencionalNão se aplicaNão se aplicaNão se aplicaNão se aplicaNão se aplica",Mercado_Receita!$N$2:$N$483)</f>
        <v>0</v>
      </c>
      <c r="U4" s="13">
        <f t="shared" si="0"/>
        <v>0</v>
      </c>
      <c r="V4" s="13"/>
      <c r="W4" s="13"/>
    </row>
    <row r="5" spans="1:30" ht="11.25" customHeight="1" x14ac:dyDescent="0.3">
      <c r="A5" s="76" t="s">
        <v>22</v>
      </c>
      <c r="B5" s="76" t="s">
        <v>78</v>
      </c>
      <c r="C5" s="76" t="s">
        <v>24</v>
      </c>
      <c r="D5" s="76" t="s">
        <v>24</v>
      </c>
      <c r="E5" s="76" t="s">
        <v>25</v>
      </c>
      <c r="F5" s="76" t="s">
        <v>25</v>
      </c>
      <c r="G5" s="13" t="s">
        <v>80</v>
      </c>
      <c r="H5" s="13" t="s">
        <v>79</v>
      </c>
      <c r="I5" s="13">
        <f>SUMIF(Mercado_Receita!$T$2:$T$483,"44440B1Energia horáriaResidencialResidencialNão se aplicaNão se aplicaPonta",Mercado_Receita!$N$2:$N$483)</f>
        <v>0</v>
      </c>
      <c r="J5" s="13">
        <f>SUMIF(Mercado_Receita!$T$2:$T$483,"44470B1Energia horáriaResidencialResidencialNão se aplicaNão se aplicaPonta",Mercado_Receita!$N$2:$N$483)</f>
        <v>0</v>
      </c>
      <c r="K5" s="13">
        <f>SUMIF(Mercado_Receita!$T$2:$T$483,"44501B1Energia horáriaResidencialResidencialNão se aplicaNão se aplicaPonta",Mercado_Receita!$N$2:$N$483)</f>
        <v>0</v>
      </c>
      <c r="L5" s="13">
        <f>SUMIF(Mercado_Receita!$T$2:$T$483,"44531B1Energia horáriaResidencialResidencialNão se aplicaNão se aplicaPonta",Mercado_Receita!$N$2:$N$483)</f>
        <v>0</v>
      </c>
      <c r="M5" s="13">
        <f>SUMIF(Mercado_Receita!$T$2:$T$483,"44562B1Energia horáriaResidencialResidencialNão se aplicaNão se aplicaPonta",Mercado_Receita!$N$2:$N$483)</f>
        <v>0</v>
      </c>
      <c r="N5" s="13">
        <f>SUMIF(Mercado_Receita!$T$2:$T$483,"44593B1Energia horáriaResidencialResidencialNão se aplicaNão se aplicaPonta",Mercado_Receita!$N$2:$N$483)</f>
        <v>0</v>
      </c>
      <c r="O5" s="13">
        <f>SUMIF(Mercado_Receita!$T$2:$T$483,"44621B1Energia horáriaResidencialResidencialNão se aplicaNão se aplicaPonta",Mercado_Receita!$N$2:$N$483)</f>
        <v>0</v>
      </c>
      <c r="P5" s="13">
        <f>SUMIF(Mercado_Receita!$T$2:$T$483,"44652B1Energia horáriaResidencialResidencialNão se aplicaNão se aplicaPonta",Mercado_Receita!$N$2:$N$483)</f>
        <v>0</v>
      </c>
      <c r="Q5" s="13">
        <f>SUMIF(Mercado_Receita!$T$2:$T$483,"44682B1Energia horáriaResidencialResidencialNão se aplicaNão se aplicaPonta",Mercado_Receita!$N$2:$N$483)</f>
        <v>0</v>
      </c>
      <c r="R5" s="13">
        <f>SUMIF(Mercado_Receita!$T$2:$T$483,"44713B1Energia horáriaResidencialResidencialNão se aplicaNão se aplicaPonta",Mercado_Receita!$N$2:$N$483)</f>
        <v>0</v>
      </c>
      <c r="S5" s="13">
        <f>SUMIF(Mercado_Receita!$T$2:$T$483,"44743B1Energia horáriaResidencialResidencialNão se aplicaNão se aplicaPonta",Mercado_Receita!$N$2:$N$483)</f>
        <v>0</v>
      </c>
      <c r="T5" s="13">
        <f>SUMIF(Mercado_Receita!$T$2:$T$483,"44774B1Energia horáriaResidencialResidencialNão se aplicaNão se aplicaPonta",Mercado_Receita!$N$2:$N$483)</f>
        <v>0</v>
      </c>
      <c r="U5" s="13">
        <f t="shared" si="0"/>
        <v>0</v>
      </c>
      <c r="V5" s="13"/>
      <c r="W5" s="13"/>
    </row>
    <row r="6" spans="1:30" ht="11.25" customHeight="1" x14ac:dyDescent="0.3">
      <c r="A6" s="77"/>
      <c r="B6" s="77"/>
      <c r="C6" s="77"/>
      <c r="D6" s="77"/>
      <c r="E6" s="77"/>
      <c r="F6" s="77"/>
      <c r="G6" s="13" t="s">
        <v>91</v>
      </c>
      <c r="H6" s="13" t="s">
        <v>79</v>
      </c>
      <c r="I6" s="13">
        <f>SUMIF(Mercado_Receita!$T$2:$T$483,"44440B1Energia horáriaResidencialResidencialNão se aplicaNão se aplicaIntermediário",Mercado_Receita!$N$2:$N$483)</f>
        <v>0</v>
      </c>
      <c r="J6" s="13">
        <f>SUMIF(Mercado_Receita!$T$2:$T$483,"44470B1Energia horáriaResidencialResidencialNão se aplicaNão se aplicaIntermediário",Mercado_Receita!$N$2:$N$483)</f>
        <v>0</v>
      </c>
      <c r="K6" s="13">
        <f>SUMIF(Mercado_Receita!$T$2:$T$483,"44501B1Energia horáriaResidencialResidencialNão se aplicaNão se aplicaIntermediário",Mercado_Receita!$N$2:$N$483)</f>
        <v>0</v>
      </c>
      <c r="L6" s="13">
        <f>SUMIF(Mercado_Receita!$T$2:$T$483,"44531B1Energia horáriaResidencialResidencialNão se aplicaNão se aplicaIntermediário",Mercado_Receita!$N$2:$N$483)</f>
        <v>0</v>
      </c>
      <c r="M6" s="13">
        <f>SUMIF(Mercado_Receita!$T$2:$T$483,"44562B1Energia horáriaResidencialResidencialNão se aplicaNão se aplicaIntermediário",Mercado_Receita!$N$2:$N$483)</f>
        <v>0</v>
      </c>
      <c r="N6" s="13">
        <f>SUMIF(Mercado_Receita!$T$2:$T$483,"44593B1Energia horáriaResidencialResidencialNão se aplicaNão se aplicaIntermediário",Mercado_Receita!$N$2:$N$483)</f>
        <v>0</v>
      </c>
      <c r="O6" s="13">
        <f>SUMIF(Mercado_Receita!$T$2:$T$483,"44621B1Energia horáriaResidencialResidencialNão se aplicaNão se aplicaIntermediário",Mercado_Receita!$N$2:$N$483)</f>
        <v>0</v>
      </c>
      <c r="P6" s="13">
        <f>SUMIF(Mercado_Receita!$T$2:$T$483,"44652B1Energia horáriaResidencialResidencialNão se aplicaNão se aplicaIntermediário",Mercado_Receita!$N$2:$N$483)</f>
        <v>0</v>
      </c>
      <c r="Q6" s="13">
        <f>SUMIF(Mercado_Receita!$T$2:$T$483,"44682B1Energia horáriaResidencialResidencialNão se aplicaNão se aplicaIntermediário",Mercado_Receita!$N$2:$N$483)</f>
        <v>0</v>
      </c>
      <c r="R6" s="13">
        <f>SUMIF(Mercado_Receita!$T$2:$T$483,"44713B1Energia horáriaResidencialResidencialNão se aplicaNão se aplicaIntermediário",Mercado_Receita!$N$2:$N$483)</f>
        <v>0</v>
      </c>
      <c r="S6" s="13">
        <f>SUMIF(Mercado_Receita!$T$2:$T$483,"44743B1Energia horáriaResidencialResidencialNão se aplicaNão se aplicaIntermediário",Mercado_Receita!$N$2:$N$483)</f>
        <v>0</v>
      </c>
      <c r="T6" s="13">
        <f>SUMIF(Mercado_Receita!$T$2:$T$483,"44774B1Energia horáriaResidencialResidencialNão se aplicaNão se aplicaIntermediário",Mercado_Receita!$N$2:$N$483)</f>
        <v>0</v>
      </c>
      <c r="U6" s="13">
        <f t="shared" si="0"/>
        <v>0</v>
      </c>
      <c r="V6" s="13"/>
      <c r="W6" s="13"/>
    </row>
    <row r="7" spans="1:30" ht="11.25" customHeight="1" x14ac:dyDescent="0.3">
      <c r="A7" s="77"/>
      <c r="B7" s="77"/>
      <c r="C7" s="77"/>
      <c r="D7" s="77"/>
      <c r="E7" s="77"/>
      <c r="F7" s="77"/>
      <c r="G7" s="13" t="s">
        <v>81</v>
      </c>
      <c r="H7" s="13" t="s">
        <v>79</v>
      </c>
      <c r="I7" s="13">
        <f>SUMIF(Mercado_Receita!$T$2:$T$483,"44440B1Energia horáriaResidencialResidencialNão se aplicaNão se aplicaFora ponta",Mercado_Receita!$N$2:$N$483)</f>
        <v>0</v>
      </c>
      <c r="J7" s="13">
        <f>SUMIF(Mercado_Receita!$T$2:$T$483,"44470B1Energia horáriaResidencialResidencialNão se aplicaNão se aplicaFora ponta",Mercado_Receita!$N$2:$N$483)</f>
        <v>0</v>
      </c>
      <c r="K7" s="13">
        <f>SUMIF(Mercado_Receita!$T$2:$T$483,"44501B1Energia horáriaResidencialResidencialNão se aplicaNão se aplicaFora ponta",Mercado_Receita!$N$2:$N$483)</f>
        <v>0</v>
      </c>
      <c r="L7" s="13">
        <f>SUMIF(Mercado_Receita!$T$2:$T$483,"44531B1Energia horáriaResidencialResidencialNão se aplicaNão se aplicaFora ponta",Mercado_Receita!$N$2:$N$483)</f>
        <v>0</v>
      </c>
      <c r="M7" s="13">
        <f>SUMIF(Mercado_Receita!$T$2:$T$483,"44562B1Energia horáriaResidencialResidencialNão se aplicaNão se aplicaFora ponta",Mercado_Receita!$N$2:$N$483)</f>
        <v>0</v>
      </c>
      <c r="N7" s="13">
        <f>SUMIF(Mercado_Receita!$T$2:$T$483,"44593B1Energia horáriaResidencialResidencialNão se aplicaNão se aplicaFora ponta",Mercado_Receita!$N$2:$N$483)</f>
        <v>0</v>
      </c>
      <c r="O7" s="13">
        <f>SUMIF(Mercado_Receita!$T$2:$T$483,"44621B1Energia horáriaResidencialResidencialNão se aplicaNão se aplicaFora ponta",Mercado_Receita!$N$2:$N$483)</f>
        <v>0</v>
      </c>
      <c r="P7" s="13">
        <f>SUMIF(Mercado_Receita!$T$2:$T$483,"44652B1Energia horáriaResidencialResidencialNão se aplicaNão se aplicaFora ponta",Mercado_Receita!$N$2:$N$483)</f>
        <v>0</v>
      </c>
      <c r="Q7" s="13">
        <f>SUMIF(Mercado_Receita!$T$2:$T$483,"44682B1Energia horáriaResidencialResidencialNão se aplicaNão se aplicaFora ponta",Mercado_Receita!$N$2:$N$483)</f>
        <v>0</v>
      </c>
      <c r="R7" s="13">
        <f>SUMIF(Mercado_Receita!$T$2:$T$483,"44713B1Energia horáriaResidencialResidencialNão se aplicaNão se aplicaFora ponta",Mercado_Receita!$N$2:$N$483)</f>
        <v>0</v>
      </c>
      <c r="S7" s="13">
        <f>SUMIF(Mercado_Receita!$T$2:$T$483,"44743B1Energia horáriaResidencialResidencialNão se aplicaNão se aplicaFora ponta",Mercado_Receita!$N$2:$N$483)</f>
        <v>0</v>
      </c>
      <c r="T7" s="13">
        <f>SUMIF(Mercado_Receita!$T$2:$T$483,"44774B1Energia horáriaResidencialResidencialNão se aplicaNão se aplicaFora ponta",Mercado_Receita!$N$2:$N$483)</f>
        <v>0</v>
      </c>
      <c r="U7" s="13">
        <f t="shared" si="0"/>
        <v>0</v>
      </c>
      <c r="V7" s="13"/>
      <c r="W7" s="13"/>
    </row>
    <row r="8" spans="1:30" ht="11.25" customHeight="1" x14ac:dyDescent="0.3">
      <c r="A8" s="77"/>
      <c r="B8" s="76" t="s">
        <v>82</v>
      </c>
      <c r="C8" s="76" t="s">
        <v>24</v>
      </c>
      <c r="D8" s="12" t="s">
        <v>24</v>
      </c>
      <c r="E8" s="12" t="s">
        <v>25</v>
      </c>
      <c r="F8" s="12" t="s">
        <v>25</v>
      </c>
      <c r="G8" s="13" t="s">
        <v>83</v>
      </c>
      <c r="H8" s="13" t="s">
        <v>79</v>
      </c>
      <c r="I8" s="13">
        <f>SUMIF(Mercado_Receita!$T$2:$T$483,"44440B1Energia convencionalResidencialResidencialNão se aplicaNão se aplicaNão se aplica",Mercado_Receita!$N$2:$N$483)</f>
        <v>885.94099999999992</v>
      </c>
      <c r="J8" s="13">
        <f>SUMIF(Mercado_Receita!$T$2:$T$483,"44470B1Energia convencionalResidencialResidencialNão se aplicaNão se aplicaNão se aplica",Mercado_Receita!$N$2:$N$483)</f>
        <v>869.23099999999999</v>
      </c>
      <c r="K8" s="13">
        <f>SUMIF(Mercado_Receita!$T$2:$T$483,"44501B1Energia convencionalResidencialResidencialNão se aplicaNão se aplicaNão se aplica",Mercado_Receita!$N$2:$N$483)</f>
        <v>914.53600000000006</v>
      </c>
      <c r="L8" s="13">
        <f>SUMIF(Mercado_Receita!$T$2:$T$483,"44531B1Energia convencionalResidencialResidencialNão se aplicaNão se aplicaNão se aplica",Mercado_Receita!$N$2:$N$483)</f>
        <v>849.40200000000004</v>
      </c>
      <c r="M8" s="13">
        <f>SUMIF(Mercado_Receita!$T$2:$T$483,"44562B1Energia convencionalResidencialResidencialNão se aplicaNão se aplicaNão se aplica",Mercado_Receita!$N$2:$N$483)</f>
        <v>993.15000000000009</v>
      </c>
      <c r="N8" s="13">
        <f>SUMIF(Mercado_Receita!$T$2:$T$483,"44593B1Energia convencionalResidencialResidencialNão se aplicaNão se aplicaNão se aplica",Mercado_Receita!$N$2:$N$483)</f>
        <v>1221.1659999999999</v>
      </c>
      <c r="O8" s="13">
        <f>SUMIF(Mercado_Receita!$T$2:$T$483,"44621B1Energia convencionalResidencialResidencialNão se aplicaNão se aplicaNão se aplica",Mercado_Receita!$N$2:$N$483)</f>
        <v>1139.3499999999999</v>
      </c>
      <c r="P8" s="13">
        <f>SUMIF(Mercado_Receita!$T$2:$T$483,"44652B1Energia convencionalResidencialResidencialNão se aplicaNão se aplicaNão se aplica",Mercado_Receita!$N$2:$N$483)</f>
        <v>717.20200000000011</v>
      </c>
      <c r="Q8" s="13">
        <f>SUMIF(Mercado_Receita!$T$2:$T$483,"44682B1Energia convencionalResidencialResidencialNão se aplicaNão se aplicaNão se aplica",Mercado_Receita!$N$2:$N$483)</f>
        <v>805.31399999999996</v>
      </c>
      <c r="R8" s="13">
        <f>SUMIF(Mercado_Receita!$T$2:$T$483,"44713B1Energia convencionalResidencialResidencialNão se aplicaNão se aplicaNão se aplica",Mercado_Receita!$N$2:$N$483)</f>
        <v>873.61700000000008</v>
      </c>
      <c r="S8" s="13">
        <f>SUMIF(Mercado_Receita!$T$2:$T$483,"44743B1Energia convencionalResidencialResidencialNão se aplicaNão se aplicaNão se aplica",Mercado_Receita!$N$2:$N$483)</f>
        <v>850.53600000000006</v>
      </c>
      <c r="T8" s="13">
        <f>SUMIF(Mercado_Receita!$T$2:$T$483,"44774B1Energia convencionalResidencialResidencialNão se aplicaNão se aplicaNão se aplica",Mercado_Receita!$N$2:$N$483)</f>
        <v>850.53600000000006</v>
      </c>
      <c r="U8" s="13">
        <f t="shared" si="0"/>
        <v>10969.981</v>
      </c>
      <c r="V8" s="13"/>
      <c r="W8" s="13"/>
    </row>
    <row r="9" spans="1:30" ht="11.25" customHeight="1" x14ac:dyDescent="0.3">
      <c r="A9" s="77"/>
      <c r="B9" s="77"/>
      <c r="C9" s="77"/>
      <c r="D9" s="12" t="s">
        <v>28</v>
      </c>
      <c r="E9" s="12" t="s">
        <v>25</v>
      </c>
      <c r="F9" s="12" t="s">
        <v>25</v>
      </c>
      <c r="G9" s="13" t="s">
        <v>83</v>
      </c>
      <c r="H9" s="13" t="s">
        <v>79</v>
      </c>
      <c r="I9" s="13">
        <f>SUMIF(Mercado_Receita!$T$2:$T$483,"44440B1Energia convencionalResidencialResidencial baixa renda – faixa 01Não se aplicaNão se aplicaNão se aplica",Mercado_Receita!$N$2:$N$483)</f>
        <v>5.58</v>
      </c>
      <c r="J9" s="13">
        <f>SUMIF(Mercado_Receita!$T$2:$T$483,"44470B1Energia convencionalResidencialResidencial baixa renda – faixa 01Não se aplicaNão se aplicaNão se aplica",Mercado_Receita!$N$2:$N$483)</f>
        <v>5.6550000000000002</v>
      </c>
      <c r="K9" s="13">
        <f>SUMIF(Mercado_Receita!$T$2:$T$483,"44501B1Energia convencionalResidencialResidencial baixa renda – faixa 01Não se aplicaNão se aplicaNão se aplica",Mercado_Receita!$N$2:$N$483)</f>
        <v>5.55</v>
      </c>
      <c r="L9" s="13">
        <f>SUMIF(Mercado_Receita!$T$2:$T$483,"44531B1Energia convencionalResidencialResidencial baixa renda – faixa 01Não se aplicaNão se aplicaNão se aplica",Mercado_Receita!$N$2:$N$483)</f>
        <v>5.58</v>
      </c>
      <c r="M9" s="13">
        <f>SUMIF(Mercado_Receita!$T$2:$T$483,"44562B1Energia convencionalResidencialResidencial baixa renda – faixa 01Não se aplicaNão se aplicaNão se aplica",Mercado_Receita!$N$2:$N$483)</f>
        <v>5.61</v>
      </c>
      <c r="N9" s="13">
        <f>SUMIF(Mercado_Receita!$T$2:$T$483,"44593B1Energia convencionalResidencialResidencial baixa renda – faixa 01Não se aplicaNão se aplicaNão se aplica",Mercado_Receita!$N$2:$N$483)</f>
        <v>8.19</v>
      </c>
      <c r="O9" s="13">
        <f>SUMIF(Mercado_Receita!$T$2:$T$483,"44621B1Energia convencionalResidencialResidencial baixa renda – faixa 01Não se aplicaNão se aplicaNão se aplica",Mercado_Receita!$N$2:$N$483)</f>
        <v>8.43</v>
      </c>
      <c r="P9" s="13">
        <f>SUMIF(Mercado_Receita!$T$2:$T$483,"44652B1Energia convencionalResidencialResidencial baixa renda – faixa 01Não se aplicaNão se aplicaNão se aplica",Mercado_Receita!$N$2:$N$483)</f>
        <v>8.64</v>
      </c>
      <c r="Q9" s="13">
        <f>SUMIF(Mercado_Receita!$T$2:$T$483,"44682B1Energia convencionalResidencialResidencial baixa renda – faixa 01Não se aplicaNão se aplicaNão se aplica",Mercado_Receita!$N$2:$N$483)</f>
        <v>9.39</v>
      </c>
      <c r="R9" s="13">
        <f>SUMIF(Mercado_Receita!$T$2:$T$483,"44713B1Energia convencionalResidencialResidencial baixa renda – faixa 01Não se aplicaNão se aplicaNão se aplica",Mercado_Receita!$N$2:$N$483)</f>
        <v>9</v>
      </c>
      <c r="S9" s="13">
        <f>SUMIF(Mercado_Receita!$T$2:$T$483,"44743B1Energia convencionalResidencialResidencial baixa renda – faixa 01Não se aplicaNão se aplicaNão se aplica",Mercado_Receita!$N$2:$N$483)</f>
        <v>7.83</v>
      </c>
      <c r="T9" s="13">
        <f>SUMIF(Mercado_Receita!$T$2:$T$483,"44774B1Energia convencionalResidencialResidencial baixa renda – faixa 01Não se aplicaNão se aplicaNão se aplica",Mercado_Receita!$N$2:$N$483)</f>
        <v>7.83</v>
      </c>
      <c r="U9" s="13">
        <f t="shared" si="0"/>
        <v>87.284999999999997</v>
      </c>
      <c r="V9" s="13"/>
      <c r="W9" s="13"/>
    </row>
    <row r="10" spans="1:30" ht="11.25" customHeight="1" x14ac:dyDescent="0.3">
      <c r="A10" s="77"/>
      <c r="B10" s="77"/>
      <c r="C10" s="77"/>
      <c r="D10" s="12" t="s">
        <v>29</v>
      </c>
      <c r="E10" s="12" t="s">
        <v>25</v>
      </c>
      <c r="F10" s="12" t="s">
        <v>25</v>
      </c>
      <c r="G10" s="13" t="s">
        <v>83</v>
      </c>
      <c r="H10" s="13" t="s">
        <v>79</v>
      </c>
      <c r="I10" s="13">
        <f>SUMIF(Mercado_Receita!$T$2:$T$483,"44440B1Energia convencionalResidencialResidencial baixa renda – faixa 02Não se aplicaNão se aplicaNão se aplica",Mercado_Receita!$N$2:$N$483)</f>
        <v>11.752000000000001</v>
      </c>
      <c r="J10" s="13">
        <f>SUMIF(Mercado_Receita!$T$2:$T$483,"44470B1Energia convencionalResidencialResidencial baixa renda – faixa 02Não se aplicaNão se aplicaNão se aplica",Mercado_Receita!$N$2:$N$483)</f>
        <v>11.974</v>
      </c>
      <c r="K10" s="13">
        <f>SUMIF(Mercado_Receita!$T$2:$T$483,"44501B1Energia convencionalResidencialResidencial baixa renda – faixa 02Não se aplicaNão se aplicaNão se aplica",Mercado_Receita!$N$2:$N$483)</f>
        <v>12.063000000000001</v>
      </c>
      <c r="L10" s="13">
        <f>SUMIF(Mercado_Receita!$T$2:$T$483,"44531B1Energia convencionalResidencialResidencial baixa renda – faixa 02Não se aplicaNão se aplicaNão se aplica",Mercado_Receita!$N$2:$N$483)</f>
        <v>11.632</v>
      </c>
      <c r="M10" s="13">
        <f>SUMIF(Mercado_Receita!$T$2:$T$483,"44562B1Energia convencionalResidencialResidencial baixa renda – faixa 02Não se aplicaNão se aplicaNão se aplica",Mercado_Receita!$N$2:$N$483)</f>
        <v>11.725</v>
      </c>
      <c r="N10" s="13">
        <f>SUMIF(Mercado_Receita!$T$2:$T$483,"44593B1Energia convencionalResidencialResidencial baixa renda – faixa 02Não se aplicaNão se aplicaNão se aplica",Mercado_Receita!$N$2:$N$483)</f>
        <v>17.297000000000001</v>
      </c>
      <c r="O10" s="13">
        <f>SUMIF(Mercado_Receita!$T$2:$T$483,"44621B1Energia convencionalResidencialResidencial baixa renda – faixa 02Não se aplicaNão se aplicaNão se aplica",Mercado_Receita!$N$2:$N$483)</f>
        <v>17.948</v>
      </c>
      <c r="P10" s="13">
        <f>SUMIF(Mercado_Receita!$T$2:$T$483,"44652B1Energia convencionalResidencialResidencial baixa renda – faixa 02Não se aplicaNão se aplicaNão se aplica",Mercado_Receita!$N$2:$N$483)</f>
        <v>18.116</v>
      </c>
      <c r="Q10" s="13">
        <f>SUMIF(Mercado_Receita!$T$2:$T$483,"44682B1Energia convencionalResidencialResidencial baixa renda – faixa 02Não se aplicaNão se aplicaNão se aplica",Mercado_Receita!$N$2:$N$483)</f>
        <v>19.456</v>
      </c>
      <c r="R10" s="13">
        <f>SUMIF(Mercado_Receita!$T$2:$T$483,"44713B1Energia convencionalResidencialResidencial baixa renda – faixa 02Não se aplicaNão se aplicaNão se aplica",Mercado_Receita!$N$2:$N$483)</f>
        <v>18.814</v>
      </c>
      <c r="S10" s="13">
        <f>SUMIF(Mercado_Receita!$T$2:$T$483,"44743B1Energia convencionalResidencialResidencial baixa renda – faixa 02Não se aplicaNão se aplicaNão se aplica",Mercado_Receita!$N$2:$N$483)</f>
        <v>16.195</v>
      </c>
      <c r="T10" s="13">
        <f>SUMIF(Mercado_Receita!$T$2:$T$483,"44774B1Energia convencionalResidencialResidencial baixa renda – faixa 02Não se aplicaNão se aplicaNão se aplica",Mercado_Receita!$N$2:$N$483)</f>
        <v>16.195</v>
      </c>
      <c r="U10" s="13">
        <f t="shared" si="0"/>
        <v>183.16699999999997</v>
      </c>
      <c r="V10" s="13"/>
      <c r="W10" s="13"/>
    </row>
    <row r="11" spans="1:30" ht="11.25" customHeight="1" x14ac:dyDescent="0.3">
      <c r="A11" s="77"/>
      <c r="B11" s="77"/>
      <c r="C11" s="77"/>
      <c r="D11" s="12" t="s">
        <v>30</v>
      </c>
      <c r="E11" s="12" t="s">
        <v>25</v>
      </c>
      <c r="F11" s="12" t="s">
        <v>25</v>
      </c>
      <c r="G11" s="13" t="s">
        <v>83</v>
      </c>
      <c r="H11" s="13" t="s">
        <v>79</v>
      </c>
      <c r="I11" s="13">
        <f>SUMIF(Mercado_Receita!$T$2:$T$483,"44440B1Energia convencionalResidencialResidencial baixa renda – faixa 03Não se aplicaNão se aplicaNão se aplica",Mercado_Receita!$N$2:$N$483)</f>
        <v>12.407999999999999</v>
      </c>
      <c r="J11" s="13">
        <f>SUMIF(Mercado_Receita!$T$2:$T$483,"44470B1Energia convencionalResidencialResidencial baixa renda – faixa 03Não se aplicaNão se aplicaNão se aplica",Mercado_Receita!$N$2:$N$483)</f>
        <v>12.455</v>
      </c>
      <c r="K11" s="13">
        <f>SUMIF(Mercado_Receita!$T$2:$T$483,"44501B1Energia convencionalResidencialResidencial baixa renda – faixa 03Não se aplicaNão se aplicaNão se aplica",Mercado_Receita!$N$2:$N$483)</f>
        <v>13.506</v>
      </c>
      <c r="L11" s="13">
        <f>SUMIF(Mercado_Receita!$T$2:$T$483,"44531B1Energia convencionalResidencialResidencial baixa renda – faixa 03Não se aplicaNão se aplicaNão se aplica",Mercado_Receita!$N$2:$N$483)</f>
        <v>11.481999999999999</v>
      </c>
      <c r="M11" s="13">
        <f>SUMIF(Mercado_Receita!$T$2:$T$483,"44562B1Energia convencionalResidencialResidencial baixa renda – faixa 03Não se aplicaNão se aplicaNão se aplica",Mercado_Receita!$N$2:$N$483)</f>
        <v>13.247999999999999</v>
      </c>
      <c r="N11" s="13">
        <f>SUMIF(Mercado_Receita!$T$2:$T$483,"44593B1Energia convencionalResidencialResidencial baixa renda – faixa 03Não se aplicaNão se aplicaNão se aplica",Mercado_Receita!$N$2:$N$483)</f>
        <v>22.48</v>
      </c>
      <c r="O11" s="13">
        <f>SUMIF(Mercado_Receita!$T$2:$T$483,"44621B1Energia convencionalResidencialResidencial baixa renda – faixa 03Não se aplicaNão se aplicaNão se aplica",Mercado_Receita!$N$2:$N$483)</f>
        <v>21.47</v>
      </c>
      <c r="P11" s="13">
        <f>SUMIF(Mercado_Receita!$T$2:$T$483,"44652B1Energia convencionalResidencialResidencial baixa renda – faixa 03Não se aplicaNão se aplicaNão se aplica",Mercado_Receita!$N$2:$N$483)</f>
        <v>18.599</v>
      </c>
      <c r="Q11" s="13">
        <f>SUMIF(Mercado_Receita!$T$2:$T$483,"44682B1Energia convencionalResidencialResidencial baixa renda – faixa 03Não se aplicaNão se aplicaNão se aplica",Mercado_Receita!$N$2:$N$483)</f>
        <v>19.41</v>
      </c>
      <c r="R11" s="13">
        <f>SUMIF(Mercado_Receita!$T$2:$T$483,"44713B1Energia convencionalResidencialResidencial baixa renda – faixa 03Não se aplicaNão se aplicaNão se aplica",Mercado_Receita!$N$2:$N$483)</f>
        <v>20.244</v>
      </c>
      <c r="S11" s="13">
        <f>SUMIF(Mercado_Receita!$T$2:$T$483,"44743B1Energia convencionalResidencialResidencial baixa renda – faixa 03Não se aplicaNão se aplicaNão se aplica",Mercado_Receita!$N$2:$N$483)</f>
        <v>17.539000000000001</v>
      </c>
      <c r="T11" s="13">
        <f>SUMIF(Mercado_Receita!$T$2:$T$483,"44774B1Energia convencionalResidencialResidencial baixa renda – faixa 03Não se aplicaNão se aplicaNão se aplica",Mercado_Receita!$N$2:$N$483)</f>
        <v>17.539000000000001</v>
      </c>
      <c r="U11" s="13">
        <f t="shared" si="0"/>
        <v>200.38</v>
      </c>
      <c r="V11" s="13"/>
      <c r="W11" s="13"/>
    </row>
    <row r="12" spans="1:30" ht="11.25" customHeight="1" x14ac:dyDescent="0.3">
      <c r="A12" s="77"/>
      <c r="B12" s="77"/>
      <c r="C12" s="77"/>
      <c r="D12" s="12" t="s">
        <v>31</v>
      </c>
      <c r="E12" s="12" t="s">
        <v>25</v>
      </c>
      <c r="F12" s="12" t="s">
        <v>25</v>
      </c>
      <c r="G12" s="13" t="s">
        <v>83</v>
      </c>
      <c r="H12" s="13" t="s">
        <v>79</v>
      </c>
      <c r="I12" s="13">
        <f>SUMIF(Mercado_Receita!$T$2:$T$483,"44440B1Energia convencionalResidencialResidencial baixa renda – faixa 04Não se aplicaNão se aplicaNão se aplica",Mercado_Receita!$N$2:$N$483)</f>
        <v>3.452</v>
      </c>
      <c r="J12" s="13">
        <f>SUMIF(Mercado_Receita!$T$2:$T$483,"44470B1Energia convencionalResidencialResidencial baixa renda – faixa 04Não se aplicaNão se aplicaNão se aplica",Mercado_Receita!$N$2:$N$483)</f>
        <v>4.0410000000000004</v>
      </c>
      <c r="K12" s="13">
        <f>SUMIF(Mercado_Receita!$T$2:$T$483,"44501B1Energia convencionalResidencialResidencial baixa renda – faixa 04Não se aplicaNão se aplicaNão se aplica",Mercado_Receita!$N$2:$N$483)</f>
        <v>4.5439999999999996</v>
      </c>
      <c r="L12" s="13">
        <f>SUMIF(Mercado_Receita!$T$2:$T$483,"44531B1Energia convencionalResidencialResidencial baixa renda – faixa 04Não se aplicaNão se aplicaNão se aplica",Mercado_Receita!$N$2:$N$483)</f>
        <v>2.8109999999999999</v>
      </c>
      <c r="M12" s="13">
        <f>SUMIF(Mercado_Receita!$T$2:$T$483,"44562B1Energia convencionalResidencialResidencial baixa renda – faixa 04Não se aplicaNão se aplicaNão se aplica",Mercado_Receita!$N$2:$N$483)</f>
        <v>4.9960000000000004</v>
      </c>
      <c r="N12" s="13">
        <f>SUMIF(Mercado_Receita!$T$2:$T$483,"44593B1Energia convencionalResidencialResidencial baixa renda – faixa 04Não se aplicaNão se aplicaNão se aplica",Mercado_Receita!$N$2:$N$483)</f>
        <v>16.841000000000001</v>
      </c>
      <c r="O12" s="13">
        <f>SUMIF(Mercado_Receita!$T$2:$T$483,"44621B1Energia convencionalResidencialResidencial baixa renda – faixa 04Não se aplicaNão se aplicaNão se aplica",Mercado_Receita!$N$2:$N$483)</f>
        <v>11.708</v>
      </c>
      <c r="P12" s="13">
        <f>SUMIF(Mercado_Receita!$T$2:$T$483,"44652B1Energia convencionalResidencialResidencial baixa renda – faixa 04Não se aplicaNão se aplicaNão se aplica",Mercado_Receita!$N$2:$N$483)</f>
        <v>5.2409999999999997</v>
      </c>
      <c r="Q12" s="13">
        <f>SUMIF(Mercado_Receita!$T$2:$T$483,"44682B1Energia convencionalResidencialResidencial baixa renda – faixa 04Não se aplicaNão se aplicaNão se aplica",Mercado_Receita!$N$2:$N$483)</f>
        <v>5.3920000000000003</v>
      </c>
      <c r="R12" s="13">
        <f>SUMIF(Mercado_Receita!$T$2:$T$483,"44713B1Energia convencionalResidencialResidencial baixa renda – faixa 04Não se aplicaNão se aplicaNão se aplica",Mercado_Receita!$N$2:$N$483)</f>
        <v>8.2720000000000002</v>
      </c>
      <c r="S12" s="13">
        <f>SUMIF(Mercado_Receita!$T$2:$T$483,"44743B1Energia convencionalResidencialResidencial baixa renda – faixa 04Não se aplicaNão se aplicaNão se aplica",Mercado_Receita!$N$2:$N$483)</f>
        <v>6.8289999999999997</v>
      </c>
      <c r="T12" s="13">
        <f>SUMIF(Mercado_Receita!$T$2:$T$483,"44774B1Energia convencionalResidencialResidencial baixa renda – faixa 04Não se aplicaNão se aplicaNão se aplica",Mercado_Receita!$N$2:$N$483)</f>
        <v>6.8289999999999997</v>
      </c>
      <c r="U12" s="13">
        <f t="shared" si="0"/>
        <v>80.955999999999989</v>
      </c>
      <c r="V12" s="13"/>
      <c r="W12" s="13"/>
    </row>
    <row r="13" spans="1:30" ht="11.25" customHeight="1" x14ac:dyDescent="0.3">
      <c r="A13" s="77"/>
      <c r="B13" s="76" t="s">
        <v>93</v>
      </c>
      <c r="C13" s="76" t="s">
        <v>24</v>
      </c>
      <c r="D13" s="12" t="s">
        <v>24</v>
      </c>
      <c r="E13" s="12" t="s">
        <v>25</v>
      </c>
      <c r="F13" s="12" t="s">
        <v>25</v>
      </c>
      <c r="G13" s="13" t="s">
        <v>83</v>
      </c>
      <c r="H13" s="13" t="s">
        <v>79</v>
      </c>
      <c r="I13" s="13">
        <f>SUMIF(Mercado_Receita!$T$2:$T$483,"44440B1Energia convencional pré-pagamentoResidencialResidencialNão se aplicaNão se aplicaNão se aplica",Mercado_Receita!$N$2:$N$483)</f>
        <v>0</v>
      </c>
      <c r="J13" s="13">
        <f>SUMIF(Mercado_Receita!$T$2:$T$483,"44470B1Energia convencional pré-pagamentoResidencialResidencialNão se aplicaNão se aplicaNão se aplica",Mercado_Receita!$N$2:$N$483)</f>
        <v>0</v>
      </c>
      <c r="K13" s="13">
        <f>SUMIF(Mercado_Receita!$T$2:$T$483,"44501B1Energia convencional pré-pagamentoResidencialResidencialNão se aplicaNão se aplicaNão se aplica",Mercado_Receita!$N$2:$N$483)</f>
        <v>0</v>
      </c>
      <c r="L13" s="13">
        <f>SUMIF(Mercado_Receita!$T$2:$T$483,"44531B1Energia convencional pré-pagamentoResidencialResidencialNão se aplicaNão se aplicaNão se aplica",Mercado_Receita!$N$2:$N$483)</f>
        <v>0</v>
      </c>
      <c r="M13" s="13">
        <f>SUMIF(Mercado_Receita!$T$2:$T$483,"44562B1Energia convencional pré-pagamentoResidencialResidencialNão se aplicaNão se aplicaNão se aplica",Mercado_Receita!$N$2:$N$483)</f>
        <v>0</v>
      </c>
      <c r="N13" s="13">
        <f>SUMIF(Mercado_Receita!$T$2:$T$483,"44593B1Energia convencional pré-pagamentoResidencialResidencialNão se aplicaNão se aplicaNão se aplica",Mercado_Receita!$N$2:$N$483)</f>
        <v>0</v>
      </c>
      <c r="O13" s="13">
        <f>SUMIF(Mercado_Receita!$T$2:$T$483,"44621B1Energia convencional pré-pagamentoResidencialResidencialNão se aplicaNão se aplicaNão se aplica",Mercado_Receita!$N$2:$N$483)</f>
        <v>0</v>
      </c>
      <c r="P13" s="13">
        <f>SUMIF(Mercado_Receita!$T$2:$T$483,"44652B1Energia convencional pré-pagamentoResidencialResidencialNão se aplicaNão se aplicaNão se aplica",Mercado_Receita!$N$2:$N$483)</f>
        <v>0</v>
      </c>
      <c r="Q13" s="13">
        <f>SUMIF(Mercado_Receita!$T$2:$T$483,"44682B1Energia convencional pré-pagamentoResidencialResidencialNão se aplicaNão se aplicaNão se aplica",Mercado_Receita!$N$2:$N$483)</f>
        <v>0</v>
      </c>
      <c r="R13" s="13">
        <f>SUMIF(Mercado_Receita!$T$2:$T$483,"44713B1Energia convencional pré-pagamentoResidencialResidencialNão se aplicaNão se aplicaNão se aplica",Mercado_Receita!$N$2:$N$483)</f>
        <v>0</v>
      </c>
      <c r="S13" s="13">
        <f>SUMIF(Mercado_Receita!$T$2:$T$483,"44743B1Energia convencional pré-pagamentoResidencialResidencialNão se aplicaNão se aplicaNão se aplica",Mercado_Receita!$N$2:$N$483)</f>
        <v>0</v>
      </c>
      <c r="T13" s="13">
        <f>SUMIF(Mercado_Receita!$T$2:$T$483,"44774B1Energia convencional pré-pagamentoResidencialResidencialNão se aplicaNão se aplicaNão se aplica",Mercado_Receita!$N$2:$N$483)</f>
        <v>0</v>
      </c>
      <c r="U13" s="13">
        <f t="shared" si="0"/>
        <v>0</v>
      </c>
      <c r="V13" s="13"/>
      <c r="W13" s="13"/>
    </row>
    <row r="14" spans="1:30" ht="11.25" customHeight="1" x14ac:dyDescent="0.3">
      <c r="A14" s="77"/>
      <c r="B14" s="77"/>
      <c r="C14" s="77"/>
      <c r="D14" s="12" t="s">
        <v>28</v>
      </c>
      <c r="E14" s="12" t="s">
        <v>25</v>
      </c>
      <c r="F14" s="12" t="s">
        <v>25</v>
      </c>
      <c r="G14" s="13" t="s">
        <v>83</v>
      </c>
      <c r="H14" s="13" t="s">
        <v>79</v>
      </c>
      <c r="I14" s="13">
        <f>SUMIF(Mercado_Receita!$T$2:$T$483,"44440B1Energia convencional pré-pagamentoResidencialResidencial baixa renda – faixa 01Não se aplicaNão se aplicaNão se aplica",Mercado_Receita!$N$2:$N$483)</f>
        <v>0</v>
      </c>
      <c r="J14" s="13">
        <f>SUMIF(Mercado_Receita!$T$2:$T$483,"44470B1Energia convencional pré-pagamentoResidencialResidencial baixa renda – faixa 01Não se aplicaNão se aplicaNão se aplica",Mercado_Receita!$N$2:$N$483)</f>
        <v>0</v>
      </c>
      <c r="K14" s="13">
        <f>SUMIF(Mercado_Receita!$T$2:$T$483,"44501B1Energia convencional pré-pagamentoResidencialResidencial baixa renda – faixa 01Não se aplicaNão se aplicaNão se aplica",Mercado_Receita!$N$2:$N$483)</f>
        <v>0</v>
      </c>
      <c r="L14" s="13">
        <f>SUMIF(Mercado_Receita!$T$2:$T$483,"44531B1Energia convencional pré-pagamentoResidencialResidencial baixa renda – faixa 01Não se aplicaNão se aplicaNão se aplica",Mercado_Receita!$N$2:$N$483)</f>
        <v>0</v>
      </c>
      <c r="M14" s="13">
        <f>SUMIF(Mercado_Receita!$T$2:$T$483,"44562B1Energia convencional pré-pagamentoResidencialResidencial baixa renda – faixa 01Não se aplicaNão se aplicaNão se aplica",Mercado_Receita!$N$2:$N$483)</f>
        <v>0</v>
      </c>
      <c r="N14" s="13">
        <f>SUMIF(Mercado_Receita!$T$2:$T$483,"44593B1Energia convencional pré-pagamentoResidencialResidencial baixa renda – faixa 01Não se aplicaNão se aplicaNão se aplica",Mercado_Receita!$N$2:$N$483)</f>
        <v>0</v>
      </c>
      <c r="O14" s="13">
        <f>SUMIF(Mercado_Receita!$T$2:$T$483,"44621B1Energia convencional pré-pagamentoResidencialResidencial baixa renda – faixa 01Não se aplicaNão se aplicaNão se aplica",Mercado_Receita!$N$2:$N$483)</f>
        <v>0</v>
      </c>
      <c r="P14" s="13">
        <f>SUMIF(Mercado_Receita!$T$2:$T$483,"44652B1Energia convencional pré-pagamentoResidencialResidencial baixa renda – faixa 01Não se aplicaNão se aplicaNão se aplica",Mercado_Receita!$N$2:$N$483)</f>
        <v>0</v>
      </c>
      <c r="Q14" s="13">
        <f>SUMIF(Mercado_Receita!$T$2:$T$483,"44682B1Energia convencional pré-pagamentoResidencialResidencial baixa renda – faixa 01Não se aplicaNão se aplicaNão se aplica",Mercado_Receita!$N$2:$N$483)</f>
        <v>0</v>
      </c>
      <c r="R14" s="13">
        <f>SUMIF(Mercado_Receita!$T$2:$T$483,"44713B1Energia convencional pré-pagamentoResidencialResidencial baixa renda – faixa 01Não se aplicaNão se aplicaNão se aplica",Mercado_Receita!$N$2:$N$483)</f>
        <v>0</v>
      </c>
      <c r="S14" s="13">
        <f>SUMIF(Mercado_Receita!$T$2:$T$483,"44743B1Energia convencional pré-pagamentoResidencialResidencial baixa renda – faixa 01Não se aplicaNão se aplicaNão se aplica",Mercado_Receita!$N$2:$N$483)</f>
        <v>0</v>
      </c>
      <c r="T14" s="13">
        <f>SUMIF(Mercado_Receita!$T$2:$T$483,"44774B1Energia convencional pré-pagamentoResidencialResidencial baixa renda – faixa 01Não se aplicaNão se aplicaNão se aplica",Mercado_Receita!$N$2:$N$483)</f>
        <v>0</v>
      </c>
      <c r="U14" s="13">
        <f t="shared" si="0"/>
        <v>0</v>
      </c>
      <c r="V14" s="13"/>
      <c r="W14" s="13"/>
    </row>
    <row r="15" spans="1:30" ht="11.25" customHeight="1" x14ac:dyDescent="0.3">
      <c r="A15" s="77"/>
      <c r="B15" s="77"/>
      <c r="C15" s="77"/>
      <c r="D15" s="12" t="s">
        <v>29</v>
      </c>
      <c r="E15" s="12" t="s">
        <v>25</v>
      </c>
      <c r="F15" s="12" t="s">
        <v>25</v>
      </c>
      <c r="G15" s="13" t="s">
        <v>83</v>
      </c>
      <c r="H15" s="13" t="s">
        <v>79</v>
      </c>
      <c r="I15" s="13">
        <f>SUMIF(Mercado_Receita!$T$2:$T$483,"44440B1Energia convencional pré-pagamentoResidencialResidencial baixa renda – faixa 02Não se aplicaNão se aplicaNão se aplica",Mercado_Receita!$N$2:$N$483)</f>
        <v>0</v>
      </c>
      <c r="J15" s="13">
        <f>SUMIF(Mercado_Receita!$T$2:$T$483,"44470B1Energia convencional pré-pagamentoResidencialResidencial baixa renda – faixa 02Não se aplicaNão se aplicaNão se aplica",Mercado_Receita!$N$2:$N$483)</f>
        <v>0</v>
      </c>
      <c r="K15" s="13">
        <f>SUMIF(Mercado_Receita!$T$2:$T$483,"44501B1Energia convencional pré-pagamentoResidencialResidencial baixa renda – faixa 02Não se aplicaNão se aplicaNão se aplica",Mercado_Receita!$N$2:$N$483)</f>
        <v>0</v>
      </c>
      <c r="L15" s="13">
        <f>SUMIF(Mercado_Receita!$T$2:$T$483,"44531B1Energia convencional pré-pagamentoResidencialResidencial baixa renda – faixa 02Não se aplicaNão se aplicaNão se aplica",Mercado_Receita!$N$2:$N$483)</f>
        <v>0</v>
      </c>
      <c r="M15" s="13">
        <f>SUMIF(Mercado_Receita!$T$2:$T$483,"44562B1Energia convencional pré-pagamentoResidencialResidencial baixa renda – faixa 02Não se aplicaNão se aplicaNão se aplica",Mercado_Receita!$N$2:$N$483)</f>
        <v>0</v>
      </c>
      <c r="N15" s="13">
        <f>SUMIF(Mercado_Receita!$T$2:$T$483,"44593B1Energia convencional pré-pagamentoResidencialResidencial baixa renda – faixa 02Não se aplicaNão se aplicaNão se aplica",Mercado_Receita!$N$2:$N$483)</f>
        <v>0</v>
      </c>
      <c r="O15" s="13">
        <f>SUMIF(Mercado_Receita!$T$2:$T$483,"44621B1Energia convencional pré-pagamentoResidencialResidencial baixa renda – faixa 02Não se aplicaNão se aplicaNão se aplica",Mercado_Receita!$N$2:$N$483)</f>
        <v>0</v>
      </c>
      <c r="P15" s="13">
        <f>SUMIF(Mercado_Receita!$T$2:$T$483,"44652B1Energia convencional pré-pagamentoResidencialResidencial baixa renda – faixa 02Não se aplicaNão se aplicaNão se aplica",Mercado_Receita!$N$2:$N$483)</f>
        <v>0</v>
      </c>
      <c r="Q15" s="13">
        <f>SUMIF(Mercado_Receita!$T$2:$T$483,"44682B1Energia convencional pré-pagamentoResidencialResidencial baixa renda – faixa 02Não se aplicaNão se aplicaNão se aplica",Mercado_Receita!$N$2:$N$483)</f>
        <v>0</v>
      </c>
      <c r="R15" s="13">
        <f>SUMIF(Mercado_Receita!$T$2:$T$483,"44713B1Energia convencional pré-pagamentoResidencialResidencial baixa renda – faixa 02Não se aplicaNão se aplicaNão se aplica",Mercado_Receita!$N$2:$N$483)</f>
        <v>0</v>
      </c>
      <c r="S15" s="13">
        <f>SUMIF(Mercado_Receita!$T$2:$T$483,"44743B1Energia convencional pré-pagamentoResidencialResidencial baixa renda – faixa 02Não se aplicaNão se aplicaNão se aplica",Mercado_Receita!$N$2:$N$483)</f>
        <v>0</v>
      </c>
      <c r="T15" s="13">
        <f>SUMIF(Mercado_Receita!$T$2:$T$483,"44774B1Energia convencional pré-pagamentoResidencialResidencial baixa renda – faixa 02Não se aplicaNão se aplicaNão se aplica",Mercado_Receita!$N$2:$N$483)</f>
        <v>0</v>
      </c>
      <c r="U15" s="13">
        <f t="shared" si="0"/>
        <v>0</v>
      </c>
      <c r="V15" s="13"/>
      <c r="W15" s="13"/>
    </row>
    <row r="16" spans="1:30" ht="11.25" customHeight="1" x14ac:dyDescent="0.3">
      <c r="A16" s="77"/>
      <c r="B16" s="77"/>
      <c r="C16" s="77"/>
      <c r="D16" s="12" t="s">
        <v>30</v>
      </c>
      <c r="E16" s="12" t="s">
        <v>25</v>
      </c>
      <c r="F16" s="12" t="s">
        <v>25</v>
      </c>
      <c r="G16" s="13" t="s">
        <v>83</v>
      </c>
      <c r="H16" s="13" t="s">
        <v>79</v>
      </c>
      <c r="I16" s="13">
        <f>SUMIF(Mercado_Receita!$T$2:$T$483,"44440B1Energia convencional pré-pagamentoResidencialResidencial baixa renda – faixa 03Não se aplicaNão se aplicaNão se aplica",Mercado_Receita!$N$2:$N$483)</f>
        <v>0</v>
      </c>
      <c r="J16" s="13">
        <f>SUMIF(Mercado_Receita!$T$2:$T$483,"44470B1Energia convencional pré-pagamentoResidencialResidencial baixa renda – faixa 03Não se aplicaNão se aplicaNão se aplica",Mercado_Receita!$N$2:$N$483)</f>
        <v>0</v>
      </c>
      <c r="K16" s="13">
        <f>SUMIF(Mercado_Receita!$T$2:$T$483,"44501B1Energia convencional pré-pagamentoResidencialResidencial baixa renda – faixa 03Não se aplicaNão se aplicaNão se aplica",Mercado_Receita!$N$2:$N$483)</f>
        <v>0</v>
      </c>
      <c r="L16" s="13">
        <f>SUMIF(Mercado_Receita!$T$2:$T$483,"44531B1Energia convencional pré-pagamentoResidencialResidencial baixa renda – faixa 03Não se aplicaNão se aplicaNão se aplica",Mercado_Receita!$N$2:$N$483)</f>
        <v>0</v>
      </c>
      <c r="M16" s="13">
        <f>SUMIF(Mercado_Receita!$T$2:$T$483,"44562B1Energia convencional pré-pagamentoResidencialResidencial baixa renda – faixa 03Não se aplicaNão se aplicaNão se aplica",Mercado_Receita!$N$2:$N$483)</f>
        <v>0</v>
      </c>
      <c r="N16" s="13">
        <f>SUMIF(Mercado_Receita!$T$2:$T$483,"44593B1Energia convencional pré-pagamentoResidencialResidencial baixa renda – faixa 03Não se aplicaNão se aplicaNão se aplica",Mercado_Receita!$N$2:$N$483)</f>
        <v>0</v>
      </c>
      <c r="O16" s="13">
        <f>SUMIF(Mercado_Receita!$T$2:$T$483,"44621B1Energia convencional pré-pagamentoResidencialResidencial baixa renda – faixa 03Não se aplicaNão se aplicaNão se aplica",Mercado_Receita!$N$2:$N$483)</f>
        <v>0</v>
      </c>
      <c r="P16" s="13">
        <f>SUMIF(Mercado_Receita!$T$2:$T$483,"44652B1Energia convencional pré-pagamentoResidencialResidencial baixa renda – faixa 03Não se aplicaNão se aplicaNão se aplica",Mercado_Receita!$N$2:$N$483)</f>
        <v>0</v>
      </c>
      <c r="Q16" s="13">
        <f>SUMIF(Mercado_Receita!$T$2:$T$483,"44682B1Energia convencional pré-pagamentoResidencialResidencial baixa renda – faixa 03Não se aplicaNão se aplicaNão se aplica",Mercado_Receita!$N$2:$N$483)</f>
        <v>0</v>
      </c>
      <c r="R16" s="13">
        <f>SUMIF(Mercado_Receita!$T$2:$T$483,"44713B1Energia convencional pré-pagamentoResidencialResidencial baixa renda – faixa 03Não se aplicaNão se aplicaNão se aplica",Mercado_Receita!$N$2:$N$483)</f>
        <v>0</v>
      </c>
      <c r="S16" s="13">
        <f>SUMIF(Mercado_Receita!$T$2:$T$483,"44743B1Energia convencional pré-pagamentoResidencialResidencial baixa renda – faixa 03Não se aplicaNão se aplicaNão se aplica",Mercado_Receita!$N$2:$N$483)</f>
        <v>0</v>
      </c>
      <c r="T16" s="13">
        <f>SUMIF(Mercado_Receita!$T$2:$T$483,"44774B1Energia convencional pré-pagamentoResidencialResidencial baixa renda – faixa 03Não se aplicaNão se aplicaNão se aplica",Mercado_Receita!$N$2:$N$483)</f>
        <v>0</v>
      </c>
      <c r="U16" s="13">
        <f t="shared" si="0"/>
        <v>0</v>
      </c>
      <c r="V16" s="13"/>
      <c r="W16" s="13"/>
    </row>
    <row r="17" spans="1:23" ht="11.25" customHeight="1" x14ac:dyDescent="0.3">
      <c r="A17" s="77"/>
      <c r="B17" s="77"/>
      <c r="C17" s="77"/>
      <c r="D17" s="12" t="s">
        <v>31</v>
      </c>
      <c r="E17" s="12" t="s">
        <v>25</v>
      </c>
      <c r="F17" s="12" t="s">
        <v>25</v>
      </c>
      <c r="G17" s="13" t="s">
        <v>83</v>
      </c>
      <c r="H17" s="13" t="s">
        <v>79</v>
      </c>
      <c r="I17" s="13">
        <f>SUMIF(Mercado_Receita!$T$2:$T$483,"44440B1Energia convencional pré-pagamentoResidencialResidencial baixa renda – faixa 04Não se aplicaNão se aplicaNão se aplica",Mercado_Receita!$N$2:$N$483)</f>
        <v>0</v>
      </c>
      <c r="J17" s="13">
        <f>SUMIF(Mercado_Receita!$T$2:$T$483,"44470B1Energia convencional pré-pagamentoResidencialResidencial baixa renda – faixa 04Não se aplicaNão se aplicaNão se aplica",Mercado_Receita!$N$2:$N$483)</f>
        <v>0</v>
      </c>
      <c r="K17" s="13">
        <f>SUMIF(Mercado_Receita!$T$2:$T$483,"44501B1Energia convencional pré-pagamentoResidencialResidencial baixa renda – faixa 04Não se aplicaNão se aplicaNão se aplica",Mercado_Receita!$N$2:$N$483)</f>
        <v>0</v>
      </c>
      <c r="L17" s="13">
        <f>SUMIF(Mercado_Receita!$T$2:$T$483,"44531B1Energia convencional pré-pagamentoResidencialResidencial baixa renda – faixa 04Não se aplicaNão se aplicaNão se aplica",Mercado_Receita!$N$2:$N$483)</f>
        <v>0</v>
      </c>
      <c r="M17" s="13">
        <f>SUMIF(Mercado_Receita!$T$2:$T$483,"44562B1Energia convencional pré-pagamentoResidencialResidencial baixa renda – faixa 04Não se aplicaNão se aplicaNão se aplica",Mercado_Receita!$N$2:$N$483)</f>
        <v>0</v>
      </c>
      <c r="N17" s="13">
        <f>SUMIF(Mercado_Receita!$T$2:$T$483,"44593B1Energia convencional pré-pagamentoResidencialResidencial baixa renda – faixa 04Não se aplicaNão se aplicaNão se aplica",Mercado_Receita!$N$2:$N$483)</f>
        <v>0</v>
      </c>
      <c r="O17" s="13">
        <f>SUMIF(Mercado_Receita!$T$2:$T$483,"44621B1Energia convencional pré-pagamentoResidencialResidencial baixa renda – faixa 04Não se aplicaNão se aplicaNão se aplica",Mercado_Receita!$N$2:$N$483)</f>
        <v>0</v>
      </c>
      <c r="P17" s="13">
        <f>SUMIF(Mercado_Receita!$T$2:$T$483,"44652B1Energia convencional pré-pagamentoResidencialResidencial baixa renda – faixa 04Não se aplicaNão se aplicaNão se aplica",Mercado_Receita!$N$2:$N$483)</f>
        <v>0</v>
      </c>
      <c r="Q17" s="13">
        <f>SUMIF(Mercado_Receita!$T$2:$T$483,"44682B1Energia convencional pré-pagamentoResidencialResidencial baixa renda – faixa 04Não se aplicaNão se aplicaNão se aplica",Mercado_Receita!$N$2:$N$483)</f>
        <v>0</v>
      </c>
      <c r="R17" s="13">
        <f>SUMIF(Mercado_Receita!$T$2:$T$483,"44713B1Energia convencional pré-pagamentoResidencialResidencial baixa renda – faixa 04Não se aplicaNão se aplicaNão se aplica",Mercado_Receita!$N$2:$N$483)</f>
        <v>0</v>
      </c>
      <c r="S17" s="13">
        <f>SUMIF(Mercado_Receita!$T$2:$T$483,"44743B1Energia convencional pré-pagamentoResidencialResidencial baixa renda – faixa 04Não se aplicaNão se aplicaNão se aplica",Mercado_Receita!$N$2:$N$483)</f>
        <v>0</v>
      </c>
      <c r="T17" s="13">
        <f>SUMIF(Mercado_Receita!$T$2:$T$483,"44774B1Energia convencional pré-pagamentoResidencialResidencial baixa renda – faixa 04Não se aplicaNão se aplicaNão se aplica",Mercado_Receita!$N$2:$N$483)</f>
        <v>0</v>
      </c>
      <c r="U17" s="13">
        <f t="shared" si="0"/>
        <v>0</v>
      </c>
      <c r="V17" s="13"/>
      <c r="W17" s="13"/>
    </row>
    <row r="18" spans="1:23" ht="11.25" customHeight="1" x14ac:dyDescent="0.3">
      <c r="A18" s="76" t="s">
        <v>40</v>
      </c>
      <c r="B18" s="76" t="s">
        <v>78</v>
      </c>
      <c r="C18" s="76" t="s">
        <v>41</v>
      </c>
      <c r="D18" s="76" t="s">
        <v>25</v>
      </c>
      <c r="E18" s="76" t="s">
        <v>25</v>
      </c>
      <c r="F18" s="76" t="s">
        <v>25</v>
      </c>
      <c r="G18" s="13" t="s">
        <v>80</v>
      </c>
      <c r="H18" s="13" t="s">
        <v>79</v>
      </c>
      <c r="I18" s="13">
        <f>SUMIF(Mercado_Receita!$T$2:$T$483,"44440B2Energia horáriaRuralNão se aplicaNão se aplicaNão se aplicaPonta",Mercado_Receita!$N$2:$N$483)</f>
        <v>0</v>
      </c>
      <c r="J18" s="13">
        <f>SUMIF(Mercado_Receita!$T$2:$T$483,"44470B2Energia horáriaRuralNão se aplicaNão se aplicaNão se aplicaPonta",Mercado_Receita!$N$2:$N$483)</f>
        <v>0</v>
      </c>
      <c r="K18" s="13">
        <f>SUMIF(Mercado_Receita!$T$2:$T$483,"44501B2Energia horáriaRuralNão se aplicaNão se aplicaNão se aplicaPonta",Mercado_Receita!$N$2:$N$483)</f>
        <v>0</v>
      </c>
      <c r="L18" s="13">
        <f>SUMIF(Mercado_Receita!$T$2:$T$483,"44531B2Energia horáriaRuralNão se aplicaNão se aplicaNão se aplicaPonta",Mercado_Receita!$N$2:$N$483)</f>
        <v>0</v>
      </c>
      <c r="M18" s="13">
        <f>SUMIF(Mercado_Receita!$T$2:$T$483,"44562B2Energia horáriaRuralNão se aplicaNão se aplicaNão se aplicaPonta",Mercado_Receita!$N$2:$N$483)</f>
        <v>0</v>
      </c>
      <c r="N18" s="13">
        <f>SUMIF(Mercado_Receita!$T$2:$T$483,"44593B2Energia horáriaRuralNão se aplicaNão se aplicaNão se aplicaPonta",Mercado_Receita!$N$2:$N$483)</f>
        <v>0</v>
      </c>
      <c r="O18" s="13">
        <f>SUMIF(Mercado_Receita!$T$2:$T$483,"44621B2Energia horáriaRuralNão se aplicaNão se aplicaNão se aplicaPonta",Mercado_Receita!$N$2:$N$483)</f>
        <v>0</v>
      </c>
      <c r="P18" s="13">
        <f>SUMIF(Mercado_Receita!$T$2:$T$483,"44652B2Energia horáriaRuralNão se aplicaNão se aplicaNão se aplicaPonta",Mercado_Receita!$N$2:$N$483)</f>
        <v>0</v>
      </c>
      <c r="Q18" s="13">
        <f>SUMIF(Mercado_Receita!$T$2:$T$483,"44682B2Energia horáriaRuralNão se aplicaNão se aplicaNão se aplicaPonta",Mercado_Receita!$N$2:$N$483)</f>
        <v>0</v>
      </c>
      <c r="R18" s="13">
        <f>SUMIF(Mercado_Receita!$T$2:$T$483,"44713B2Energia horáriaRuralNão se aplicaNão se aplicaNão se aplicaPonta",Mercado_Receita!$N$2:$N$483)</f>
        <v>0</v>
      </c>
      <c r="S18" s="13">
        <f>SUMIF(Mercado_Receita!$T$2:$T$483,"44743B2Energia horáriaRuralNão se aplicaNão se aplicaNão se aplicaPonta",Mercado_Receita!$N$2:$N$483)</f>
        <v>0</v>
      </c>
      <c r="T18" s="13">
        <f>SUMIF(Mercado_Receita!$T$2:$T$483,"44774B2Energia horáriaRuralNão se aplicaNão se aplicaNão se aplicaPonta",Mercado_Receita!$N$2:$N$483)</f>
        <v>0</v>
      </c>
      <c r="U18" s="13">
        <f t="shared" si="0"/>
        <v>0</v>
      </c>
      <c r="V18" s="13"/>
      <c r="W18" s="13"/>
    </row>
    <row r="19" spans="1:23" ht="11.25" customHeight="1" x14ac:dyDescent="0.3">
      <c r="A19" s="77"/>
      <c r="B19" s="77"/>
      <c r="C19" s="77"/>
      <c r="D19" s="77"/>
      <c r="E19" s="77"/>
      <c r="F19" s="77"/>
      <c r="G19" s="13" t="s">
        <v>91</v>
      </c>
      <c r="H19" s="13" t="s">
        <v>79</v>
      </c>
      <c r="I19" s="13">
        <f>SUMIF(Mercado_Receita!$T$2:$T$483,"44440B2Energia horáriaRuralNão se aplicaNão se aplicaNão se aplicaIntermediário",Mercado_Receita!$N$2:$N$483)</f>
        <v>0</v>
      </c>
      <c r="J19" s="13">
        <f>SUMIF(Mercado_Receita!$T$2:$T$483,"44470B2Energia horáriaRuralNão se aplicaNão se aplicaNão se aplicaIntermediário",Mercado_Receita!$N$2:$N$483)</f>
        <v>0</v>
      </c>
      <c r="K19" s="13">
        <f>SUMIF(Mercado_Receita!$T$2:$T$483,"44501B2Energia horáriaRuralNão se aplicaNão se aplicaNão se aplicaIntermediário",Mercado_Receita!$N$2:$N$483)</f>
        <v>0</v>
      </c>
      <c r="L19" s="13">
        <f>SUMIF(Mercado_Receita!$T$2:$T$483,"44531B2Energia horáriaRuralNão se aplicaNão se aplicaNão se aplicaIntermediário",Mercado_Receita!$N$2:$N$483)</f>
        <v>0</v>
      </c>
      <c r="M19" s="13">
        <f>SUMIF(Mercado_Receita!$T$2:$T$483,"44562B2Energia horáriaRuralNão se aplicaNão se aplicaNão se aplicaIntermediário",Mercado_Receita!$N$2:$N$483)</f>
        <v>0</v>
      </c>
      <c r="N19" s="13">
        <f>SUMIF(Mercado_Receita!$T$2:$T$483,"44593B2Energia horáriaRuralNão se aplicaNão se aplicaNão se aplicaIntermediário",Mercado_Receita!$N$2:$N$483)</f>
        <v>0</v>
      </c>
      <c r="O19" s="13">
        <f>SUMIF(Mercado_Receita!$T$2:$T$483,"44621B2Energia horáriaRuralNão se aplicaNão se aplicaNão se aplicaIntermediário",Mercado_Receita!$N$2:$N$483)</f>
        <v>0</v>
      </c>
      <c r="P19" s="13">
        <f>SUMIF(Mercado_Receita!$T$2:$T$483,"44652B2Energia horáriaRuralNão se aplicaNão se aplicaNão se aplicaIntermediário",Mercado_Receita!$N$2:$N$483)</f>
        <v>0</v>
      </c>
      <c r="Q19" s="13">
        <f>SUMIF(Mercado_Receita!$T$2:$T$483,"44682B2Energia horáriaRuralNão se aplicaNão se aplicaNão se aplicaIntermediário",Mercado_Receita!$N$2:$N$483)</f>
        <v>0</v>
      </c>
      <c r="R19" s="13">
        <f>SUMIF(Mercado_Receita!$T$2:$T$483,"44713B2Energia horáriaRuralNão se aplicaNão se aplicaNão se aplicaIntermediário",Mercado_Receita!$N$2:$N$483)</f>
        <v>0</v>
      </c>
      <c r="S19" s="13">
        <f>SUMIF(Mercado_Receita!$T$2:$T$483,"44743B2Energia horáriaRuralNão se aplicaNão se aplicaNão se aplicaIntermediário",Mercado_Receita!$N$2:$N$483)</f>
        <v>0</v>
      </c>
      <c r="T19" s="13">
        <f>SUMIF(Mercado_Receita!$T$2:$T$483,"44774B2Energia horáriaRuralNão se aplicaNão se aplicaNão se aplicaIntermediário",Mercado_Receita!$N$2:$N$483)</f>
        <v>0</v>
      </c>
      <c r="U19" s="13">
        <f t="shared" si="0"/>
        <v>0</v>
      </c>
      <c r="V19" s="13"/>
      <c r="W19" s="13"/>
    </row>
    <row r="20" spans="1:23" ht="11.25" customHeight="1" x14ac:dyDescent="0.3">
      <c r="A20" s="77"/>
      <c r="B20" s="77"/>
      <c r="C20" s="77"/>
      <c r="D20" s="77"/>
      <c r="E20" s="77"/>
      <c r="F20" s="77"/>
      <c r="G20" s="13" t="s">
        <v>81</v>
      </c>
      <c r="H20" s="13" t="s">
        <v>79</v>
      </c>
      <c r="I20" s="13">
        <f>SUMIF(Mercado_Receita!$T$2:$T$483,"44440B2Energia horáriaRuralNão se aplicaNão se aplicaNão se aplicaFora ponta",Mercado_Receita!$N$2:$N$483)</f>
        <v>0</v>
      </c>
      <c r="J20" s="13">
        <f>SUMIF(Mercado_Receita!$T$2:$T$483,"44470B2Energia horáriaRuralNão se aplicaNão se aplicaNão se aplicaFora ponta",Mercado_Receita!$N$2:$N$483)</f>
        <v>0</v>
      </c>
      <c r="K20" s="13">
        <f>SUMIF(Mercado_Receita!$T$2:$T$483,"44501B2Energia horáriaRuralNão se aplicaNão se aplicaNão se aplicaFora ponta",Mercado_Receita!$N$2:$N$483)</f>
        <v>0</v>
      </c>
      <c r="L20" s="13">
        <f>SUMIF(Mercado_Receita!$T$2:$T$483,"44531B2Energia horáriaRuralNão se aplicaNão se aplicaNão se aplicaFora ponta",Mercado_Receita!$N$2:$N$483)</f>
        <v>0</v>
      </c>
      <c r="M20" s="13">
        <f>SUMIF(Mercado_Receita!$T$2:$T$483,"44562B2Energia horáriaRuralNão se aplicaNão se aplicaNão se aplicaFora ponta",Mercado_Receita!$N$2:$N$483)</f>
        <v>0</v>
      </c>
      <c r="N20" s="13">
        <f>SUMIF(Mercado_Receita!$T$2:$T$483,"44593B2Energia horáriaRuralNão se aplicaNão se aplicaNão se aplicaFora ponta",Mercado_Receita!$N$2:$N$483)</f>
        <v>0</v>
      </c>
      <c r="O20" s="13">
        <f>SUMIF(Mercado_Receita!$T$2:$T$483,"44621B2Energia horáriaRuralNão se aplicaNão se aplicaNão se aplicaFora ponta",Mercado_Receita!$N$2:$N$483)</f>
        <v>0</v>
      </c>
      <c r="P20" s="13">
        <f>SUMIF(Mercado_Receita!$T$2:$T$483,"44652B2Energia horáriaRuralNão se aplicaNão se aplicaNão se aplicaFora ponta",Mercado_Receita!$N$2:$N$483)</f>
        <v>0</v>
      </c>
      <c r="Q20" s="13">
        <f>SUMIF(Mercado_Receita!$T$2:$T$483,"44682B2Energia horáriaRuralNão se aplicaNão se aplicaNão se aplicaFora ponta",Mercado_Receita!$N$2:$N$483)</f>
        <v>0</v>
      </c>
      <c r="R20" s="13">
        <f>SUMIF(Mercado_Receita!$T$2:$T$483,"44713B2Energia horáriaRuralNão se aplicaNão se aplicaNão se aplicaFora ponta",Mercado_Receita!$N$2:$N$483)</f>
        <v>0</v>
      </c>
      <c r="S20" s="13">
        <f>SUMIF(Mercado_Receita!$T$2:$T$483,"44743B2Energia horáriaRuralNão se aplicaNão se aplicaNão se aplicaFora ponta",Mercado_Receita!$N$2:$N$483)</f>
        <v>0</v>
      </c>
      <c r="T20" s="13">
        <f>SUMIF(Mercado_Receita!$T$2:$T$483,"44774B2Energia horáriaRuralNão se aplicaNão se aplicaNão se aplicaFora ponta",Mercado_Receita!$N$2:$N$483)</f>
        <v>0</v>
      </c>
      <c r="U20" s="13">
        <f t="shared" si="0"/>
        <v>0</v>
      </c>
      <c r="V20" s="13"/>
      <c r="W20" s="13"/>
    </row>
    <row r="21" spans="1:23" ht="11.25" customHeight="1" x14ac:dyDescent="0.3">
      <c r="A21" s="77"/>
      <c r="B21" s="12" t="s">
        <v>82</v>
      </c>
      <c r="C21" s="12" t="s">
        <v>41</v>
      </c>
      <c r="D21" s="12" t="s">
        <v>25</v>
      </c>
      <c r="E21" s="12" t="s">
        <v>25</v>
      </c>
      <c r="F21" s="12" t="s">
        <v>25</v>
      </c>
      <c r="G21" s="13" t="s">
        <v>83</v>
      </c>
      <c r="H21" s="13" t="s">
        <v>79</v>
      </c>
      <c r="I21" s="13">
        <f>SUMIF(Mercado_Receita!$T$2:$T$483,"44440B2Energia convencionalRuralNão se aplicaNão se aplicaNão se aplicaNão se aplica",Mercado_Receita!$N$2:$N$483)</f>
        <v>1282.4970000000001</v>
      </c>
      <c r="J21" s="13">
        <f>SUMIF(Mercado_Receita!$T$2:$T$483,"44470B2Energia convencionalRuralNão se aplicaNão se aplicaNão se aplicaNão se aplica",Mercado_Receita!$N$2:$N$483)</f>
        <v>1370.5039999999999</v>
      </c>
      <c r="K21" s="13">
        <f>SUMIF(Mercado_Receita!$T$2:$T$483,"44501B2Energia convencionalRuralNão se aplicaNão se aplicaNão se aplicaNão se aplica",Mercado_Receita!$N$2:$N$483)</f>
        <v>1348.1200000000001</v>
      </c>
      <c r="L21" s="13">
        <f>SUMIF(Mercado_Receita!$T$2:$T$483,"44531B2Energia convencionalRuralNão se aplicaNão se aplicaNão se aplicaNão se aplica",Mercado_Receita!$N$2:$N$483)</f>
        <v>1172.2400000000002</v>
      </c>
      <c r="M21" s="13">
        <f>SUMIF(Mercado_Receita!$T$2:$T$483,"44562B2Energia convencionalRuralNão se aplicaNão se aplicaNão se aplicaNão se aplica",Mercado_Receita!$N$2:$N$483)</f>
        <v>1272.0250000000001</v>
      </c>
      <c r="N21" s="13">
        <f>SUMIF(Mercado_Receita!$T$2:$T$483,"44593B2Energia convencionalRuralNão se aplicaNão se aplicaNão se aplicaNão se aplica",Mercado_Receita!$N$2:$N$483)</f>
        <v>1376.4470000000001</v>
      </c>
      <c r="O21" s="13">
        <f>SUMIF(Mercado_Receita!$T$2:$T$483,"44621B2Energia convencionalRuralNão se aplicaNão se aplicaNão se aplicaNão se aplica",Mercado_Receita!$N$2:$N$483)</f>
        <v>1317.8659999999998</v>
      </c>
      <c r="P21" s="13">
        <f>SUMIF(Mercado_Receita!$T$2:$T$483,"44652B2Energia convencionalRuralNão se aplicaNão se aplicaNão se aplicaNão se aplica",Mercado_Receita!$N$2:$N$483)</f>
        <v>1202.576</v>
      </c>
      <c r="Q21" s="13">
        <f>SUMIF(Mercado_Receita!$T$2:$T$483,"44682B2Energia convencionalRuralNão se aplicaNão se aplicaNão se aplicaNão se aplica",Mercado_Receita!$N$2:$N$483)</f>
        <v>1206.759</v>
      </c>
      <c r="R21" s="13">
        <f>SUMIF(Mercado_Receita!$T$2:$T$483,"44713B2Energia convencionalRuralNão se aplicaNão se aplicaNão se aplicaNão se aplica",Mercado_Receita!$N$2:$N$483)</f>
        <v>1219.0510000000002</v>
      </c>
      <c r="S21" s="13">
        <f>SUMIF(Mercado_Receita!$T$2:$T$483,"44743B2Energia convencionalRuralNão se aplicaNão se aplicaNão se aplicaNão se aplica",Mercado_Receita!$N$2:$N$483)</f>
        <v>1175.511</v>
      </c>
      <c r="T21" s="13">
        <f>SUMIF(Mercado_Receita!$T$2:$T$483,"44774B2Energia convencionalRuralNão se aplicaNão se aplicaNão se aplicaNão se aplica",Mercado_Receita!$N$2:$N$483)</f>
        <v>1175.511</v>
      </c>
      <c r="U21" s="13">
        <f t="shared" si="0"/>
        <v>15119.107000000002</v>
      </c>
      <c r="V21" s="13"/>
      <c r="W21" s="13"/>
    </row>
    <row r="22" spans="1:23" ht="11.25" customHeight="1" x14ac:dyDescent="0.3">
      <c r="A22" s="77"/>
      <c r="B22" s="76" t="s">
        <v>78</v>
      </c>
      <c r="C22" s="76" t="s">
        <v>41</v>
      </c>
      <c r="D22" s="76" t="s">
        <v>95</v>
      </c>
      <c r="E22" s="76" t="s">
        <v>25</v>
      </c>
      <c r="F22" s="76" t="s">
        <v>25</v>
      </c>
      <c r="G22" s="13" t="s">
        <v>80</v>
      </c>
      <c r="H22" s="13" t="s">
        <v>79</v>
      </c>
      <c r="I22" s="13">
        <f>SUMIF(Mercado_Receita!$T$2:$T$483,"44440B2Energia horáriaRuralCooperativa de eletrificação ruralNão se aplicaNão se aplicaPonta",Mercado_Receita!$N$2:$N$483)</f>
        <v>0</v>
      </c>
      <c r="J22" s="13">
        <f>SUMIF(Mercado_Receita!$T$2:$T$483,"44470B2Energia horáriaRuralCooperativa de eletrificação ruralNão se aplicaNão se aplicaPonta",Mercado_Receita!$N$2:$N$483)</f>
        <v>0</v>
      </c>
      <c r="K22" s="13">
        <f>SUMIF(Mercado_Receita!$T$2:$T$483,"44501B2Energia horáriaRuralCooperativa de eletrificação ruralNão se aplicaNão se aplicaPonta",Mercado_Receita!$N$2:$N$483)</f>
        <v>0</v>
      </c>
      <c r="L22" s="13">
        <f>SUMIF(Mercado_Receita!$T$2:$T$483,"44531B2Energia horáriaRuralCooperativa de eletrificação ruralNão se aplicaNão se aplicaPonta",Mercado_Receita!$N$2:$N$483)</f>
        <v>0</v>
      </c>
      <c r="M22" s="13">
        <f>SUMIF(Mercado_Receita!$T$2:$T$483,"44562B2Energia horáriaRuralCooperativa de eletrificação ruralNão se aplicaNão se aplicaPonta",Mercado_Receita!$N$2:$N$483)</f>
        <v>0</v>
      </c>
      <c r="N22" s="13">
        <f>SUMIF(Mercado_Receita!$T$2:$T$483,"44593B2Energia horáriaRuralCooperativa de eletrificação ruralNão se aplicaNão se aplicaPonta",Mercado_Receita!$N$2:$N$483)</f>
        <v>0</v>
      </c>
      <c r="O22" s="13">
        <f>SUMIF(Mercado_Receita!$T$2:$T$483,"44621B2Energia horáriaRuralCooperativa de eletrificação ruralNão se aplicaNão se aplicaPonta",Mercado_Receita!$N$2:$N$483)</f>
        <v>0</v>
      </c>
      <c r="P22" s="13">
        <f>SUMIF(Mercado_Receita!$T$2:$T$483,"44652B2Energia horáriaRuralCooperativa de eletrificação ruralNão se aplicaNão se aplicaPonta",Mercado_Receita!$N$2:$N$483)</f>
        <v>0</v>
      </c>
      <c r="Q22" s="13">
        <f>SUMIF(Mercado_Receita!$T$2:$T$483,"44682B2Energia horáriaRuralCooperativa de eletrificação ruralNão se aplicaNão se aplicaPonta",Mercado_Receita!$N$2:$N$483)</f>
        <v>0</v>
      </c>
      <c r="R22" s="13">
        <f>SUMIF(Mercado_Receita!$T$2:$T$483,"44713B2Energia horáriaRuralCooperativa de eletrificação ruralNão se aplicaNão se aplicaPonta",Mercado_Receita!$N$2:$N$483)</f>
        <v>0</v>
      </c>
      <c r="S22" s="13">
        <f>SUMIF(Mercado_Receita!$T$2:$T$483,"44743B2Energia horáriaRuralCooperativa de eletrificação ruralNão se aplicaNão se aplicaPonta",Mercado_Receita!$N$2:$N$483)</f>
        <v>0</v>
      </c>
      <c r="T22" s="13">
        <f>SUMIF(Mercado_Receita!$T$2:$T$483,"44774B2Energia horáriaRuralCooperativa de eletrificação ruralNão se aplicaNão se aplicaPonta",Mercado_Receita!$N$2:$N$483)</f>
        <v>0</v>
      </c>
      <c r="U22" s="13">
        <f t="shared" si="0"/>
        <v>0</v>
      </c>
      <c r="V22" s="13"/>
      <c r="W22" s="13"/>
    </row>
    <row r="23" spans="1:23" ht="11.25" customHeight="1" x14ac:dyDescent="0.3">
      <c r="A23" s="77"/>
      <c r="B23" s="77"/>
      <c r="C23" s="77"/>
      <c r="D23" s="77"/>
      <c r="E23" s="77"/>
      <c r="F23" s="77"/>
      <c r="G23" s="13" t="s">
        <v>91</v>
      </c>
      <c r="H23" s="13" t="s">
        <v>79</v>
      </c>
      <c r="I23" s="13">
        <f>SUMIF(Mercado_Receita!$T$2:$T$483,"44440B2Energia horáriaRuralCooperativa de eletrificação ruralNão se aplicaNão se aplicaIntermediário",Mercado_Receita!$N$2:$N$483)</f>
        <v>0</v>
      </c>
      <c r="J23" s="13">
        <f>SUMIF(Mercado_Receita!$T$2:$T$483,"44470B2Energia horáriaRuralCooperativa de eletrificação ruralNão se aplicaNão se aplicaIntermediário",Mercado_Receita!$N$2:$N$483)</f>
        <v>0</v>
      </c>
      <c r="K23" s="13">
        <f>SUMIF(Mercado_Receita!$T$2:$T$483,"44501B2Energia horáriaRuralCooperativa de eletrificação ruralNão se aplicaNão se aplicaIntermediário",Mercado_Receita!$N$2:$N$483)</f>
        <v>0</v>
      </c>
      <c r="L23" s="13">
        <f>SUMIF(Mercado_Receita!$T$2:$T$483,"44531B2Energia horáriaRuralCooperativa de eletrificação ruralNão se aplicaNão se aplicaIntermediário",Mercado_Receita!$N$2:$N$483)</f>
        <v>0</v>
      </c>
      <c r="M23" s="13">
        <f>SUMIF(Mercado_Receita!$T$2:$T$483,"44562B2Energia horáriaRuralCooperativa de eletrificação ruralNão se aplicaNão se aplicaIntermediário",Mercado_Receita!$N$2:$N$483)</f>
        <v>0</v>
      </c>
      <c r="N23" s="13">
        <f>SUMIF(Mercado_Receita!$T$2:$T$483,"44593B2Energia horáriaRuralCooperativa de eletrificação ruralNão se aplicaNão se aplicaIntermediário",Mercado_Receita!$N$2:$N$483)</f>
        <v>0</v>
      </c>
      <c r="O23" s="13">
        <f>SUMIF(Mercado_Receita!$T$2:$T$483,"44621B2Energia horáriaRuralCooperativa de eletrificação ruralNão se aplicaNão se aplicaIntermediário",Mercado_Receita!$N$2:$N$483)</f>
        <v>0</v>
      </c>
      <c r="P23" s="13">
        <f>SUMIF(Mercado_Receita!$T$2:$T$483,"44652B2Energia horáriaRuralCooperativa de eletrificação ruralNão se aplicaNão se aplicaIntermediário",Mercado_Receita!$N$2:$N$483)</f>
        <v>0</v>
      </c>
      <c r="Q23" s="13">
        <f>SUMIF(Mercado_Receita!$T$2:$T$483,"44682B2Energia horáriaRuralCooperativa de eletrificação ruralNão se aplicaNão se aplicaIntermediário",Mercado_Receita!$N$2:$N$483)</f>
        <v>0</v>
      </c>
      <c r="R23" s="13">
        <f>SUMIF(Mercado_Receita!$T$2:$T$483,"44713B2Energia horáriaRuralCooperativa de eletrificação ruralNão se aplicaNão se aplicaIntermediário",Mercado_Receita!$N$2:$N$483)</f>
        <v>0</v>
      </c>
      <c r="S23" s="13">
        <f>SUMIF(Mercado_Receita!$T$2:$T$483,"44743B2Energia horáriaRuralCooperativa de eletrificação ruralNão se aplicaNão se aplicaIntermediário",Mercado_Receita!$N$2:$N$483)</f>
        <v>0</v>
      </c>
      <c r="T23" s="13">
        <f>SUMIF(Mercado_Receita!$T$2:$T$483,"44774B2Energia horáriaRuralCooperativa de eletrificação ruralNão se aplicaNão se aplicaIntermediário",Mercado_Receita!$N$2:$N$483)</f>
        <v>0</v>
      </c>
      <c r="U23" s="13">
        <f t="shared" si="0"/>
        <v>0</v>
      </c>
      <c r="V23" s="13"/>
      <c r="W23" s="13"/>
    </row>
    <row r="24" spans="1:23" ht="11.25" customHeight="1" x14ac:dyDescent="0.3">
      <c r="A24" s="77"/>
      <c r="B24" s="77"/>
      <c r="C24" s="77"/>
      <c r="D24" s="77"/>
      <c r="E24" s="77"/>
      <c r="F24" s="77"/>
      <c r="G24" s="13" t="s">
        <v>81</v>
      </c>
      <c r="H24" s="13" t="s">
        <v>79</v>
      </c>
      <c r="I24" s="13">
        <f>SUMIF(Mercado_Receita!$T$2:$T$483,"44440B2Energia horáriaRuralCooperativa de eletrificação ruralNão se aplicaNão se aplicaFora ponta",Mercado_Receita!$N$2:$N$483)</f>
        <v>0</v>
      </c>
      <c r="J24" s="13">
        <f>SUMIF(Mercado_Receita!$T$2:$T$483,"44470B2Energia horáriaRuralCooperativa de eletrificação ruralNão se aplicaNão se aplicaFora ponta",Mercado_Receita!$N$2:$N$483)</f>
        <v>0</v>
      </c>
      <c r="K24" s="13">
        <f>SUMIF(Mercado_Receita!$T$2:$T$483,"44501B2Energia horáriaRuralCooperativa de eletrificação ruralNão se aplicaNão se aplicaFora ponta",Mercado_Receita!$N$2:$N$483)</f>
        <v>0</v>
      </c>
      <c r="L24" s="13">
        <f>SUMIF(Mercado_Receita!$T$2:$T$483,"44531B2Energia horáriaRuralCooperativa de eletrificação ruralNão se aplicaNão se aplicaFora ponta",Mercado_Receita!$N$2:$N$483)</f>
        <v>0</v>
      </c>
      <c r="M24" s="13">
        <f>SUMIF(Mercado_Receita!$T$2:$T$483,"44562B2Energia horáriaRuralCooperativa de eletrificação ruralNão se aplicaNão se aplicaFora ponta",Mercado_Receita!$N$2:$N$483)</f>
        <v>0</v>
      </c>
      <c r="N24" s="13">
        <f>SUMIF(Mercado_Receita!$T$2:$T$483,"44593B2Energia horáriaRuralCooperativa de eletrificação ruralNão se aplicaNão se aplicaFora ponta",Mercado_Receita!$N$2:$N$483)</f>
        <v>0</v>
      </c>
      <c r="O24" s="13">
        <f>SUMIF(Mercado_Receita!$T$2:$T$483,"44621B2Energia horáriaRuralCooperativa de eletrificação ruralNão se aplicaNão se aplicaFora ponta",Mercado_Receita!$N$2:$N$483)</f>
        <v>0</v>
      </c>
      <c r="P24" s="13">
        <f>SUMIF(Mercado_Receita!$T$2:$T$483,"44652B2Energia horáriaRuralCooperativa de eletrificação ruralNão se aplicaNão se aplicaFora ponta",Mercado_Receita!$N$2:$N$483)</f>
        <v>0</v>
      </c>
      <c r="Q24" s="13">
        <f>SUMIF(Mercado_Receita!$T$2:$T$483,"44682B2Energia horáriaRuralCooperativa de eletrificação ruralNão se aplicaNão se aplicaFora ponta",Mercado_Receita!$N$2:$N$483)</f>
        <v>0</v>
      </c>
      <c r="R24" s="13">
        <f>SUMIF(Mercado_Receita!$T$2:$T$483,"44713B2Energia horáriaRuralCooperativa de eletrificação ruralNão se aplicaNão se aplicaFora ponta",Mercado_Receita!$N$2:$N$483)</f>
        <v>0</v>
      </c>
      <c r="S24" s="13">
        <f>SUMIF(Mercado_Receita!$T$2:$T$483,"44743B2Energia horáriaRuralCooperativa de eletrificação ruralNão se aplicaNão se aplicaFora ponta",Mercado_Receita!$N$2:$N$483)</f>
        <v>0</v>
      </c>
      <c r="T24" s="13">
        <f>SUMIF(Mercado_Receita!$T$2:$T$483,"44774B2Energia horáriaRuralCooperativa de eletrificação ruralNão se aplicaNão se aplicaFora ponta",Mercado_Receita!$N$2:$N$483)</f>
        <v>0</v>
      </c>
      <c r="U24" s="13">
        <f t="shared" si="0"/>
        <v>0</v>
      </c>
      <c r="V24" s="13"/>
      <c r="W24" s="13"/>
    </row>
    <row r="25" spans="1:23" ht="11.25" customHeight="1" x14ac:dyDescent="0.3">
      <c r="A25" s="77"/>
      <c r="B25" s="12" t="s">
        <v>82</v>
      </c>
      <c r="C25" s="12" t="s">
        <v>41</v>
      </c>
      <c r="D25" s="12" t="s">
        <v>95</v>
      </c>
      <c r="E25" s="12" t="s">
        <v>25</v>
      </c>
      <c r="F25" s="12" t="s">
        <v>25</v>
      </c>
      <c r="G25" s="13" t="s">
        <v>83</v>
      </c>
      <c r="H25" s="13" t="s">
        <v>79</v>
      </c>
      <c r="I25" s="13">
        <f>SUMIF(Mercado_Receita!$T$2:$T$483,"44440B2Energia convencionalRuralCooperativa de eletrificação ruralNão se aplicaNão se aplicaNão se aplica",Mercado_Receita!$N$2:$N$483)</f>
        <v>0</v>
      </c>
      <c r="J25" s="13">
        <f>SUMIF(Mercado_Receita!$T$2:$T$483,"44470B2Energia convencionalRuralCooperativa de eletrificação ruralNão se aplicaNão se aplicaNão se aplica",Mercado_Receita!$N$2:$N$483)</f>
        <v>0</v>
      </c>
      <c r="K25" s="13">
        <f>SUMIF(Mercado_Receita!$T$2:$T$483,"44501B2Energia convencionalRuralCooperativa de eletrificação ruralNão se aplicaNão se aplicaNão se aplica",Mercado_Receita!$N$2:$N$483)</f>
        <v>0</v>
      </c>
      <c r="L25" s="13">
        <f>SUMIF(Mercado_Receita!$T$2:$T$483,"44531B2Energia convencionalRuralCooperativa de eletrificação ruralNão se aplicaNão se aplicaNão se aplica",Mercado_Receita!$N$2:$N$483)</f>
        <v>0</v>
      </c>
      <c r="M25" s="13">
        <f>SUMIF(Mercado_Receita!$T$2:$T$483,"44562B2Energia convencionalRuralCooperativa de eletrificação ruralNão se aplicaNão se aplicaNão se aplica",Mercado_Receita!$N$2:$N$483)</f>
        <v>0</v>
      </c>
      <c r="N25" s="13">
        <f>SUMIF(Mercado_Receita!$T$2:$T$483,"44593B2Energia convencionalRuralCooperativa de eletrificação ruralNão se aplicaNão se aplicaNão se aplica",Mercado_Receita!$N$2:$N$483)</f>
        <v>0</v>
      </c>
      <c r="O25" s="13">
        <f>SUMIF(Mercado_Receita!$T$2:$T$483,"44621B2Energia convencionalRuralCooperativa de eletrificação ruralNão se aplicaNão se aplicaNão se aplica",Mercado_Receita!$N$2:$N$483)</f>
        <v>0</v>
      </c>
      <c r="P25" s="13">
        <f>SUMIF(Mercado_Receita!$T$2:$T$483,"44652B2Energia convencionalRuralCooperativa de eletrificação ruralNão se aplicaNão se aplicaNão se aplica",Mercado_Receita!$N$2:$N$483)</f>
        <v>0</v>
      </c>
      <c r="Q25" s="13">
        <f>SUMIF(Mercado_Receita!$T$2:$T$483,"44682B2Energia convencionalRuralCooperativa de eletrificação ruralNão se aplicaNão se aplicaNão se aplica",Mercado_Receita!$N$2:$N$483)</f>
        <v>0</v>
      </c>
      <c r="R25" s="13">
        <f>SUMIF(Mercado_Receita!$T$2:$T$483,"44713B2Energia convencionalRuralCooperativa de eletrificação ruralNão se aplicaNão se aplicaNão se aplica",Mercado_Receita!$N$2:$N$483)</f>
        <v>0</v>
      </c>
      <c r="S25" s="13">
        <f>SUMIF(Mercado_Receita!$T$2:$T$483,"44743B2Energia convencionalRuralCooperativa de eletrificação ruralNão se aplicaNão se aplicaNão se aplica",Mercado_Receita!$N$2:$N$483)</f>
        <v>0</v>
      </c>
      <c r="T25" s="13">
        <f>SUMIF(Mercado_Receita!$T$2:$T$483,"44774B2Energia convencionalRuralCooperativa de eletrificação ruralNão se aplicaNão se aplicaNão se aplica",Mercado_Receita!$N$2:$N$483)</f>
        <v>0</v>
      </c>
      <c r="U25" s="13">
        <f t="shared" si="0"/>
        <v>0</v>
      </c>
      <c r="V25" s="13"/>
      <c r="W25" s="13"/>
    </row>
    <row r="26" spans="1:23" ht="11.25" customHeight="1" x14ac:dyDescent="0.3">
      <c r="A26" s="77"/>
      <c r="B26" s="76" t="s">
        <v>78</v>
      </c>
      <c r="C26" s="76" t="s">
        <v>41</v>
      </c>
      <c r="D26" s="76" t="s">
        <v>96</v>
      </c>
      <c r="E26" s="76" t="s">
        <v>25</v>
      </c>
      <c r="F26" s="76" t="s">
        <v>25</v>
      </c>
      <c r="G26" s="13" t="s">
        <v>80</v>
      </c>
      <c r="H26" s="13" t="s">
        <v>79</v>
      </c>
      <c r="I26" s="13">
        <f>SUMIF(Mercado_Receita!$T$2:$T$483,"44440B2Energia horáriaRuralServiço público de irrigação ruralNão se aplicaNão se aplicaPonta",Mercado_Receita!$N$2:$N$483)</f>
        <v>0</v>
      </c>
      <c r="J26" s="13">
        <f>SUMIF(Mercado_Receita!$T$2:$T$483,"44470B2Energia horáriaRuralServiço público de irrigação ruralNão se aplicaNão se aplicaPonta",Mercado_Receita!$N$2:$N$483)</f>
        <v>0</v>
      </c>
      <c r="K26" s="13">
        <f>SUMIF(Mercado_Receita!$T$2:$T$483,"44501B2Energia horáriaRuralServiço público de irrigação ruralNão se aplicaNão se aplicaPonta",Mercado_Receita!$N$2:$N$483)</f>
        <v>0</v>
      </c>
      <c r="L26" s="13">
        <f>SUMIF(Mercado_Receita!$T$2:$T$483,"44531B2Energia horáriaRuralServiço público de irrigação ruralNão se aplicaNão se aplicaPonta",Mercado_Receita!$N$2:$N$483)</f>
        <v>0</v>
      </c>
      <c r="M26" s="13">
        <f>SUMIF(Mercado_Receita!$T$2:$T$483,"44562B2Energia horáriaRuralServiço público de irrigação ruralNão se aplicaNão se aplicaPonta",Mercado_Receita!$N$2:$N$483)</f>
        <v>0</v>
      </c>
      <c r="N26" s="13">
        <f>SUMIF(Mercado_Receita!$T$2:$T$483,"44593B2Energia horáriaRuralServiço público de irrigação ruralNão se aplicaNão se aplicaPonta",Mercado_Receita!$N$2:$N$483)</f>
        <v>0</v>
      </c>
      <c r="O26" s="13">
        <f>SUMIF(Mercado_Receita!$T$2:$T$483,"44621B2Energia horáriaRuralServiço público de irrigação ruralNão se aplicaNão se aplicaPonta",Mercado_Receita!$N$2:$N$483)</f>
        <v>0</v>
      </c>
      <c r="P26" s="13">
        <f>SUMIF(Mercado_Receita!$T$2:$T$483,"44652B2Energia horáriaRuralServiço público de irrigação ruralNão se aplicaNão se aplicaPonta",Mercado_Receita!$N$2:$N$483)</f>
        <v>0</v>
      </c>
      <c r="Q26" s="13">
        <f>SUMIF(Mercado_Receita!$T$2:$T$483,"44682B2Energia horáriaRuralServiço público de irrigação ruralNão se aplicaNão se aplicaPonta",Mercado_Receita!$N$2:$N$483)</f>
        <v>0</v>
      </c>
      <c r="R26" s="13">
        <f>SUMIF(Mercado_Receita!$T$2:$T$483,"44713B2Energia horáriaRuralServiço público de irrigação ruralNão se aplicaNão se aplicaPonta",Mercado_Receita!$N$2:$N$483)</f>
        <v>0</v>
      </c>
      <c r="S26" s="13">
        <f>SUMIF(Mercado_Receita!$T$2:$T$483,"44743B2Energia horáriaRuralServiço público de irrigação ruralNão se aplicaNão se aplicaPonta",Mercado_Receita!$N$2:$N$483)</f>
        <v>0</v>
      </c>
      <c r="T26" s="13">
        <f>SUMIF(Mercado_Receita!$T$2:$T$483,"44774B2Energia horáriaRuralServiço público de irrigação ruralNão se aplicaNão se aplicaPonta",Mercado_Receita!$N$2:$N$483)</f>
        <v>0</v>
      </c>
      <c r="U26" s="13">
        <f t="shared" si="0"/>
        <v>0</v>
      </c>
      <c r="V26" s="13"/>
      <c r="W26" s="13"/>
    </row>
    <row r="27" spans="1:23" ht="11.25" customHeight="1" x14ac:dyDescent="0.3">
      <c r="A27" s="77"/>
      <c r="B27" s="77"/>
      <c r="C27" s="77"/>
      <c r="D27" s="77"/>
      <c r="E27" s="77"/>
      <c r="F27" s="77"/>
      <c r="G27" s="13" t="s">
        <v>91</v>
      </c>
      <c r="H27" s="13" t="s">
        <v>79</v>
      </c>
      <c r="I27" s="13">
        <f>SUMIF(Mercado_Receita!$T$2:$T$483,"44440B2Energia horáriaRuralServiço público de irrigação ruralNão se aplicaNão se aplicaIntermediário",Mercado_Receita!$N$2:$N$483)</f>
        <v>0</v>
      </c>
      <c r="J27" s="13">
        <f>SUMIF(Mercado_Receita!$T$2:$T$483,"44470B2Energia horáriaRuralServiço público de irrigação ruralNão se aplicaNão se aplicaIntermediário",Mercado_Receita!$N$2:$N$483)</f>
        <v>0</v>
      </c>
      <c r="K27" s="13">
        <f>SUMIF(Mercado_Receita!$T$2:$T$483,"44501B2Energia horáriaRuralServiço público de irrigação ruralNão se aplicaNão se aplicaIntermediário",Mercado_Receita!$N$2:$N$483)</f>
        <v>0</v>
      </c>
      <c r="L27" s="13">
        <f>SUMIF(Mercado_Receita!$T$2:$T$483,"44531B2Energia horáriaRuralServiço público de irrigação ruralNão se aplicaNão se aplicaIntermediário",Mercado_Receita!$N$2:$N$483)</f>
        <v>0</v>
      </c>
      <c r="M27" s="13">
        <f>SUMIF(Mercado_Receita!$T$2:$T$483,"44562B2Energia horáriaRuralServiço público de irrigação ruralNão se aplicaNão se aplicaIntermediário",Mercado_Receita!$N$2:$N$483)</f>
        <v>0</v>
      </c>
      <c r="N27" s="13">
        <f>SUMIF(Mercado_Receita!$T$2:$T$483,"44593B2Energia horáriaRuralServiço público de irrigação ruralNão se aplicaNão se aplicaIntermediário",Mercado_Receita!$N$2:$N$483)</f>
        <v>0</v>
      </c>
      <c r="O27" s="13">
        <f>SUMIF(Mercado_Receita!$T$2:$T$483,"44621B2Energia horáriaRuralServiço público de irrigação ruralNão se aplicaNão se aplicaIntermediário",Mercado_Receita!$N$2:$N$483)</f>
        <v>0</v>
      </c>
      <c r="P27" s="13">
        <f>SUMIF(Mercado_Receita!$T$2:$T$483,"44652B2Energia horáriaRuralServiço público de irrigação ruralNão se aplicaNão se aplicaIntermediário",Mercado_Receita!$N$2:$N$483)</f>
        <v>0</v>
      </c>
      <c r="Q27" s="13">
        <f>SUMIF(Mercado_Receita!$T$2:$T$483,"44682B2Energia horáriaRuralServiço público de irrigação ruralNão se aplicaNão se aplicaIntermediário",Mercado_Receita!$N$2:$N$483)</f>
        <v>0</v>
      </c>
      <c r="R27" s="13">
        <f>SUMIF(Mercado_Receita!$T$2:$T$483,"44713B2Energia horáriaRuralServiço público de irrigação ruralNão se aplicaNão se aplicaIntermediário",Mercado_Receita!$N$2:$N$483)</f>
        <v>0</v>
      </c>
      <c r="S27" s="13">
        <f>SUMIF(Mercado_Receita!$T$2:$T$483,"44743B2Energia horáriaRuralServiço público de irrigação ruralNão se aplicaNão se aplicaIntermediário",Mercado_Receita!$N$2:$N$483)</f>
        <v>0</v>
      </c>
      <c r="T27" s="13">
        <f>SUMIF(Mercado_Receita!$T$2:$T$483,"44774B2Energia horáriaRuralServiço público de irrigação ruralNão se aplicaNão se aplicaIntermediário",Mercado_Receita!$N$2:$N$483)</f>
        <v>0</v>
      </c>
      <c r="U27" s="13">
        <f t="shared" si="0"/>
        <v>0</v>
      </c>
      <c r="V27" s="13"/>
      <c r="W27" s="13"/>
    </row>
    <row r="28" spans="1:23" ht="11.25" customHeight="1" x14ac:dyDescent="0.3">
      <c r="A28" s="77"/>
      <c r="B28" s="77"/>
      <c r="C28" s="77"/>
      <c r="D28" s="77"/>
      <c r="E28" s="77"/>
      <c r="F28" s="77"/>
      <c r="G28" s="13" t="s">
        <v>81</v>
      </c>
      <c r="H28" s="13" t="s">
        <v>79</v>
      </c>
      <c r="I28" s="13">
        <f>SUMIF(Mercado_Receita!$T$2:$T$483,"44440B2Energia horáriaRuralServiço público de irrigação ruralNão se aplicaNão se aplicaFora ponta",Mercado_Receita!$N$2:$N$483)</f>
        <v>0</v>
      </c>
      <c r="J28" s="13">
        <f>SUMIF(Mercado_Receita!$T$2:$T$483,"44470B2Energia horáriaRuralServiço público de irrigação ruralNão se aplicaNão se aplicaFora ponta",Mercado_Receita!$N$2:$N$483)</f>
        <v>0</v>
      </c>
      <c r="K28" s="13">
        <f>SUMIF(Mercado_Receita!$T$2:$T$483,"44501B2Energia horáriaRuralServiço público de irrigação ruralNão se aplicaNão se aplicaFora ponta",Mercado_Receita!$N$2:$N$483)</f>
        <v>0</v>
      </c>
      <c r="L28" s="13">
        <f>SUMIF(Mercado_Receita!$T$2:$T$483,"44531B2Energia horáriaRuralServiço público de irrigação ruralNão se aplicaNão se aplicaFora ponta",Mercado_Receita!$N$2:$N$483)</f>
        <v>0</v>
      </c>
      <c r="M28" s="13">
        <f>SUMIF(Mercado_Receita!$T$2:$T$483,"44562B2Energia horáriaRuralServiço público de irrigação ruralNão se aplicaNão se aplicaFora ponta",Mercado_Receita!$N$2:$N$483)</f>
        <v>0</v>
      </c>
      <c r="N28" s="13">
        <f>SUMIF(Mercado_Receita!$T$2:$T$483,"44593B2Energia horáriaRuralServiço público de irrigação ruralNão se aplicaNão se aplicaFora ponta",Mercado_Receita!$N$2:$N$483)</f>
        <v>0</v>
      </c>
      <c r="O28" s="13">
        <f>SUMIF(Mercado_Receita!$T$2:$T$483,"44621B2Energia horáriaRuralServiço público de irrigação ruralNão se aplicaNão se aplicaFora ponta",Mercado_Receita!$N$2:$N$483)</f>
        <v>0</v>
      </c>
      <c r="P28" s="13">
        <f>SUMIF(Mercado_Receita!$T$2:$T$483,"44652B2Energia horáriaRuralServiço público de irrigação ruralNão se aplicaNão se aplicaFora ponta",Mercado_Receita!$N$2:$N$483)</f>
        <v>0</v>
      </c>
      <c r="Q28" s="13">
        <f>SUMIF(Mercado_Receita!$T$2:$T$483,"44682B2Energia horáriaRuralServiço público de irrigação ruralNão se aplicaNão se aplicaFora ponta",Mercado_Receita!$N$2:$N$483)</f>
        <v>0</v>
      </c>
      <c r="R28" s="13">
        <f>SUMIF(Mercado_Receita!$T$2:$T$483,"44713B2Energia horáriaRuralServiço público de irrigação ruralNão se aplicaNão se aplicaFora ponta",Mercado_Receita!$N$2:$N$483)</f>
        <v>0</v>
      </c>
      <c r="S28" s="13">
        <f>SUMIF(Mercado_Receita!$T$2:$T$483,"44743B2Energia horáriaRuralServiço público de irrigação ruralNão se aplicaNão se aplicaFora ponta",Mercado_Receita!$N$2:$N$483)</f>
        <v>0</v>
      </c>
      <c r="T28" s="13">
        <f>SUMIF(Mercado_Receita!$T$2:$T$483,"44774B2Energia horáriaRuralServiço público de irrigação ruralNão se aplicaNão se aplicaFora ponta",Mercado_Receita!$N$2:$N$483)</f>
        <v>0</v>
      </c>
      <c r="U28" s="13">
        <f t="shared" si="0"/>
        <v>0</v>
      </c>
      <c r="V28" s="13"/>
      <c r="W28" s="13"/>
    </row>
    <row r="29" spans="1:23" ht="11.25" customHeight="1" x14ac:dyDescent="0.3">
      <c r="A29" s="77"/>
      <c r="B29" s="12" t="s">
        <v>82</v>
      </c>
      <c r="C29" s="12" t="s">
        <v>41</v>
      </c>
      <c r="D29" s="12" t="s">
        <v>96</v>
      </c>
      <c r="E29" s="12" t="s">
        <v>25</v>
      </c>
      <c r="F29" s="12" t="s">
        <v>25</v>
      </c>
      <c r="G29" s="13" t="s">
        <v>83</v>
      </c>
      <c r="H29" s="13" t="s">
        <v>79</v>
      </c>
      <c r="I29" s="13">
        <f>SUMIF(Mercado_Receita!$T$2:$T$483,"44440B2Energia convencionalRuralServiço público de irrigação ruralNão se aplicaNão se aplicaNão se aplica",Mercado_Receita!$N$2:$N$483)</f>
        <v>0</v>
      </c>
      <c r="J29" s="13">
        <f>SUMIF(Mercado_Receita!$T$2:$T$483,"44470B2Energia convencionalRuralServiço público de irrigação ruralNão se aplicaNão se aplicaNão se aplica",Mercado_Receita!$N$2:$N$483)</f>
        <v>0</v>
      </c>
      <c r="K29" s="13">
        <f>SUMIF(Mercado_Receita!$T$2:$T$483,"44501B2Energia convencionalRuralServiço público de irrigação ruralNão se aplicaNão se aplicaNão se aplica",Mercado_Receita!$N$2:$N$483)</f>
        <v>0</v>
      </c>
      <c r="L29" s="13">
        <f>SUMIF(Mercado_Receita!$T$2:$T$483,"44531B2Energia convencionalRuralServiço público de irrigação ruralNão se aplicaNão se aplicaNão se aplica",Mercado_Receita!$N$2:$N$483)</f>
        <v>0</v>
      </c>
      <c r="M29" s="13">
        <f>SUMIF(Mercado_Receita!$T$2:$T$483,"44562B2Energia convencionalRuralServiço público de irrigação ruralNão se aplicaNão se aplicaNão se aplica",Mercado_Receita!$N$2:$N$483)</f>
        <v>0</v>
      </c>
      <c r="N29" s="13">
        <f>SUMIF(Mercado_Receita!$T$2:$T$483,"44593B2Energia convencionalRuralServiço público de irrigação ruralNão se aplicaNão se aplicaNão se aplica",Mercado_Receita!$N$2:$N$483)</f>
        <v>0</v>
      </c>
      <c r="O29" s="13">
        <f>SUMIF(Mercado_Receita!$T$2:$T$483,"44621B2Energia convencionalRuralServiço público de irrigação ruralNão se aplicaNão se aplicaNão se aplica",Mercado_Receita!$N$2:$N$483)</f>
        <v>0</v>
      </c>
      <c r="P29" s="13">
        <f>SUMIF(Mercado_Receita!$T$2:$T$483,"44652B2Energia convencionalRuralServiço público de irrigação ruralNão se aplicaNão se aplicaNão se aplica",Mercado_Receita!$N$2:$N$483)</f>
        <v>0</v>
      </c>
      <c r="Q29" s="13">
        <f>SUMIF(Mercado_Receita!$T$2:$T$483,"44682B2Energia convencionalRuralServiço público de irrigação ruralNão se aplicaNão se aplicaNão se aplica",Mercado_Receita!$N$2:$N$483)</f>
        <v>0</v>
      </c>
      <c r="R29" s="13">
        <f>SUMIF(Mercado_Receita!$T$2:$T$483,"44713B2Energia convencionalRuralServiço público de irrigação ruralNão se aplicaNão se aplicaNão se aplica",Mercado_Receita!$N$2:$N$483)</f>
        <v>0</v>
      </c>
      <c r="S29" s="13">
        <f>SUMIF(Mercado_Receita!$T$2:$T$483,"44743B2Energia convencionalRuralServiço público de irrigação ruralNão se aplicaNão se aplicaNão se aplica",Mercado_Receita!$N$2:$N$483)</f>
        <v>0</v>
      </c>
      <c r="T29" s="13">
        <f>SUMIF(Mercado_Receita!$T$2:$T$483,"44774B2Energia convencionalRuralServiço público de irrigação ruralNão se aplicaNão se aplicaNão se aplica",Mercado_Receita!$N$2:$N$483)</f>
        <v>0</v>
      </c>
      <c r="U29" s="13">
        <f t="shared" si="0"/>
        <v>0</v>
      </c>
      <c r="V29" s="13"/>
      <c r="W29" s="13"/>
    </row>
    <row r="30" spans="1:23" ht="11.25" customHeight="1" x14ac:dyDescent="0.3">
      <c r="A30" s="77"/>
      <c r="B30" s="76" t="s">
        <v>93</v>
      </c>
      <c r="C30" s="76" t="s">
        <v>41</v>
      </c>
      <c r="D30" s="12" t="s">
        <v>25</v>
      </c>
      <c r="E30" s="12" t="s">
        <v>25</v>
      </c>
      <c r="F30" s="12" t="s">
        <v>25</v>
      </c>
      <c r="G30" s="13" t="s">
        <v>83</v>
      </c>
      <c r="H30" s="13" t="s">
        <v>79</v>
      </c>
      <c r="I30" s="13">
        <f>SUMIF(Mercado_Receita!$T$2:$T$483,"44440B2Energia convencional pré-pagamentoRuralNão se aplicaNão se aplicaNão se aplicaNão se aplica",Mercado_Receita!$N$2:$N$483)</f>
        <v>0</v>
      </c>
      <c r="J30" s="13">
        <f>SUMIF(Mercado_Receita!$T$2:$T$483,"44470B2Energia convencional pré-pagamentoRuralNão se aplicaNão se aplicaNão se aplicaNão se aplica",Mercado_Receita!$N$2:$N$483)</f>
        <v>0</v>
      </c>
      <c r="K30" s="13">
        <f>SUMIF(Mercado_Receita!$T$2:$T$483,"44501B2Energia convencional pré-pagamentoRuralNão se aplicaNão se aplicaNão se aplicaNão se aplica",Mercado_Receita!$N$2:$N$483)</f>
        <v>0</v>
      </c>
      <c r="L30" s="13">
        <f>SUMIF(Mercado_Receita!$T$2:$T$483,"44531B2Energia convencional pré-pagamentoRuralNão se aplicaNão se aplicaNão se aplicaNão se aplica",Mercado_Receita!$N$2:$N$483)</f>
        <v>0</v>
      </c>
      <c r="M30" s="13">
        <f>SUMIF(Mercado_Receita!$T$2:$T$483,"44562B2Energia convencional pré-pagamentoRuralNão se aplicaNão se aplicaNão se aplicaNão se aplica",Mercado_Receita!$N$2:$N$483)</f>
        <v>0</v>
      </c>
      <c r="N30" s="13">
        <f>SUMIF(Mercado_Receita!$T$2:$T$483,"44593B2Energia convencional pré-pagamentoRuralNão se aplicaNão se aplicaNão se aplicaNão se aplica",Mercado_Receita!$N$2:$N$483)</f>
        <v>0</v>
      </c>
      <c r="O30" s="13">
        <f>SUMIF(Mercado_Receita!$T$2:$T$483,"44621B2Energia convencional pré-pagamentoRuralNão se aplicaNão se aplicaNão se aplicaNão se aplica",Mercado_Receita!$N$2:$N$483)</f>
        <v>0</v>
      </c>
      <c r="P30" s="13">
        <f>SUMIF(Mercado_Receita!$T$2:$T$483,"44652B2Energia convencional pré-pagamentoRuralNão se aplicaNão se aplicaNão se aplicaNão se aplica",Mercado_Receita!$N$2:$N$483)</f>
        <v>0</v>
      </c>
      <c r="Q30" s="13">
        <f>SUMIF(Mercado_Receita!$T$2:$T$483,"44682B2Energia convencional pré-pagamentoRuralNão se aplicaNão se aplicaNão se aplicaNão se aplica",Mercado_Receita!$N$2:$N$483)</f>
        <v>0</v>
      </c>
      <c r="R30" s="13">
        <f>SUMIF(Mercado_Receita!$T$2:$T$483,"44713B2Energia convencional pré-pagamentoRuralNão se aplicaNão se aplicaNão se aplicaNão se aplica",Mercado_Receita!$N$2:$N$483)</f>
        <v>0</v>
      </c>
      <c r="S30" s="13">
        <f>SUMIF(Mercado_Receita!$T$2:$T$483,"44743B2Energia convencional pré-pagamentoRuralNão se aplicaNão se aplicaNão se aplicaNão se aplica",Mercado_Receita!$N$2:$N$483)</f>
        <v>0</v>
      </c>
      <c r="T30" s="13">
        <f>SUMIF(Mercado_Receita!$T$2:$T$483,"44774B2Energia convencional pré-pagamentoRuralNão se aplicaNão se aplicaNão se aplicaNão se aplica",Mercado_Receita!$N$2:$N$483)</f>
        <v>0</v>
      </c>
      <c r="U30" s="13">
        <f t="shared" si="0"/>
        <v>0</v>
      </c>
      <c r="V30" s="13"/>
      <c r="W30" s="13"/>
    </row>
    <row r="31" spans="1:23" ht="11.25" customHeight="1" x14ac:dyDescent="0.3">
      <c r="A31" s="77"/>
      <c r="B31" s="77"/>
      <c r="C31" s="77"/>
      <c r="D31" s="12" t="s">
        <v>95</v>
      </c>
      <c r="E31" s="12" t="s">
        <v>25</v>
      </c>
      <c r="F31" s="12" t="s">
        <v>25</v>
      </c>
      <c r="G31" s="13" t="s">
        <v>83</v>
      </c>
      <c r="H31" s="13" t="s">
        <v>79</v>
      </c>
      <c r="I31" s="13">
        <f>SUMIF(Mercado_Receita!$T$2:$T$483,"44440B2Energia convencional pré-pagamentoRuralCooperativa de eletrificação ruralNão se aplicaNão se aplicaNão se aplica",Mercado_Receita!$N$2:$N$483)</f>
        <v>0</v>
      </c>
      <c r="J31" s="13">
        <f>SUMIF(Mercado_Receita!$T$2:$T$483,"44470B2Energia convencional pré-pagamentoRuralCooperativa de eletrificação ruralNão se aplicaNão se aplicaNão se aplica",Mercado_Receita!$N$2:$N$483)</f>
        <v>0</v>
      </c>
      <c r="K31" s="13">
        <f>SUMIF(Mercado_Receita!$T$2:$T$483,"44501B2Energia convencional pré-pagamentoRuralCooperativa de eletrificação ruralNão se aplicaNão se aplicaNão se aplica",Mercado_Receita!$N$2:$N$483)</f>
        <v>0</v>
      </c>
      <c r="L31" s="13">
        <f>SUMIF(Mercado_Receita!$T$2:$T$483,"44531B2Energia convencional pré-pagamentoRuralCooperativa de eletrificação ruralNão se aplicaNão se aplicaNão se aplica",Mercado_Receita!$N$2:$N$483)</f>
        <v>0</v>
      </c>
      <c r="M31" s="13">
        <f>SUMIF(Mercado_Receita!$T$2:$T$483,"44562B2Energia convencional pré-pagamentoRuralCooperativa de eletrificação ruralNão se aplicaNão se aplicaNão se aplica",Mercado_Receita!$N$2:$N$483)</f>
        <v>0</v>
      </c>
      <c r="N31" s="13">
        <f>SUMIF(Mercado_Receita!$T$2:$T$483,"44593B2Energia convencional pré-pagamentoRuralCooperativa de eletrificação ruralNão se aplicaNão se aplicaNão se aplica",Mercado_Receita!$N$2:$N$483)</f>
        <v>0</v>
      </c>
      <c r="O31" s="13">
        <f>SUMIF(Mercado_Receita!$T$2:$T$483,"44621B2Energia convencional pré-pagamentoRuralCooperativa de eletrificação ruralNão se aplicaNão se aplicaNão se aplica",Mercado_Receita!$N$2:$N$483)</f>
        <v>0</v>
      </c>
      <c r="P31" s="13">
        <f>SUMIF(Mercado_Receita!$T$2:$T$483,"44652B2Energia convencional pré-pagamentoRuralCooperativa de eletrificação ruralNão se aplicaNão se aplicaNão se aplica",Mercado_Receita!$N$2:$N$483)</f>
        <v>0</v>
      </c>
      <c r="Q31" s="13">
        <f>SUMIF(Mercado_Receita!$T$2:$T$483,"44682B2Energia convencional pré-pagamentoRuralCooperativa de eletrificação ruralNão se aplicaNão se aplicaNão se aplica",Mercado_Receita!$N$2:$N$483)</f>
        <v>0</v>
      </c>
      <c r="R31" s="13">
        <f>SUMIF(Mercado_Receita!$T$2:$T$483,"44713B2Energia convencional pré-pagamentoRuralCooperativa de eletrificação ruralNão se aplicaNão se aplicaNão se aplica",Mercado_Receita!$N$2:$N$483)</f>
        <v>0</v>
      </c>
      <c r="S31" s="13">
        <f>SUMIF(Mercado_Receita!$T$2:$T$483,"44743B2Energia convencional pré-pagamentoRuralCooperativa de eletrificação ruralNão se aplicaNão se aplicaNão se aplica",Mercado_Receita!$N$2:$N$483)</f>
        <v>0</v>
      </c>
      <c r="T31" s="13">
        <f>SUMIF(Mercado_Receita!$T$2:$T$483,"44774B2Energia convencional pré-pagamentoRuralCooperativa de eletrificação ruralNão se aplicaNão se aplicaNão se aplica",Mercado_Receita!$N$2:$N$483)</f>
        <v>0</v>
      </c>
      <c r="U31" s="13">
        <f t="shared" si="0"/>
        <v>0</v>
      </c>
      <c r="V31" s="13"/>
      <c r="W31" s="13"/>
    </row>
    <row r="32" spans="1:23" ht="11.25" customHeight="1" x14ac:dyDescent="0.3">
      <c r="A32" s="77"/>
      <c r="B32" s="77"/>
      <c r="C32" s="77"/>
      <c r="D32" s="12" t="s">
        <v>96</v>
      </c>
      <c r="E32" s="12" t="s">
        <v>25</v>
      </c>
      <c r="F32" s="12" t="s">
        <v>25</v>
      </c>
      <c r="G32" s="13" t="s">
        <v>83</v>
      </c>
      <c r="H32" s="13" t="s">
        <v>79</v>
      </c>
      <c r="I32" s="13">
        <f>SUMIF(Mercado_Receita!$T$2:$T$483,"44440B2Energia convencional pré-pagamentoRuralServiço público de irrigação ruralNão se aplicaNão se aplicaNão se aplica",Mercado_Receita!$N$2:$N$483)</f>
        <v>0</v>
      </c>
      <c r="J32" s="13">
        <f>SUMIF(Mercado_Receita!$T$2:$T$483,"44470B2Energia convencional pré-pagamentoRuralServiço público de irrigação ruralNão se aplicaNão se aplicaNão se aplica",Mercado_Receita!$N$2:$N$483)</f>
        <v>0</v>
      </c>
      <c r="K32" s="13">
        <f>SUMIF(Mercado_Receita!$T$2:$T$483,"44501B2Energia convencional pré-pagamentoRuralServiço público de irrigação ruralNão se aplicaNão se aplicaNão se aplica",Mercado_Receita!$N$2:$N$483)</f>
        <v>0</v>
      </c>
      <c r="L32" s="13">
        <f>SUMIF(Mercado_Receita!$T$2:$T$483,"44531B2Energia convencional pré-pagamentoRuralServiço público de irrigação ruralNão se aplicaNão se aplicaNão se aplica",Mercado_Receita!$N$2:$N$483)</f>
        <v>0</v>
      </c>
      <c r="M32" s="13">
        <f>SUMIF(Mercado_Receita!$T$2:$T$483,"44562B2Energia convencional pré-pagamentoRuralServiço público de irrigação ruralNão se aplicaNão se aplicaNão se aplica",Mercado_Receita!$N$2:$N$483)</f>
        <v>0</v>
      </c>
      <c r="N32" s="13">
        <f>SUMIF(Mercado_Receita!$T$2:$T$483,"44593B2Energia convencional pré-pagamentoRuralServiço público de irrigação ruralNão se aplicaNão se aplicaNão se aplica",Mercado_Receita!$N$2:$N$483)</f>
        <v>0</v>
      </c>
      <c r="O32" s="13">
        <f>SUMIF(Mercado_Receita!$T$2:$T$483,"44621B2Energia convencional pré-pagamentoRuralServiço público de irrigação ruralNão se aplicaNão se aplicaNão se aplica",Mercado_Receita!$N$2:$N$483)</f>
        <v>0</v>
      </c>
      <c r="P32" s="13">
        <f>SUMIF(Mercado_Receita!$T$2:$T$483,"44652B2Energia convencional pré-pagamentoRuralServiço público de irrigação ruralNão se aplicaNão se aplicaNão se aplica",Mercado_Receita!$N$2:$N$483)</f>
        <v>0</v>
      </c>
      <c r="Q32" s="13">
        <f>SUMIF(Mercado_Receita!$T$2:$T$483,"44682B2Energia convencional pré-pagamentoRuralServiço público de irrigação ruralNão se aplicaNão se aplicaNão se aplica",Mercado_Receita!$N$2:$N$483)</f>
        <v>0</v>
      </c>
      <c r="R32" s="13">
        <f>SUMIF(Mercado_Receita!$T$2:$T$483,"44713B2Energia convencional pré-pagamentoRuralServiço público de irrigação ruralNão se aplicaNão se aplicaNão se aplica",Mercado_Receita!$N$2:$N$483)</f>
        <v>0</v>
      </c>
      <c r="S32" s="13">
        <f>SUMIF(Mercado_Receita!$T$2:$T$483,"44743B2Energia convencional pré-pagamentoRuralServiço público de irrigação ruralNão se aplicaNão se aplicaNão se aplica",Mercado_Receita!$N$2:$N$483)</f>
        <v>0</v>
      </c>
      <c r="T32" s="13">
        <f>SUMIF(Mercado_Receita!$T$2:$T$483,"44774B2Energia convencional pré-pagamentoRuralServiço público de irrigação ruralNão se aplicaNão se aplicaNão se aplica",Mercado_Receita!$N$2:$N$483)</f>
        <v>0</v>
      </c>
      <c r="U32" s="13">
        <f t="shared" si="0"/>
        <v>0</v>
      </c>
      <c r="V32" s="13"/>
      <c r="W32" s="13"/>
    </row>
    <row r="33" spans="1:23" ht="11.25" customHeight="1" x14ac:dyDescent="0.3">
      <c r="A33" s="76" t="s">
        <v>32</v>
      </c>
      <c r="B33" s="76" t="s">
        <v>78</v>
      </c>
      <c r="C33" s="76" t="s">
        <v>25</v>
      </c>
      <c r="D33" s="76" t="s">
        <v>25</v>
      </c>
      <c r="E33" s="76" t="s">
        <v>25</v>
      </c>
      <c r="F33" s="76" t="s">
        <v>25</v>
      </c>
      <c r="G33" s="13" t="s">
        <v>80</v>
      </c>
      <c r="H33" s="13" t="s">
        <v>79</v>
      </c>
      <c r="I33" s="13">
        <f>SUMIF(Mercado_Receita!$T$2:$T$483,"44440B3Energia horáriaNão se aplicaNão se aplicaNão se aplicaNão se aplicaPonta",Mercado_Receita!$N$2:$N$483)</f>
        <v>0</v>
      </c>
      <c r="J33" s="13">
        <f>SUMIF(Mercado_Receita!$T$2:$T$483,"44470B3Energia horáriaNão se aplicaNão se aplicaNão se aplicaNão se aplicaPonta",Mercado_Receita!$N$2:$N$483)</f>
        <v>0</v>
      </c>
      <c r="K33" s="13">
        <f>SUMIF(Mercado_Receita!$T$2:$T$483,"44501B3Energia horáriaNão se aplicaNão se aplicaNão se aplicaNão se aplicaPonta",Mercado_Receita!$N$2:$N$483)</f>
        <v>0</v>
      </c>
      <c r="L33" s="13">
        <f>SUMIF(Mercado_Receita!$T$2:$T$483,"44531B3Energia horáriaNão se aplicaNão se aplicaNão se aplicaNão se aplicaPonta",Mercado_Receita!$N$2:$N$483)</f>
        <v>0</v>
      </c>
      <c r="M33" s="13">
        <f>SUMIF(Mercado_Receita!$T$2:$T$483,"44562B3Energia horáriaNão se aplicaNão se aplicaNão se aplicaNão se aplicaPonta",Mercado_Receita!$N$2:$N$483)</f>
        <v>0</v>
      </c>
      <c r="N33" s="13">
        <f>SUMIF(Mercado_Receita!$T$2:$T$483,"44593B3Energia horáriaNão se aplicaNão se aplicaNão se aplicaNão se aplicaPonta",Mercado_Receita!$N$2:$N$483)</f>
        <v>0</v>
      </c>
      <c r="O33" s="13">
        <f>SUMIF(Mercado_Receita!$T$2:$T$483,"44621B3Energia horáriaNão se aplicaNão se aplicaNão se aplicaNão se aplicaPonta",Mercado_Receita!$N$2:$N$483)</f>
        <v>0</v>
      </c>
      <c r="P33" s="13">
        <f>SUMIF(Mercado_Receita!$T$2:$T$483,"44652B3Energia horáriaNão se aplicaNão se aplicaNão se aplicaNão se aplicaPonta",Mercado_Receita!$N$2:$N$483)</f>
        <v>0</v>
      </c>
      <c r="Q33" s="13">
        <f>SUMIF(Mercado_Receita!$T$2:$T$483,"44682B3Energia horáriaNão se aplicaNão se aplicaNão se aplicaNão se aplicaPonta",Mercado_Receita!$N$2:$N$483)</f>
        <v>0</v>
      </c>
      <c r="R33" s="13">
        <f>SUMIF(Mercado_Receita!$T$2:$T$483,"44713B3Energia horáriaNão se aplicaNão se aplicaNão se aplicaNão se aplicaPonta",Mercado_Receita!$N$2:$N$483)</f>
        <v>0</v>
      </c>
      <c r="S33" s="13">
        <f>SUMIF(Mercado_Receita!$T$2:$T$483,"44743B3Energia horáriaNão se aplicaNão se aplicaNão se aplicaNão se aplicaPonta",Mercado_Receita!$N$2:$N$483)</f>
        <v>0</v>
      </c>
      <c r="T33" s="13">
        <f>SUMIF(Mercado_Receita!$T$2:$T$483,"44774B3Energia horáriaNão se aplicaNão se aplicaNão se aplicaNão se aplicaPonta",Mercado_Receita!$N$2:$N$483)</f>
        <v>0</v>
      </c>
      <c r="U33" s="13">
        <f t="shared" si="0"/>
        <v>0</v>
      </c>
      <c r="V33" s="13"/>
      <c r="W33" s="13"/>
    </row>
    <row r="34" spans="1:23" ht="11.25" customHeight="1" x14ac:dyDescent="0.3">
      <c r="A34" s="77"/>
      <c r="B34" s="77"/>
      <c r="C34" s="77"/>
      <c r="D34" s="77"/>
      <c r="E34" s="77"/>
      <c r="F34" s="77"/>
      <c r="G34" s="13" t="s">
        <v>91</v>
      </c>
      <c r="H34" s="13" t="s">
        <v>79</v>
      </c>
      <c r="I34" s="13">
        <f>SUMIF(Mercado_Receita!$T$2:$T$483,"44440B3Energia horáriaNão se aplicaNão se aplicaNão se aplicaNão se aplicaIntermediário",Mercado_Receita!$N$2:$N$483)</f>
        <v>0</v>
      </c>
      <c r="J34" s="13">
        <f>SUMIF(Mercado_Receita!$T$2:$T$483,"44470B3Energia horáriaNão se aplicaNão se aplicaNão se aplicaNão se aplicaIntermediário",Mercado_Receita!$N$2:$N$483)</f>
        <v>0</v>
      </c>
      <c r="K34" s="13">
        <f>SUMIF(Mercado_Receita!$T$2:$T$483,"44501B3Energia horáriaNão se aplicaNão se aplicaNão se aplicaNão se aplicaIntermediário",Mercado_Receita!$N$2:$N$483)</f>
        <v>0</v>
      </c>
      <c r="L34" s="13">
        <f>SUMIF(Mercado_Receita!$T$2:$T$483,"44531B3Energia horáriaNão se aplicaNão se aplicaNão se aplicaNão se aplicaIntermediário",Mercado_Receita!$N$2:$N$483)</f>
        <v>0</v>
      </c>
      <c r="M34" s="13">
        <f>SUMIF(Mercado_Receita!$T$2:$T$483,"44562B3Energia horáriaNão se aplicaNão se aplicaNão se aplicaNão se aplicaIntermediário",Mercado_Receita!$N$2:$N$483)</f>
        <v>0</v>
      </c>
      <c r="N34" s="13">
        <f>SUMIF(Mercado_Receita!$T$2:$T$483,"44593B3Energia horáriaNão se aplicaNão se aplicaNão se aplicaNão se aplicaIntermediário",Mercado_Receita!$N$2:$N$483)</f>
        <v>0</v>
      </c>
      <c r="O34" s="13">
        <f>SUMIF(Mercado_Receita!$T$2:$T$483,"44621B3Energia horáriaNão se aplicaNão se aplicaNão se aplicaNão se aplicaIntermediário",Mercado_Receita!$N$2:$N$483)</f>
        <v>0</v>
      </c>
      <c r="P34" s="13">
        <f>SUMIF(Mercado_Receita!$T$2:$T$483,"44652B3Energia horáriaNão se aplicaNão se aplicaNão se aplicaNão se aplicaIntermediário",Mercado_Receita!$N$2:$N$483)</f>
        <v>0</v>
      </c>
      <c r="Q34" s="13">
        <f>SUMIF(Mercado_Receita!$T$2:$T$483,"44682B3Energia horáriaNão se aplicaNão se aplicaNão se aplicaNão se aplicaIntermediário",Mercado_Receita!$N$2:$N$483)</f>
        <v>0</v>
      </c>
      <c r="R34" s="13">
        <f>SUMIF(Mercado_Receita!$T$2:$T$483,"44713B3Energia horáriaNão se aplicaNão se aplicaNão se aplicaNão se aplicaIntermediário",Mercado_Receita!$N$2:$N$483)</f>
        <v>0</v>
      </c>
      <c r="S34" s="13">
        <f>SUMIF(Mercado_Receita!$T$2:$T$483,"44743B3Energia horáriaNão se aplicaNão se aplicaNão se aplicaNão se aplicaIntermediário",Mercado_Receita!$N$2:$N$483)</f>
        <v>0</v>
      </c>
      <c r="T34" s="13">
        <f>SUMIF(Mercado_Receita!$T$2:$T$483,"44774B3Energia horáriaNão se aplicaNão se aplicaNão se aplicaNão se aplicaIntermediário",Mercado_Receita!$N$2:$N$483)</f>
        <v>0</v>
      </c>
      <c r="U34" s="13">
        <f t="shared" si="0"/>
        <v>0</v>
      </c>
      <c r="V34" s="13"/>
      <c r="W34" s="13"/>
    </row>
    <row r="35" spans="1:23" ht="11.25" customHeight="1" x14ac:dyDescent="0.3">
      <c r="A35" s="77"/>
      <c r="B35" s="77"/>
      <c r="C35" s="77"/>
      <c r="D35" s="77"/>
      <c r="E35" s="77"/>
      <c r="F35" s="77"/>
      <c r="G35" s="13" t="s">
        <v>81</v>
      </c>
      <c r="H35" s="13" t="s">
        <v>79</v>
      </c>
      <c r="I35" s="13">
        <f>SUMIF(Mercado_Receita!$T$2:$T$483,"44440B3Energia horáriaNão se aplicaNão se aplicaNão se aplicaNão se aplicaFora ponta",Mercado_Receita!$N$2:$N$483)</f>
        <v>0</v>
      </c>
      <c r="J35" s="13">
        <f>SUMIF(Mercado_Receita!$T$2:$T$483,"44470B3Energia horáriaNão se aplicaNão se aplicaNão se aplicaNão se aplicaFora ponta",Mercado_Receita!$N$2:$N$483)</f>
        <v>0</v>
      </c>
      <c r="K35" s="13">
        <f>SUMIF(Mercado_Receita!$T$2:$T$483,"44501B3Energia horáriaNão se aplicaNão se aplicaNão se aplicaNão se aplicaFora ponta",Mercado_Receita!$N$2:$N$483)</f>
        <v>0</v>
      </c>
      <c r="L35" s="13">
        <f>SUMIF(Mercado_Receita!$T$2:$T$483,"44531B3Energia horáriaNão se aplicaNão se aplicaNão se aplicaNão se aplicaFora ponta",Mercado_Receita!$N$2:$N$483)</f>
        <v>0</v>
      </c>
      <c r="M35" s="13">
        <f>SUMIF(Mercado_Receita!$T$2:$T$483,"44562B3Energia horáriaNão se aplicaNão se aplicaNão se aplicaNão se aplicaFora ponta",Mercado_Receita!$N$2:$N$483)</f>
        <v>0</v>
      </c>
      <c r="N35" s="13">
        <f>SUMIF(Mercado_Receita!$T$2:$T$483,"44593B3Energia horáriaNão se aplicaNão se aplicaNão se aplicaNão se aplicaFora ponta",Mercado_Receita!$N$2:$N$483)</f>
        <v>0</v>
      </c>
      <c r="O35" s="13">
        <f>SUMIF(Mercado_Receita!$T$2:$T$483,"44621B3Energia horáriaNão se aplicaNão se aplicaNão se aplicaNão se aplicaFora ponta",Mercado_Receita!$N$2:$N$483)</f>
        <v>0</v>
      </c>
      <c r="P35" s="13">
        <f>SUMIF(Mercado_Receita!$T$2:$T$483,"44652B3Energia horáriaNão se aplicaNão se aplicaNão se aplicaNão se aplicaFora ponta",Mercado_Receita!$N$2:$N$483)</f>
        <v>0</v>
      </c>
      <c r="Q35" s="13">
        <f>SUMIF(Mercado_Receita!$T$2:$T$483,"44682B3Energia horáriaNão se aplicaNão se aplicaNão se aplicaNão se aplicaFora ponta",Mercado_Receita!$N$2:$N$483)</f>
        <v>0</v>
      </c>
      <c r="R35" s="13">
        <f>SUMIF(Mercado_Receita!$T$2:$T$483,"44713B3Energia horáriaNão se aplicaNão se aplicaNão se aplicaNão se aplicaFora ponta",Mercado_Receita!$N$2:$N$483)</f>
        <v>0</v>
      </c>
      <c r="S35" s="13">
        <f>SUMIF(Mercado_Receita!$T$2:$T$483,"44743B3Energia horáriaNão se aplicaNão se aplicaNão se aplicaNão se aplicaFora ponta",Mercado_Receita!$N$2:$N$483)</f>
        <v>0</v>
      </c>
      <c r="T35" s="13">
        <f>SUMIF(Mercado_Receita!$T$2:$T$483,"44774B3Energia horáriaNão se aplicaNão se aplicaNão se aplicaNão se aplicaFora ponta",Mercado_Receita!$N$2:$N$483)</f>
        <v>0</v>
      </c>
      <c r="U35" s="13">
        <f t="shared" si="0"/>
        <v>0</v>
      </c>
      <c r="V35" s="13"/>
      <c r="W35" s="13"/>
    </row>
    <row r="36" spans="1:23" ht="11.25" customHeight="1" x14ac:dyDescent="0.3">
      <c r="A36" s="77"/>
      <c r="B36" s="12" t="s">
        <v>82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83</v>
      </c>
      <c r="H36" s="13" t="s">
        <v>79</v>
      </c>
      <c r="I36" s="13">
        <f>SUMIF(Mercado_Receita!$T$2:$T$483,"44440B3Energia convencionalNão se aplicaNão se aplicaNão se aplicaNão se aplicaNão se aplica",Mercado_Receita!$N$2:$N$483)</f>
        <v>664.50999999999988</v>
      </c>
      <c r="J36" s="13">
        <f>SUMIF(Mercado_Receita!$T$2:$T$483,"44470B3Energia convencionalNão se aplicaNão se aplicaNão se aplicaNão se aplicaNão se aplica",Mercado_Receita!$N$2:$N$483)</f>
        <v>683.42500000000007</v>
      </c>
      <c r="K36" s="13">
        <f>SUMIF(Mercado_Receita!$T$2:$T$483,"44501B3Energia convencionalNão se aplicaNão se aplicaNão se aplicaNão se aplicaNão se aplica",Mercado_Receita!$N$2:$N$483)</f>
        <v>680.05000000000007</v>
      </c>
      <c r="L36" s="13">
        <f>SUMIF(Mercado_Receita!$T$2:$T$483,"44531B3Energia convencionalNão se aplicaNão se aplicaNão se aplicaNão se aplicaNão se aplica",Mercado_Receita!$N$2:$N$483)</f>
        <v>616.82799999999997</v>
      </c>
      <c r="M36" s="13">
        <f>SUMIF(Mercado_Receita!$T$2:$T$483,"44562B3Energia convencionalNão se aplicaNão se aplicaNão se aplicaNão se aplicaNão se aplica",Mercado_Receita!$N$2:$N$483)</f>
        <v>521.82600000000002</v>
      </c>
      <c r="N36" s="13">
        <f>SUMIF(Mercado_Receita!$T$2:$T$483,"44593B3Energia convencionalNão se aplicaNão se aplicaNão se aplicaNão se aplicaNão se aplica",Mercado_Receita!$N$2:$N$483)</f>
        <v>766.13400000000001</v>
      </c>
      <c r="O36" s="13">
        <f>SUMIF(Mercado_Receita!$T$2:$T$483,"44621B3Energia convencionalNão se aplicaNão se aplicaNão se aplicaNão se aplicaNão se aplica",Mercado_Receita!$N$2:$N$483)</f>
        <v>729.95899999999995</v>
      </c>
      <c r="P36" s="13">
        <f>SUMIF(Mercado_Receita!$T$2:$T$483,"44652B3Energia convencionalNão se aplicaNão se aplicaNão se aplicaNão se aplicaNão se aplica",Mercado_Receita!$N$2:$N$483)</f>
        <v>629.77600000000007</v>
      </c>
      <c r="Q36" s="13">
        <f>SUMIF(Mercado_Receita!$T$2:$T$483,"44682B3Energia convencionalNão se aplicaNão se aplicaNão se aplicaNão se aplicaNão se aplica",Mercado_Receita!$N$2:$N$483)</f>
        <v>605.68400000000008</v>
      </c>
      <c r="R36" s="13">
        <f>SUMIF(Mercado_Receita!$T$2:$T$483,"44713B3Energia convencionalNão se aplicaNão se aplicaNão se aplicaNão se aplicaNão se aplica",Mercado_Receita!$N$2:$N$483)</f>
        <v>649.44000000000005</v>
      </c>
      <c r="S36" s="13">
        <f>SUMIF(Mercado_Receita!$T$2:$T$483,"44743B3Energia convencionalNão se aplicaNão se aplicaNão se aplicaNão se aplicaNão se aplica",Mercado_Receita!$N$2:$N$483)</f>
        <v>601.27799999999991</v>
      </c>
      <c r="T36" s="13">
        <f>SUMIF(Mercado_Receita!$T$2:$T$483,"44774B3Energia convencionalNão se aplicaNão se aplicaNão se aplicaNão se aplicaNão se aplica",Mercado_Receita!$N$2:$N$483)</f>
        <v>601.27799999999991</v>
      </c>
      <c r="U36" s="13">
        <f t="shared" si="0"/>
        <v>7750.1880000000001</v>
      </c>
      <c r="V36" s="13"/>
      <c r="W36" s="13"/>
    </row>
    <row r="37" spans="1:23" ht="11.25" customHeight="1" x14ac:dyDescent="0.3">
      <c r="A37" s="77"/>
      <c r="B37" s="12" t="s">
        <v>93</v>
      </c>
      <c r="C37" s="12" t="s">
        <v>25</v>
      </c>
      <c r="D37" s="12" t="s">
        <v>25</v>
      </c>
      <c r="E37" s="12" t="s">
        <v>25</v>
      </c>
      <c r="F37" s="12" t="s">
        <v>25</v>
      </c>
      <c r="G37" s="13" t="s">
        <v>83</v>
      </c>
      <c r="H37" s="13" t="s">
        <v>79</v>
      </c>
      <c r="I37" s="13">
        <f>SUMIF(Mercado_Receita!$T$2:$T$483,"44440B3Energia convencional pré-pagamentoNão se aplicaNão se aplicaNão se aplicaNão se aplicaNão se aplica",Mercado_Receita!$N$2:$N$483)</f>
        <v>0</v>
      </c>
      <c r="J37" s="13">
        <f>SUMIF(Mercado_Receita!$T$2:$T$483,"44470B3Energia convencional pré-pagamentoNão se aplicaNão se aplicaNão se aplicaNão se aplicaNão se aplica",Mercado_Receita!$N$2:$N$483)</f>
        <v>0</v>
      </c>
      <c r="K37" s="13">
        <f>SUMIF(Mercado_Receita!$T$2:$T$483,"44501B3Energia convencional pré-pagamentoNão se aplicaNão se aplicaNão se aplicaNão se aplicaNão se aplica",Mercado_Receita!$N$2:$N$483)</f>
        <v>0</v>
      </c>
      <c r="L37" s="13">
        <f>SUMIF(Mercado_Receita!$T$2:$T$483,"44531B3Energia convencional pré-pagamentoNão se aplicaNão se aplicaNão se aplicaNão se aplicaNão se aplica",Mercado_Receita!$N$2:$N$483)</f>
        <v>0</v>
      </c>
      <c r="M37" s="13">
        <f>SUMIF(Mercado_Receita!$T$2:$T$483,"44562B3Energia convencional pré-pagamentoNão se aplicaNão se aplicaNão se aplicaNão se aplicaNão se aplica",Mercado_Receita!$N$2:$N$483)</f>
        <v>0</v>
      </c>
      <c r="N37" s="13">
        <f>SUMIF(Mercado_Receita!$T$2:$T$483,"44593B3Energia convencional pré-pagamentoNão se aplicaNão se aplicaNão se aplicaNão se aplicaNão se aplica",Mercado_Receita!$N$2:$N$483)</f>
        <v>0</v>
      </c>
      <c r="O37" s="13">
        <f>SUMIF(Mercado_Receita!$T$2:$T$483,"44621B3Energia convencional pré-pagamentoNão se aplicaNão se aplicaNão se aplicaNão se aplicaNão se aplica",Mercado_Receita!$N$2:$N$483)</f>
        <v>0</v>
      </c>
      <c r="P37" s="13">
        <f>SUMIF(Mercado_Receita!$T$2:$T$483,"44652B3Energia convencional pré-pagamentoNão se aplicaNão se aplicaNão se aplicaNão se aplicaNão se aplica",Mercado_Receita!$N$2:$N$483)</f>
        <v>0</v>
      </c>
      <c r="Q37" s="13">
        <f>SUMIF(Mercado_Receita!$T$2:$T$483,"44682B3Energia convencional pré-pagamentoNão se aplicaNão se aplicaNão se aplicaNão se aplicaNão se aplica",Mercado_Receita!$N$2:$N$483)</f>
        <v>0</v>
      </c>
      <c r="R37" s="13">
        <f>SUMIF(Mercado_Receita!$T$2:$T$483,"44713B3Energia convencional pré-pagamentoNão se aplicaNão se aplicaNão se aplicaNão se aplicaNão se aplica",Mercado_Receita!$N$2:$N$483)</f>
        <v>0</v>
      </c>
      <c r="S37" s="13">
        <f>SUMIF(Mercado_Receita!$T$2:$T$483,"44743B3Energia convencional pré-pagamentoNão se aplicaNão se aplicaNão se aplicaNão se aplicaNão se aplica",Mercado_Receita!$N$2:$N$483)</f>
        <v>0</v>
      </c>
      <c r="T37" s="13">
        <f>SUMIF(Mercado_Receita!$T$2:$T$483,"44774B3Energia convencional pré-pagamentoNão se aplicaNão se aplicaNão se aplicaNão se aplicaNão se aplica",Mercado_Receita!$N$2:$N$483)</f>
        <v>0</v>
      </c>
      <c r="U37" s="13">
        <f t="shared" si="0"/>
        <v>0</v>
      </c>
      <c r="V37" s="13"/>
      <c r="W37" s="13"/>
    </row>
    <row r="38" spans="1:23" ht="11.25" customHeight="1" x14ac:dyDescent="0.3">
      <c r="A38" s="76" t="s">
        <v>43</v>
      </c>
      <c r="B38" s="76" t="s">
        <v>82</v>
      </c>
      <c r="C38" s="76" t="s">
        <v>44</v>
      </c>
      <c r="D38" s="12" t="s">
        <v>97</v>
      </c>
      <c r="E38" s="12" t="s">
        <v>25</v>
      </c>
      <c r="F38" s="12" t="s">
        <v>25</v>
      </c>
      <c r="G38" s="13" t="s">
        <v>83</v>
      </c>
      <c r="H38" s="13" t="s">
        <v>79</v>
      </c>
      <c r="I38" s="13">
        <f>SUMIF(Mercado_Receita!$T$2:$T$483,"44440B4Energia convencionalIluminação públicaIluminação pública – B4aNão se aplicaNão se aplicaNão se aplica",Mercado_Receita!$N$2:$N$483)</f>
        <v>0</v>
      </c>
      <c r="J38" s="13">
        <f>SUMIF(Mercado_Receita!$T$2:$T$483,"44470B4Energia convencionalIluminação públicaIluminação pública – B4aNão se aplicaNão se aplicaNão se aplica",Mercado_Receita!$N$2:$N$483)</f>
        <v>0</v>
      </c>
      <c r="K38" s="13">
        <f>SUMIF(Mercado_Receita!$T$2:$T$483,"44501B4Energia convencionalIluminação públicaIluminação pública – B4aNão se aplicaNão se aplicaNão se aplica",Mercado_Receita!$N$2:$N$483)</f>
        <v>0</v>
      </c>
      <c r="L38" s="13">
        <f>SUMIF(Mercado_Receita!$T$2:$T$483,"44531B4Energia convencionalIluminação públicaIluminação pública – B4aNão se aplicaNão se aplicaNão se aplica",Mercado_Receita!$N$2:$N$483)</f>
        <v>0</v>
      </c>
      <c r="M38" s="13">
        <f>SUMIF(Mercado_Receita!$T$2:$T$483,"44562B4Energia convencionalIluminação públicaIluminação pública – B4aNão se aplicaNão se aplicaNão se aplica",Mercado_Receita!$N$2:$N$483)</f>
        <v>0</v>
      </c>
      <c r="N38" s="13">
        <f>SUMIF(Mercado_Receita!$T$2:$T$483,"44593B4Energia convencionalIluminação públicaIluminação pública – B4aNão se aplicaNão se aplicaNão se aplica",Mercado_Receita!$N$2:$N$483)</f>
        <v>0</v>
      </c>
      <c r="O38" s="13">
        <f>SUMIF(Mercado_Receita!$T$2:$T$483,"44621B4Energia convencionalIluminação públicaIluminação pública – B4aNão se aplicaNão se aplicaNão se aplica",Mercado_Receita!$N$2:$N$483)</f>
        <v>0</v>
      </c>
      <c r="P38" s="13">
        <f>SUMIF(Mercado_Receita!$T$2:$T$483,"44652B4Energia convencionalIluminação públicaIluminação pública – B4aNão se aplicaNão se aplicaNão se aplica",Mercado_Receita!$N$2:$N$483)</f>
        <v>0</v>
      </c>
      <c r="Q38" s="13">
        <f>SUMIF(Mercado_Receita!$T$2:$T$483,"44682B4Energia convencionalIluminação públicaIluminação pública – B4aNão se aplicaNão se aplicaNão se aplica",Mercado_Receita!$N$2:$N$483)</f>
        <v>0</v>
      </c>
      <c r="R38" s="13">
        <f>SUMIF(Mercado_Receita!$T$2:$T$483,"44713B4Energia convencionalIluminação públicaIluminação pública – B4aNão se aplicaNão se aplicaNão se aplica",Mercado_Receita!$N$2:$N$483)</f>
        <v>0</v>
      </c>
      <c r="S38" s="13">
        <f>SUMIF(Mercado_Receita!$T$2:$T$483,"44743B4Energia convencionalIluminação públicaIluminação pública – B4aNão se aplicaNão se aplicaNão se aplica",Mercado_Receita!$N$2:$N$483)</f>
        <v>0</v>
      </c>
      <c r="T38" s="13">
        <f>SUMIF(Mercado_Receita!$T$2:$T$483,"44774B4Energia convencionalIluminação públicaIluminação pública – B4aNão se aplicaNão se aplicaNão se aplica",Mercado_Receita!$N$2:$N$483)</f>
        <v>0</v>
      </c>
      <c r="U38" s="13">
        <f t="shared" si="0"/>
        <v>0</v>
      </c>
      <c r="V38" s="13"/>
      <c r="W38" s="13"/>
    </row>
    <row r="39" spans="1:23" ht="11.25" customHeight="1" x14ac:dyDescent="0.3">
      <c r="A39" s="77"/>
      <c r="B39" s="77"/>
      <c r="C39" s="77"/>
      <c r="D39" s="13" t="s">
        <v>45</v>
      </c>
      <c r="E39" s="13" t="s">
        <v>25</v>
      </c>
      <c r="F39" s="13" t="s">
        <v>25</v>
      </c>
      <c r="G39" s="13" t="s">
        <v>83</v>
      </c>
      <c r="H39" s="13" t="s">
        <v>79</v>
      </c>
      <c r="I39" s="13">
        <f>SUMIF(Mercado_Receita!$T$2:$T$483,"44440B4Energia convencionalIluminação públicaIluminação pública – B4bNão se aplicaNão se aplicaNão se aplica",Mercado_Receita!$N$2:$N$483)</f>
        <v>151.68799999999999</v>
      </c>
      <c r="J39" s="13">
        <f>SUMIF(Mercado_Receita!$T$2:$T$483,"44470B4Energia convencionalIluminação públicaIluminação pública – B4bNão se aplicaNão se aplicaNão se aplica",Mercado_Receita!$N$2:$N$483)</f>
        <v>156.339</v>
      </c>
      <c r="K39" s="13">
        <f>SUMIF(Mercado_Receita!$T$2:$T$483,"44501B4Energia convencionalIluminação públicaIluminação pública – B4bNão se aplicaNão se aplicaNão se aplica",Mercado_Receita!$N$2:$N$483)</f>
        <v>151.298</v>
      </c>
      <c r="L39" s="13">
        <f>SUMIF(Mercado_Receita!$T$2:$T$483,"44531B4Energia convencionalIluminação públicaIluminação pública – B4bNão se aplicaNão se aplicaNão se aplica",Mercado_Receita!$N$2:$N$483)</f>
        <v>151.13900000000001</v>
      </c>
      <c r="M39" s="13">
        <f>SUMIF(Mercado_Receita!$T$2:$T$483,"44562B4Energia convencionalIluminação públicaIluminação pública – B4bNão se aplicaNão se aplicaNão se aplica",Mercado_Receita!$N$2:$N$483)</f>
        <v>145.63</v>
      </c>
      <c r="N39" s="13">
        <f>SUMIF(Mercado_Receita!$T$2:$T$483,"44593B4Energia convencionalIluminação públicaIluminação pública – B4bNão se aplicaNão se aplicaNão se aplica",Mercado_Receita!$N$2:$N$483)</f>
        <v>134.91399999999999</v>
      </c>
      <c r="O39" s="13">
        <f>SUMIF(Mercado_Receita!$T$2:$T$483,"44621B4Energia convencionalIluminação públicaIluminação pública – B4bNão se aplicaNão se aplicaNão se aplica",Mercado_Receita!$N$2:$N$483)</f>
        <v>149.76599999999999</v>
      </c>
      <c r="P39" s="13">
        <f>SUMIF(Mercado_Receita!$T$2:$T$483,"44652B4Energia convencionalIluminação públicaIluminação pública – B4bNão se aplicaNão se aplicaNão se aplica",Mercado_Receita!$N$2:$N$483)</f>
        <v>141.10400000000001</v>
      </c>
      <c r="Q39" s="13">
        <f>SUMIF(Mercado_Receita!$T$2:$T$483,"44682B4Energia convencionalIluminação públicaIluminação pública – B4bNão se aplicaNão se aplicaNão se aplica",Mercado_Receita!$N$2:$N$483)</f>
        <v>147.321</v>
      </c>
      <c r="R39" s="13">
        <f>SUMIF(Mercado_Receita!$T$2:$T$483,"44713B4Energia convencionalIluminação públicaIluminação pública – B4bNão se aplicaNão se aplicaNão se aplica",Mercado_Receita!$N$2:$N$483)</f>
        <v>145.928</v>
      </c>
      <c r="S39" s="13">
        <f>SUMIF(Mercado_Receita!$T$2:$T$483,"44743B4Energia convencionalIluminação públicaIluminação pública – B4bNão se aplicaNão se aplicaNão se aplica",Mercado_Receita!$N$2:$N$483)</f>
        <v>150.80000000000001</v>
      </c>
      <c r="T39" s="13">
        <f>SUMIF(Mercado_Receita!$T$2:$T$483,"44774B4Energia convencionalIluminação públicaIluminação pública – B4bNão se aplicaNão se aplicaNão se aplica",Mercado_Receita!$N$2:$N$483)</f>
        <v>150.80000000000001</v>
      </c>
      <c r="U39" s="13">
        <f t="shared" si="0"/>
        <v>1776.7269999999999</v>
      </c>
      <c r="V39" s="13"/>
      <c r="W39" s="13"/>
    </row>
    <row r="40" spans="1:23" ht="11.25" customHeight="1" x14ac:dyDescent="0.3">
      <c r="A40" s="78" t="s">
        <v>392</v>
      </c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13"/>
      <c r="W40" s="13"/>
    </row>
  </sheetData>
  <mergeCells count="44">
    <mergeCell ref="A38:A39"/>
    <mergeCell ref="B38:B39"/>
    <mergeCell ref="C38:C39"/>
    <mergeCell ref="A40:U40"/>
    <mergeCell ref="C30:C32"/>
    <mergeCell ref="B30:B32"/>
    <mergeCell ref="A18:A32"/>
    <mergeCell ref="F33:F35"/>
    <mergeCell ref="E33:E35"/>
    <mergeCell ref="D33:D35"/>
    <mergeCell ref="C33:C35"/>
    <mergeCell ref="B33:B35"/>
    <mergeCell ref="A33:A37"/>
    <mergeCell ref="F22:F24"/>
    <mergeCell ref="E22:E24"/>
    <mergeCell ref="D22:D24"/>
    <mergeCell ref="C22:C24"/>
    <mergeCell ref="B22:B24"/>
    <mergeCell ref="F26:F28"/>
    <mergeCell ref="E26:E28"/>
    <mergeCell ref="D26:D28"/>
    <mergeCell ref="C26:C28"/>
    <mergeCell ref="B26:B28"/>
    <mergeCell ref="C13:C17"/>
    <mergeCell ref="B13:B17"/>
    <mergeCell ref="A5:A17"/>
    <mergeCell ref="F18:F20"/>
    <mergeCell ref="E18:E20"/>
    <mergeCell ref="D18:D20"/>
    <mergeCell ref="C18:C20"/>
    <mergeCell ref="B18:B20"/>
    <mergeCell ref="F5:F7"/>
    <mergeCell ref="E5:E7"/>
    <mergeCell ref="D5:D7"/>
    <mergeCell ref="C5:C7"/>
    <mergeCell ref="B5:B7"/>
    <mergeCell ref="C8:C12"/>
    <mergeCell ref="B8:B12"/>
    <mergeCell ref="A2:A4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8C48-D62F-4794-9665-C7D71E532C26}">
  <dimension ref="A1:AD200"/>
  <sheetViews>
    <sheetView showGridLines="0" topLeftCell="A37" workbookViewId="0">
      <selection activeCell="G54" sqref="G54"/>
    </sheetView>
  </sheetViews>
  <sheetFormatPr defaultRowHeight="12" customHeight="1" x14ac:dyDescent="0.2"/>
  <cols>
    <col min="1" max="1" width="9.88671875" style="14" bestFit="1" customWidth="1"/>
    <col min="2" max="2" width="13.88671875" style="14" bestFit="1" customWidth="1"/>
    <col min="3" max="3" width="18.109375" style="14" bestFit="1" customWidth="1"/>
    <col min="4" max="4" width="14" style="14" bestFit="1" customWidth="1"/>
    <col min="5" max="5" width="13.88671875" style="14" bestFit="1" customWidth="1"/>
    <col min="6" max="6" width="3.77734375" style="14" bestFit="1" customWidth="1"/>
    <col min="7" max="7" width="8.88671875" style="14"/>
    <col min="8" max="8" width="11.6640625" style="14" bestFit="1" customWidth="1"/>
    <col min="9" max="11" width="8.88671875" style="14"/>
    <col min="12" max="12" width="31.44140625" style="14" bestFit="1" customWidth="1"/>
    <col min="13" max="13" width="9.88671875" style="14" bestFit="1" customWidth="1"/>
    <col min="14" max="14" width="33.21875" style="14" bestFit="1" customWidth="1"/>
    <col min="15" max="15" width="30.77734375" style="14" customWidth="1"/>
    <col min="16" max="16" width="12.44140625" style="14" bestFit="1" customWidth="1"/>
    <col min="17" max="17" width="8.44140625" style="14" bestFit="1" customWidth="1"/>
    <col min="18" max="18" width="13.33203125" style="14" bestFit="1" customWidth="1"/>
    <col min="19" max="19" width="28.77734375" style="14" bestFit="1" customWidth="1"/>
    <col min="20" max="20" width="14.33203125" style="14" bestFit="1" customWidth="1"/>
    <col min="21" max="21" width="10.21875" style="14" bestFit="1" customWidth="1"/>
    <col min="22" max="22" width="12.5546875" style="14" bestFit="1" customWidth="1"/>
    <col min="23" max="23" width="5" style="14" bestFit="1" customWidth="1"/>
    <col min="24" max="24" width="51.88671875" style="14" bestFit="1" customWidth="1"/>
    <col min="25" max="26" width="5" style="14" bestFit="1" customWidth="1"/>
    <col min="27" max="27" width="2" style="14" bestFit="1" customWidth="1"/>
    <col min="28" max="16384" width="8.88671875" style="14"/>
  </cols>
  <sheetData>
    <row r="1" spans="1:30" ht="12" customHeight="1" x14ac:dyDescent="0.2">
      <c r="A1" s="10" t="s">
        <v>432</v>
      </c>
      <c r="B1" s="10" t="s">
        <v>433</v>
      </c>
      <c r="C1" s="10" t="s">
        <v>434</v>
      </c>
      <c r="D1" s="10" t="s">
        <v>435</v>
      </c>
      <c r="E1" s="10" t="s">
        <v>436</v>
      </c>
      <c r="F1" s="10" t="s">
        <v>437</v>
      </c>
      <c r="G1" s="7"/>
      <c r="H1" s="7"/>
      <c r="I1" s="7"/>
      <c r="J1" s="7"/>
      <c r="K1" s="7"/>
      <c r="L1" s="89" t="s">
        <v>438</v>
      </c>
      <c r="M1" s="89"/>
      <c r="N1" s="7"/>
      <c r="O1" s="84" t="s">
        <v>525</v>
      </c>
      <c r="P1" s="85"/>
      <c r="Q1" s="85"/>
      <c r="R1" s="85"/>
      <c r="S1" s="85"/>
      <c r="T1" s="85"/>
      <c r="U1" s="85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80" t="s">
        <v>393</v>
      </c>
      <c r="B2" s="80" t="s">
        <v>394</v>
      </c>
      <c r="C2" s="16" t="s">
        <v>479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23" t="s">
        <v>439</v>
      </c>
      <c r="M2" s="62">
        <v>3.7400000000000003E-2</v>
      </c>
      <c r="N2" s="15"/>
      <c r="O2" s="28" t="s">
        <v>526</v>
      </c>
      <c r="P2" s="28" t="s">
        <v>527</v>
      </c>
      <c r="Q2" s="28" t="s">
        <v>528</v>
      </c>
      <c r="R2" s="28" t="s">
        <v>34</v>
      </c>
      <c r="S2" s="28" t="s">
        <v>529</v>
      </c>
      <c r="T2" s="28" t="s">
        <v>88</v>
      </c>
      <c r="U2" s="28"/>
      <c r="V2" s="15"/>
      <c r="W2" s="15"/>
      <c r="X2" s="23" t="s">
        <v>492</v>
      </c>
      <c r="Y2" s="15"/>
      <c r="Z2" s="15"/>
      <c r="AA2" s="15" t="s">
        <v>537</v>
      </c>
      <c r="AB2" s="15"/>
      <c r="AC2" s="15"/>
      <c r="AD2" s="15"/>
    </row>
    <row r="3" spans="1:30" ht="12" customHeight="1" x14ac:dyDescent="0.2">
      <c r="A3" s="90"/>
      <c r="B3" s="90"/>
      <c r="C3" s="16" t="s">
        <v>395</v>
      </c>
      <c r="D3" s="13">
        <v>63183.953109912625</v>
      </c>
      <c r="E3" s="13">
        <v>646.82343797031069</v>
      </c>
      <c r="F3" s="13">
        <v>0</v>
      </c>
      <c r="G3" s="15"/>
      <c r="H3" s="15"/>
      <c r="I3" s="15"/>
      <c r="J3" s="15"/>
      <c r="K3" s="15"/>
      <c r="L3" s="23" t="s">
        <v>440</v>
      </c>
      <c r="M3" s="62"/>
      <c r="N3" s="15"/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 t="s">
        <v>530</v>
      </c>
      <c r="V3" s="15"/>
      <c r="W3" s="15"/>
      <c r="X3" s="23" t="s">
        <v>493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90"/>
      <c r="B4" s="90"/>
      <c r="C4" s="16" t="s">
        <v>396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23" t="s">
        <v>441</v>
      </c>
      <c r="M4" s="62">
        <v>8.5874515481677571E-2</v>
      </c>
      <c r="N4" s="15"/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 t="s">
        <v>56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90"/>
      <c r="B5" s="90"/>
      <c r="C5" s="16" t="s">
        <v>397</v>
      </c>
      <c r="D5" s="13">
        <v>0</v>
      </c>
      <c r="E5" s="13"/>
      <c r="F5" s="13"/>
      <c r="G5" s="15"/>
      <c r="H5" s="15"/>
      <c r="I5" s="15"/>
      <c r="J5" s="15"/>
      <c r="K5" s="15"/>
      <c r="L5" s="23" t="s">
        <v>442</v>
      </c>
      <c r="M5" s="62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90"/>
      <c r="B6" s="90"/>
      <c r="C6" s="16" t="s">
        <v>398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23" t="s">
        <v>443</v>
      </c>
      <c r="M6" s="62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90"/>
      <c r="B7" s="90"/>
      <c r="C7" s="16" t="s">
        <v>399</v>
      </c>
      <c r="D7" s="13">
        <v>4205666.0145299984</v>
      </c>
      <c r="E7" s="13">
        <v>30266.250366454064</v>
      </c>
      <c r="F7" s="13">
        <v>0</v>
      </c>
      <c r="G7" s="15"/>
      <c r="H7" s="15"/>
      <c r="I7" s="15"/>
      <c r="J7" s="15"/>
      <c r="K7" s="15"/>
      <c r="L7" s="23" t="s">
        <v>444</v>
      </c>
      <c r="M7" s="23">
        <f>M8+M9+M10+M11</f>
        <v>8268.7163384555533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90"/>
      <c r="B8" s="90"/>
      <c r="C8" s="16" t="s">
        <v>400</v>
      </c>
      <c r="D8" s="13">
        <v>695904.06842999987</v>
      </c>
      <c r="E8" s="13">
        <v>3917.4244702807418</v>
      </c>
      <c r="F8" s="13">
        <v>0</v>
      </c>
      <c r="G8" s="15"/>
      <c r="H8" s="15"/>
      <c r="I8" s="15"/>
      <c r="J8" s="15"/>
      <c r="K8" s="15"/>
      <c r="L8" s="63" t="s">
        <v>445</v>
      </c>
      <c r="M8" s="23">
        <v>7248.7693466114761</v>
      </c>
      <c r="N8" s="15"/>
      <c r="O8" s="23" t="s">
        <v>478</v>
      </c>
      <c r="P8" s="29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90"/>
      <c r="B9" s="90"/>
      <c r="C9" s="16" t="s">
        <v>401</v>
      </c>
      <c r="D9" s="13"/>
      <c r="E9" s="13"/>
      <c r="F9" s="13"/>
      <c r="G9" s="15"/>
      <c r="H9" s="15"/>
      <c r="I9" s="15"/>
      <c r="J9" s="15"/>
      <c r="K9" s="15"/>
      <c r="L9" s="64" t="s">
        <v>446</v>
      </c>
      <c r="M9" s="23">
        <v>1019.9469918440778</v>
      </c>
      <c r="N9" s="15"/>
      <c r="O9" s="23" t="s">
        <v>483</v>
      </c>
      <c r="P9" s="29">
        <f>SUM(Mercado_Receita!$J$2:$J$483)</f>
        <v>201542</v>
      </c>
      <c r="Q9" s="29">
        <v>201542</v>
      </c>
      <c r="R9" s="29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90"/>
      <c r="B10" s="81"/>
      <c r="C10" s="16" t="s">
        <v>402</v>
      </c>
      <c r="D10" s="13">
        <f>SUM(D$2:D9)</f>
        <v>4964754.036069911</v>
      </c>
      <c r="E10" s="13">
        <f>SUM(E$2:E9)</f>
        <v>34830.498274705118</v>
      </c>
      <c r="F10" s="13">
        <f>SUM(F$2:F9)</f>
        <v>0</v>
      </c>
      <c r="G10" s="15"/>
      <c r="H10" s="15"/>
      <c r="I10" s="15"/>
      <c r="J10" s="15"/>
      <c r="K10" s="15"/>
      <c r="L10" s="63" t="s">
        <v>447</v>
      </c>
      <c r="M10" s="23">
        <v>0</v>
      </c>
      <c r="N10" s="15"/>
      <c r="O10" s="23" t="s">
        <v>484</v>
      </c>
      <c r="P10" s="29">
        <f>SUM(Mercado_Receita!$L$2:$L$483)</f>
        <v>49801.899000000005</v>
      </c>
      <c r="Q10" s="29">
        <v>49801.898999999998</v>
      </c>
      <c r="R10" s="29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90"/>
      <c r="B11" s="80" t="s">
        <v>403</v>
      </c>
      <c r="C11" s="16" t="s">
        <v>404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63" t="s">
        <v>448</v>
      </c>
      <c r="M11" s="23">
        <v>0</v>
      </c>
      <c r="N11" s="15"/>
      <c r="O11" s="23" t="s">
        <v>485</v>
      </c>
      <c r="P11" s="29">
        <f>SUM(Mercado_Receita!$N$2:$N$483)</f>
        <v>43918.248</v>
      </c>
      <c r="Q11" s="29">
        <v>43918.248</v>
      </c>
      <c r="R11" s="29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90"/>
      <c r="B12" s="90"/>
      <c r="C12" s="16" t="s">
        <v>405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23" t="s">
        <v>449</v>
      </c>
      <c r="M12" s="23">
        <v>52186.964338455546</v>
      </c>
      <c r="N12" s="15"/>
      <c r="O12" s="23" t="s">
        <v>486</v>
      </c>
      <c r="P12" s="29">
        <f>SUMIF('MERCADO TUSD'!$H$2:$H$48,"kW",'MERCADO TUSD'!$U$2:$U$48)</f>
        <v>201542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90"/>
      <c r="B13" s="90"/>
      <c r="C13" s="16" t="s">
        <v>406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23" t="s">
        <v>450</v>
      </c>
      <c r="M13" s="23">
        <v>731.11292114872833</v>
      </c>
      <c r="N13" s="15"/>
      <c r="O13" s="23" t="s">
        <v>487</v>
      </c>
      <c r="P13" s="29">
        <f>SUMIF('MERCADO TUSD'!$H$2:$H$48,"MWh",'MERCADO TUSD'!$U$2:$U$48)</f>
        <v>49801.899000000005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90"/>
      <c r="B14" s="90"/>
      <c r="C14" s="16" t="s">
        <v>407</v>
      </c>
      <c r="D14" s="13"/>
      <c r="E14" s="13"/>
      <c r="F14" s="13"/>
      <c r="G14" s="15"/>
      <c r="H14" s="15"/>
      <c r="I14" s="15"/>
      <c r="J14" s="15"/>
      <c r="K14" s="15"/>
      <c r="L14" s="23" t="s">
        <v>451</v>
      </c>
      <c r="M14" s="23">
        <v>207.99322988974086</v>
      </c>
      <c r="N14" s="15"/>
      <c r="O14" s="23" t="s">
        <v>488</v>
      </c>
      <c r="P14" s="29">
        <f>SUMIF('MERCADO TE'!$H$2:$H$39,"MWh",'MERCADO TE'!$U$2:$U$39)</f>
        <v>43918.248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90"/>
      <c r="B15" s="90"/>
      <c r="C15" s="16" t="s">
        <v>408</v>
      </c>
      <c r="D15" s="13">
        <v>3453247.6839800002</v>
      </c>
      <c r="E15" s="13">
        <v>0</v>
      </c>
      <c r="F15" s="13">
        <v>0</v>
      </c>
      <c r="G15" s="15"/>
      <c r="H15" s="15"/>
      <c r="I15" s="15"/>
      <c r="J15" s="15"/>
      <c r="K15" s="15"/>
      <c r="L15" s="23" t="s">
        <v>452</v>
      </c>
      <c r="M15" s="23">
        <f>M14*M12</f>
        <v>10854535.270896092</v>
      </c>
      <c r="N15" s="15"/>
      <c r="O15" s="23" t="s">
        <v>489</v>
      </c>
      <c r="P15" s="29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90"/>
      <c r="B16" s="90"/>
      <c r="C16" s="16" t="s">
        <v>409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23" t="s">
        <v>453</v>
      </c>
      <c r="M16" s="23">
        <v>-706057.66184599698</v>
      </c>
      <c r="N16" s="15"/>
      <c r="O16" s="23" t="s">
        <v>490</v>
      </c>
      <c r="P16" s="29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90"/>
      <c r="B17" s="90"/>
      <c r="C17" s="16" t="s">
        <v>410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23" t="s">
        <v>454</v>
      </c>
      <c r="M17" s="23">
        <v>0</v>
      </c>
      <c r="N17" s="15"/>
      <c r="O17" s="23" t="s">
        <v>491</v>
      </c>
      <c r="P17" s="29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90"/>
      <c r="B18" s="81"/>
      <c r="C18" s="16" t="s">
        <v>402</v>
      </c>
      <c r="D18" s="13">
        <f>SUM(D$11:D17)</f>
        <v>3453247.6839800002</v>
      </c>
      <c r="E18" s="13">
        <f>SUM(E$11:E17)</f>
        <v>0</v>
      </c>
      <c r="F18" s="13">
        <f>SUM(F$11:F17)</f>
        <v>0</v>
      </c>
      <c r="G18" s="15"/>
      <c r="H18" s="15"/>
      <c r="I18" s="15"/>
      <c r="J18" s="15"/>
      <c r="K18" s="15"/>
      <c r="L18" s="23" t="s">
        <v>455</v>
      </c>
      <c r="M18" s="2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90"/>
      <c r="B19" s="80" t="s">
        <v>411</v>
      </c>
      <c r="C19" s="16" t="s">
        <v>412</v>
      </c>
      <c r="D19" s="13">
        <v>15711091.529999999</v>
      </c>
      <c r="E19" s="13">
        <v>-5458141.5687437197</v>
      </c>
      <c r="F19" s="13">
        <v>0</v>
      </c>
      <c r="G19" s="15"/>
      <c r="H19" s="15"/>
      <c r="I19" s="15"/>
      <c r="J19" s="15"/>
      <c r="K19" s="15"/>
      <c r="L19" s="23" t="s">
        <v>456</v>
      </c>
      <c r="M19" s="2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90"/>
      <c r="B20" s="81"/>
      <c r="C20" s="16" t="s">
        <v>402</v>
      </c>
      <c r="D20" s="13">
        <f>SUM(D$19:D19)</f>
        <v>15711091.529999999</v>
      </c>
      <c r="E20" s="13">
        <f>SUM(E$19:E19)</f>
        <v>-5458141.5687437197</v>
      </c>
      <c r="F20" s="13">
        <f>SUM(F$19:F19)</f>
        <v>0</v>
      </c>
      <c r="G20" s="15"/>
      <c r="H20" s="15"/>
      <c r="I20" s="15"/>
      <c r="J20" s="15"/>
      <c r="K20" s="15"/>
      <c r="L20" s="23" t="s">
        <v>457</v>
      </c>
      <c r="M20" s="2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90"/>
      <c r="B21" s="80" t="s">
        <v>413</v>
      </c>
      <c r="C21" s="16" t="s">
        <v>414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23" t="s">
        <v>458</v>
      </c>
      <c r="M21" s="2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90"/>
      <c r="B22" s="90"/>
      <c r="C22" s="16" t="s">
        <v>415</v>
      </c>
      <c r="D22" s="13"/>
      <c r="E22" s="13"/>
      <c r="F22" s="13"/>
      <c r="G22" s="15"/>
      <c r="H22" s="15"/>
      <c r="I22" s="15"/>
      <c r="J22" s="15"/>
      <c r="K22" s="15"/>
      <c r="L22" s="23" t="s">
        <v>480</v>
      </c>
      <c r="M22" s="2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90"/>
      <c r="B23" s="81"/>
      <c r="C23" s="16" t="s">
        <v>402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23" t="s">
        <v>459</v>
      </c>
      <c r="M23" s="23">
        <v>16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90"/>
      <c r="B24" s="80" t="s">
        <v>416</v>
      </c>
      <c r="C24" s="16" t="s">
        <v>417</v>
      </c>
      <c r="D24" s="13">
        <f>$M$14*$M$8</f>
        <v>1507694.9491274673</v>
      </c>
      <c r="E24" s="13">
        <f>$M$16*$M$8/$M$12</f>
        <v>-98071.409230408986</v>
      </c>
      <c r="F24" s="13">
        <f>$M$17*$M$8/$M$12</f>
        <v>0</v>
      </c>
      <c r="G24" s="15"/>
      <c r="H24" s="15"/>
      <c r="I24" s="15"/>
      <c r="J24" s="15"/>
      <c r="K24" s="15"/>
      <c r="L24" s="23" t="s">
        <v>460</v>
      </c>
      <c r="M24" s="2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90"/>
      <c r="B25" s="90"/>
      <c r="C25" s="16" t="s">
        <v>418</v>
      </c>
      <c r="D25" s="13">
        <f>$M$14*$M$10</f>
        <v>0</v>
      </c>
      <c r="E25" s="13">
        <f>$M$16*$M$10/$M$12</f>
        <v>0</v>
      </c>
      <c r="F25" s="13">
        <f>$M$17*$M$10/$M$12</f>
        <v>0</v>
      </c>
      <c r="G25" s="15"/>
      <c r="H25" s="15"/>
      <c r="I25" s="15"/>
      <c r="J25" s="15"/>
      <c r="K25" s="15"/>
      <c r="L25" s="23" t="s">
        <v>461</v>
      </c>
      <c r="M25" s="2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90"/>
      <c r="B26" s="90"/>
      <c r="C26" s="16" t="s">
        <v>419</v>
      </c>
      <c r="D26" s="13">
        <f>$M$14*$M$9</f>
        <v>212142.06914997494</v>
      </c>
      <c r="E26" s="13">
        <f>$M$16*$M$9/$M$12</f>
        <v>-13799.258059883545</v>
      </c>
      <c r="F26" s="13">
        <f>$M$17*$M$9/$M$12</f>
        <v>0</v>
      </c>
      <c r="G26" s="15"/>
      <c r="H26" s="15"/>
      <c r="I26" s="15"/>
      <c r="J26" s="15"/>
      <c r="K26" s="15"/>
      <c r="L26" s="23" t="s">
        <v>462</v>
      </c>
      <c r="M26" s="2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90"/>
      <c r="B27" s="90"/>
      <c r="C27" s="16" t="s">
        <v>420</v>
      </c>
      <c r="D27" s="13"/>
      <c r="E27" s="13"/>
      <c r="F27" s="13"/>
      <c r="G27" s="15"/>
      <c r="H27" s="15"/>
      <c r="I27" s="15"/>
      <c r="J27" s="15"/>
      <c r="K27" s="15"/>
      <c r="L27" s="23" t="s">
        <v>463</v>
      </c>
      <c r="M27" s="2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90"/>
      <c r="B28" s="81"/>
      <c r="C28" s="16" t="s">
        <v>402</v>
      </c>
      <c r="D28" s="13">
        <f>SUM(D$24:D27)</f>
        <v>1719837.0182774423</v>
      </c>
      <c r="E28" s="13">
        <f>SUM(E$24:E27)</f>
        <v>-111870.66729029253</v>
      </c>
      <c r="F28" s="13">
        <f>SUM(F$24:F27)</f>
        <v>0</v>
      </c>
      <c r="G28" s="15"/>
      <c r="H28" s="15"/>
      <c r="I28" s="15"/>
      <c r="J28" s="15"/>
      <c r="K28" s="15"/>
      <c r="L28" s="23" t="s">
        <v>464</v>
      </c>
      <c r="M28" s="2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81"/>
      <c r="B29" s="82" t="s">
        <v>402</v>
      </c>
      <c r="C29" s="83"/>
      <c r="D29" s="13">
        <f>SUMIF(C$2:C28,"SUBTOTAL",D$2:D28)</f>
        <v>25848930.268327355</v>
      </c>
      <c r="E29" s="13">
        <f>SUMIF(C$2:C28,"SUBTOTAL",E$2:E28)</f>
        <v>-5535181.737759307</v>
      </c>
      <c r="F29" s="13">
        <f>SUMIF(C$2:C28,"SUBTOTAL",F$2:F28)</f>
        <v>0</v>
      </c>
      <c r="G29" s="15"/>
      <c r="H29" s="15"/>
      <c r="I29" s="15"/>
      <c r="J29" s="15"/>
      <c r="K29" s="15"/>
      <c r="L29" s="23" t="s">
        <v>465</v>
      </c>
      <c r="M29" s="2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80" t="s">
        <v>421</v>
      </c>
      <c r="B30" s="80" t="s">
        <v>394</v>
      </c>
      <c r="C30" s="16" t="s">
        <v>396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23" t="s">
        <v>466</v>
      </c>
      <c r="M30" s="2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90"/>
      <c r="B31" s="90"/>
      <c r="C31" s="16" t="s">
        <v>422</v>
      </c>
      <c r="D31" s="13">
        <v>696110.48</v>
      </c>
      <c r="E31" s="13">
        <v>0</v>
      </c>
      <c r="F31" s="13">
        <v>0</v>
      </c>
      <c r="G31" s="15"/>
      <c r="H31" s="15"/>
      <c r="I31" s="15"/>
      <c r="J31" s="15"/>
      <c r="K31" s="15"/>
      <c r="L31" s="23" t="s">
        <v>467</v>
      </c>
      <c r="M31" s="2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90"/>
      <c r="B32" s="90"/>
      <c r="C32" s="16" t="s">
        <v>423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23" t="s">
        <v>468</v>
      </c>
      <c r="M32" s="2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90"/>
      <c r="B33" s="90"/>
      <c r="C33" s="16" t="s">
        <v>482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23" t="s">
        <v>469</v>
      </c>
      <c r="M33" s="2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90"/>
      <c r="B34" s="90"/>
      <c r="C34" s="16" t="s">
        <v>424</v>
      </c>
      <c r="D34" s="13">
        <v>0</v>
      </c>
      <c r="E34" s="13">
        <v>0</v>
      </c>
      <c r="F34" s="13">
        <v>0</v>
      </c>
      <c r="G34" s="15"/>
      <c r="H34" s="15"/>
      <c r="I34" s="15"/>
      <c r="J34" s="15"/>
      <c r="K34" s="15"/>
      <c r="L34" s="23" t="s">
        <v>470</v>
      </c>
      <c r="M34" s="2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90"/>
      <c r="B35" s="81"/>
      <c r="C35" s="16" t="s">
        <v>402</v>
      </c>
      <c r="D35" s="13">
        <f>SUM(D$30:D34)</f>
        <v>696110.48</v>
      </c>
      <c r="E35" s="13">
        <f>SUM(E$30:E34)</f>
        <v>0</v>
      </c>
      <c r="F35" s="13">
        <f>SUM(F$30:F34)</f>
        <v>0</v>
      </c>
      <c r="G35" s="15"/>
      <c r="H35" s="15"/>
      <c r="I35" s="15"/>
      <c r="J35" s="15"/>
      <c r="K35" s="15"/>
      <c r="L35" s="23" t="s">
        <v>471</v>
      </c>
      <c r="M35" s="2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90"/>
      <c r="B36" s="80" t="s">
        <v>425</v>
      </c>
      <c r="C36" s="16" t="s">
        <v>426</v>
      </c>
      <c r="D36" s="13">
        <f>$M$14*($M$12-$M$7)</f>
        <v>9134698.25261865</v>
      </c>
      <c r="E36" s="13">
        <f>$M$16*($M$12-$M$7)/$M$12</f>
        <v>-594186.99455570441</v>
      </c>
      <c r="F36" s="13">
        <f>$M$17*($M$12-$M$7)/$M$12</f>
        <v>0</v>
      </c>
      <c r="G36" s="15"/>
      <c r="H36" s="15"/>
      <c r="I36" s="15"/>
      <c r="J36" s="15"/>
      <c r="K36" s="15"/>
      <c r="L36" s="23" t="s">
        <v>472</v>
      </c>
      <c r="M36" s="2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90"/>
      <c r="B37" s="81"/>
      <c r="C37" s="16" t="s">
        <v>402</v>
      </c>
      <c r="D37" s="13">
        <f>SUM(D$36:D36)</f>
        <v>9134698.25261865</v>
      </c>
      <c r="E37" s="13">
        <f>SUM(E$36:E36)</f>
        <v>-594186.99455570441</v>
      </c>
      <c r="F37" s="13">
        <f>SUM(F$36:F36)</f>
        <v>0</v>
      </c>
      <c r="G37" s="15"/>
      <c r="H37" s="15"/>
      <c r="I37" s="15"/>
      <c r="J37" s="15"/>
      <c r="K37" s="15"/>
      <c r="L37" s="23" t="s">
        <v>473</v>
      </c>
      <c r="M37" s="2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90"/>
      <c r="B38" s="80" t="s">
        <v>403</v>
      </c>
      <c r="C38" s="16" t="s">
        <v>427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23" t="s">
        <v>474</v>
      </c>
      <c r="M38" s="23">
        <f>IFERROR(VLOOKUP("Convencional1RuralNão se aplicaRURALB2",Descontos!B1:U88,VLOOKUP("Convencional1RuralNão se aplicaRURALB2",Descontos!B1:U88,20,FALSE)+12,FALSE),100)</f>
        <v>0.06</v>
      </c>
      <c r="N38" s="15" t="s">
        <v>531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90"/>
      <c r="B39" s="90"/>
      <c r="C39" s="16" t="s">
        <v>428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23" t="s">
        <v>475</v>
      </c>
      <c r="M39" s="2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549</v>
      </c>
      <c r="P39" s="15" t="s">
        <v>550</v>
      </c>
      <c r="Q39" s="15" t="s">
        <v>551</v>
      </c>
      <c r="R39" s="15" t="s">
        <v>552</v>
      </c>
      <c r="S39" s="15" t="s">
        <v>1</v>
      </c>
      <c r="T39" s="15" t="s">
        <v>553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3">
      <c r="A40" s="90"/>
      <c r="B40" s="90"/>
      <c r="C40" s="16" t="s">
        <v>429</v>
      </c>
      <c r="D40" s="13"/>
      <c r="E40" s="13"/>
      <c r="F40" s="13"/>
      <c r="G40" s="15"/>
      <c r="H40" s="15"/>
      <c r="I40" s="15"/>
      <c r="J40" s="15"/>
      <c r="K40" s="15"/>
      <c r="L40" s="23" t="s">
        <v>476</v>
      </c>
      <c r="M40" s="2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3"/>
      <c r="P40" s="33"/>
      <c r="Q40" s="33"/>
      <c r="R40" s="33"/>
      <c r="S40" s="33"/>
      <c r="T40" s="33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3">
      <c r="A41" s="90"/>
      <c r="B41" s="81"/>
      <c r="C41" s="16" t="s">
        <v>402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3"/>
      <c r="P41" s="33"/>
      <c r="Q41" s="33"/>
      <c r="R41" s="33"/>
      <c r="S41" s="33"/>
      <c r="T41" s="33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3">
      <c r="A42" s="90"/>
      <c r="B42" s="80" t="s">
        <v>413</v>
      </c>
      <c r="C42" s="16" t="s">
        <v>414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3"/>
      <c r="P42" s="33"/>
      <c r="Q42" s="33"/>
      <c r="R42" s="33"/>
      <c r="S42" s="33"/>
      <c r="T42" s="33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3">
      <c r="A43" s="90"/>
      <c r="B43" s="81"/>
      <c r="C43" s="16" t="s">
        <v>402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3"/>
      <c r="P43" s="33"/>
      <c r="Q43" s="33"/>
      <c r="R43" s="33"/>
      <c r="S43" s="33"/>
      <c r="T43" s="33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3">
      <c r="A44" s="90"/>
      <c r="B44" s="80" t="s">
        <v>416</v>
      </c>
      <c r="C44" s="16" t="s">
        <v>430</v>
      </c>
      <c r="D44" s="13">
        <f>$M$14*$M$11</f>
        <v>0</v>
      </c>
      <c r="E44" s="13">
        <f>$M$16*$M$11/$M$12</f>
        <v>0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3"/>
      <c r="P44" s="33"/>
      <c r="Q44" s="33"/>
      <c r="R44" s="33"/>
      <c r="S44" s="33"/>
      <c r="T44" s="33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3">
      <c r="A45" s="90"/>
      <c r="B45" s="81"/>
      <c r="C45" s="16" t="s">
        <v>402</v>
      </c>
      <c r="D45" s="13">
        <f>SUM(D$44:D44)</f>
        <v>0</v>
      </c>
      <c r="E45" s="13">
        <f>SUM(E$44:E44)</f>
        <v>0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3"/>
      <c r="P45" s="33"/>
      <c r="Q45" s="33"/>
      <c r="R45" s="33"/>
      <c r="S45" s="33"/>
      <c r="T45" s="33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3">
      <c r="A46" s="81"/>
      <c r="B46" s="82" t="s">
        <v>402</v>
      </c>
      <c r="C46" s="83"/>
      <c r="D46" s="13">
        <f>SUMIF(C$30:C45,"SUBTOTAL",D$30:D45)</f>
        <v>9830808.7326186504</v>
      </c>
      <c r="E46" s="13">
        <f>SUMIF(C$30:C45,"SUBTOTAL",E$30:E45)</f>
        <v>-594186.99455570441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3"/>
      <c r="P46" s="33"/>
      <c r="Q46" s="33"/>
      <c r="R46" s="33"/>
      <c r="S46" s="33"/>
      <c r="T46" s="33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3">
      <c r="A47" s="82" t="s">
        <v>431</v>
      </c>
      <c r="B47" s="88"/>
      <c r="C47" s="83"/>
      <c r="D47" s="13">
        <f>SUMIF(C$2:C46,"SUBTOTAL",D$2:D46)</f>
        <v>35679739.000946008</v>
      </c>
      <c r="E47" s="13">
        <f>SUMIF(C$2:C46,"SUBTOTAL",E$2:E46)</f>
        <v>-6129368.7323150113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3"/>
      <c r="P47" s="33"/>
      <c r="Q47" s="33"/>
      <c r="R47" s="33"/>
      <c r="S47" s="33"/>
      <c r="T47" s="33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3">
      <c r="A48" s="86" t="s">
        <v>523</v>
      </c>
      <c r="B48" s="87"/>
      <c r="C48" s="87"/>
      <c r="D48" s="26">
        <f ca="1">'TUSD BE'!$AM$53+'TUSD BE'!$AM$57+'TE BE'!$AB$44</f>
        <v>35679739.000946</v>
      </c>
      <c r="E48" s="26">
        <f ca="1">'TUSD BF'!$AM$53+'TE BF'!$AB$44</f>
        <v>-6129368.7323150095</v>
      </c>
      <c r="F48" s="26">
        <f ca="1">'TUSD CVA'!$AM$53+'TE CVA'!$AB$44</f>
        <v>0</v>
      </c>
      <c r="H48" s="60">
        <f ca="1">D48+E48</f>
        <v>29550370.268630989</v>
      </c>
      <c r="L48" s="58"/>
      <c r="M48" s="23"/>
      <c r="O48" s="33"/>
      <c r="P48" s="33"/>
      <c r="Q48" s="33"/>
      <c r="R48" s="33"/>
      <c r="S48" s="33"/>
      <c r="T48" s="33"/>
    </row>
    <row r="49" spans="1:20" ht="12" customHeight="1" x14ac:dyDescent="0.3">
      <c r="A49" s="86" t="s">
        <v>524</v>
      </c>
      <c r="B49" s="87"/>
      <c r="C49" s="87"/>
      <c r="D49" s="27" t="str">
        <f ca="1">IF(ABS(D48-D47)&gt;1,"ERRO","OK")</f>
        <v>OK</v>
      </c>
      <c r="E49" s="27" t="str">
        <f ca="1">IF(ABS(E48-E47)&gt;1,"ERRO","OK")</f>
        <v>OK</v>
      </c>
      <c r="F49" s="27" t="str">
        <f ca="1">IF(ABS(F48-F47)&gt;1,"ERRO","OK")</f>
        <v>OK</v>
      </c>
      <c r="H49" s="59">
        <v>29550370.268630989</v>
      </c>
      <c r="L49" s="58"/>
      <c r="M49" s="23"/>
      <c r="O49" s="33"/>
      <c r="P49" s="33"/>
      <c r="Q49" s="33"/>
      <c r="R49" s="33"/>
      <c r="S49" s="33"/>
      <c r="T49" s="33"/>
    </row>
    <row r="50" spans="1:20" ht="12" customHeight="1" x14ac:dyDescent="0.3">
      <c r="L50" s="58"/>
      <c r="M50" s="23"/>
      <c r="O50" s="33"/>
      <c r="P50" s="33"/>
      <c r="Q50" s="33"/>
      <c r="R50" s="33"/>
      <c r="S50" s="33"/>
      <c r="T50" s="33"/>
    </row>
    <row r="51" spans="1:20" ht="12" customHeight="1" x14ac:dyDescent="0.3">
      <c r="L51" s="50" t="s">
        <v>477</v>
      </c>
      <c r="M51" s="55">
        <v>0</v>
      </c>
      <c r="O51" s="33"/>
      <c r="P51" s="33"/>
      <c r="Q51" s="33"/>
      <c r="R51" s="33"/>
      <c r="S51" s="33"/>
      <c r="T51" s="33"/>
    </row>
    <row r="52" spans="1:20" ht="12" customHeight="1" x14ac:dyDescent="0.3">
      <c r="O52" s="33"/>
      <c r="P52" s="33"/>
      <c r="Q52" s="33"/>
      <c r="R52" s="33"/>
      <c r="S52" s="33"/>
      <c r="T52" s="33"/>
    </row>
    <row r="53" spans="1:20" ht="12" customHeight="1" x14ac:dyDescent="0.3">
      <c r="O53" s="33"/>
      <c r="P53" s="33"/>
      <c r="Q53" s="33"/>
      <c r="R53" s="33"/>
      <c r="S53" s="33"/>
      <c r="T53" s="33"/>
    </row>
    <row r="54" spans="1:20" ht="12" customHeight="1" x14ac:dyDescent="0.3">
      <c r="O54" s="33"/>
      <c r="P54" s="33"/>
      <c r="Q54" s="33"/>
      <c r="R54" s="33"/>
      <c r="S54" s="33"/>
      <c r="T54" s="33"/>
    </row>
    <row r="55" spans="1:20" ht="12" customHeight="1" x14ac:dyDescent="0.3">
      <c r="O55" s="33"/>
      <c r="P55" s="33"/>
      <c r="Q55" s="33"/>
      <c r="R55" s="33"/>
      <c r="S55" s="33"/>
      <c r="T55" s="33"/>
    </row>
    <row r="56" spans="1:20" ht="12" customHeight="1" x14ac:dyDescent="0.3">
      <c r="O56" s="33"/>
      <c r="P56" s="33"/>
      <c r="Q56" s="33"/>
      <c r="R56" s="33"/>
      <c r="S56" s="33"/>
      <c r="T56" s="33"/>
    </row>
    <row r="57" spans="1:20" ht="12" customHeight="1" x14ac:dyDescent="0.3">
      <c r="O57" s="33"/>
      <c r="P57" s="33"/>
      <c r="Q57" s="33"/>
      <c r="R57" s="33"/>
      <c r="S57" s="33"/>
      <c r="T57" s="33"/>
    </row>
    <row r="58" spans="1:20" ht="12" customHeight="1" x14ac:dyDescent="0.3">
      <c r="O58" s="33"/>
      <c r="P58" s="33"/>
      <c r="Q58" s="33"/>
      <c r="R58" s="33"/>
      <c r="S58" s="33"/>
      <c r="T58" s="33"/>
    </row>
    <row r="59" spans="1:20" ht="12" customHeight="1" x14ac:dyDescent="0.3">
      <c r="O59" s="33"/>
      <c r="P59" s="33"/>
      <c r="Q59" s="33"/>
      <c r="R59" s="33"/>
      <c r="S59" s="33"/>
      <c r="T59" s="33"/>
    </row>
    <row r="60" spans="1:20" ht="12" customHeight="1" x14ac:dyDescent="0.3">
      <c r="O60" s="33"/>
      <c r="P60" s="33"/>
      <c r="Q60" s="33"/>
      <c r="R60" s="33"/>
      <c r="S60" s="33"/>
      <c r="T60" s="33"/>
    </row>
    <row r="61" spans="1:20" ht="12" customHeight="1" x14ac:dyDescent="0.3">
      <c r="O61" s="33"/>
      <c r="P61" s="33"/>
      <c r="Q61" s="33"/>
      <c r="R61" s="33"/>
      <c r="S61" s="33"/>
      <c r="T61" s="33"/>
    </row>
    <row r="62" spans="1:20" ht="12" customHeight="1" x14ac:dyDescent="0.3">
      <c r="O62" s="33"/>
      <c r="P62" s="33"/>
      <c r="Q62" s="33"/>
      <c r="R62" s="33"/>
      <c r="S62" s="33"/>
      <c r="T62" s="33"/>
    </row>
    <row r="63" spans="1:20" ht="12" customHeight="1" x14ac:dyDescent="0.3">
      <c r="O63" s="33"/>
      <c r="P63" s="33"/>
      <c r="Q63" s="33"/>
      <c r="R63" s="33"/>
      <c r="S63" s="33"/>
      <c r="T63" s="33"/>
    </row>
    <row r="64" spans="1:20" ht="12" customHeight="1" x14ac:dyDescent="0.3">
      <c r="O64" s="33"/>
      <c r="P64" s="33"/>
      <c r="Q64" s="33"/>
      <c r="R64" s="33"/>
      <c r="S64" s="33"/>
      <c r="T64" s="33"/>
    </row>
    <row r="65" spans="15:20" ht="12" customHeight="1" x14ac:dyDescent="0.3">
      <c r="O65" s="33"/>
      <c r="P65" s="33"/>
      <c r="Q65" s="33"/>
      <c r="R65" s="33"/>
      <c r="S65" s="33"/>
      <c r="T65" s="33"/>
    </row>
    <row r="66" spans="15:20" ht="12" customHeight="1" x14ac:dyDescent="0.3">
      <c r="O66" s="33"/>
      <c r="P66" s="33"/>
      <c r="Q66" s="33"/>
      <c r="R66" s="33"/>
      <c r="S66" s="33"/>
      <c r="T66" s="33"/>
    </row>
    <row r="67" spans="15:20" ht="12" customHeight="1" x14ac:dyDescent="0.3">
      <c r="O67" s="33"/>
      <c r="P67" s="33"/>
      <c r="Q67" s="33"/>
      <c r="R67" s="33"/>
      <c r="S67" s="33"/>
      <c r="T67" s="33"/>
    </row>
    <row r="68" spans="15:20" ht="12" customHeight="1" x14ac:dyDescent="0.3">
      <c r="O68" s="33"/>
      <c r="P68" s="33"/>
      <c r="Q68" s="33"/>
      <c r="R68" s="33"/>
      <c r="S68" s="33"/>
      <c r="T68" s="33"/>
    </row>
    <row r="69" spans="15:20" ht="12" customHeight="1" x14ac:dyDescent="0.3">
      <c r="O69" s="33"/>
      <c r="P69" s="33"/>
      <c r="Q69" s="33"/>
      <c r="R69" s="33"/>
      <c r="S69" s="33"/>
      <c r="T69" s="33"/>
    </row>
    <row r="70" spans="15:20" ht="12" customHeight="1" x14ac:dyDescent="0.3">
      <c r="O70" s="33"/>
      <c r="P70" s="33"/>
      <c r="Q70" s="33"/>
      <c r="R70" s="33"/>
      <c r="S70" s="33"/>
      <c r="T70" s="33"/>
    </row>
    <row r="71" spans="15:20" ht="12" customHeight="1" x14ac:dyDescent="0.3">
      <c r="O71" s="33"/>
      <c r="P71" s="33"/>
      <c r="Q71" s="33"/>
      <c r="R71" s="33"/>
      <c r="S71" s="33"/>
      <c r="T71" s="33"/>
    </row>
    <row r="72" spans="15:20" ht="12" customHeight="1" x14ac:dyDescent="0.3">
      <c r="O72" s="33"/>
      <c r="P72" s="33"/>
      <c r="Q72" s="33"/>
      <c r="R72" s="33"/>
      <c r="S72" s="33"/>
      <c r="T72" s="33"/>
    </row>
    <row r="73" spans="15:20" ht="12" customHeight="1" x14ac:dyDescent="0.3">
      <c r="O73" s="33"/>
      <c r="P73" s="33"/>
      <c r="Q73" s="33"/>
      <c r="R73" s="33"/>
      <c r="S73" s="33"/>
      <c r="T73" s="33"/>
    </row>
    <row r="74" spans="15:20" ht="12" customHeight="1" x14ac:dyDescent="0.3">
      <c r="O74" s="33"/>
      <c r="P74" s="33"/>
      <c r="Q74" s="33"/>
      <c r="R74" s="33"/>
      <c r="S74" s="33"/>
      <c r="T74" s="33"/>
    </row>
    <row r="75" spans="15:20" ht="12" customHeight="1" x14ac:dyDescent="0.3">
      <c r="O75" s="33"/>
      <c r="P75" s="33"/>
      <c r="Q75" s="33"/>
      <c r="R75" s="33"/>
      <c r="S75" s="33"/>
      <c r="T75" s="33"/>
    </row>
    <row r="76" spans="15:20" ht="12" customHeight="1" x14ac:dyDescent="0.3">
      <c r="O76" s="33"/>
      <c r="P76" s="33"/>
      <c r="Q76" s="33"/>
      <c r="R76" s="33"/>
      <c r="S76" s="33"/>
      <c r="T76" s="33"/>
    </row>
    <row r="77" spans="15:20" ht="12" customHeight="1" x14ac:dyDescent="0.3">
      <c r="O77" s="33"/>
      <c r="P77" s="33"/>
      <c r="Q77" s="33"/>
      <c r="R77" s="33"/>
      <c r="S77" s="33"/>
      <c r="T77" s="33"/>
    </row>
    <row r="78" spans="15:20" ht="12" customHeight="1" x14ac:dyDescent="0.3">
      <c r="O78" s="33"/>
      <c r="P78" s="33"/>
      <c r="Q78" s="33"/>
      <c r="R78" s="33"/>
      <c r="S78" s="33"/>
      <c r="T78" s="33"/>
    </row>
    <row r="79" spans="15:20" ht="12" customHeight="1" x14ac:dyDescent="0.3">
      <c r="O79" s="33"/>
      <c r="P79" s="33"/>
      <c r="Q79" s="33"/>
      <c r="R79" s="33"/>
      <c r="S79" s="33"/>
      <c r="T79" s="33"/>
    </row>
    <row r="80" spans="15:20" ht="12" customHeight="1" x14ac:dyDescent="0.3">
      <c r="O80" s="33"/>
      <c r="P80" s="33"/>
      <c r="Q80" s="33"/>
      <c r="R80" s="33"/>
      <c r="S80" s="33"/>
      <c r="T80" s="33"/>
    </row>
    <row r="81" spans="15:20" ht="12" customHeight="1" x14ac:dyDescent="0.3">
      <c r="O81" s="33"/>
      <c r="P81" s="33"/>
      <c r="Q81" s="33"/>
      <c r="R81" s="33"/>
      <c r="S81" s="33"/>
      <c r="T81" s="33"/>
    </row>
    <row r="82" spans="15:20" ht="12" customHeight="1" x14ac:dyDescent="0.3">
      <c r="O82" s="33"/>
      <c r="P82" s="33"/>
      <c r="Q82" s="33"/>
      <c r="R82" s="33"/>
      <c r="S82" s="33"/>
      <c r="T82" s="33"/>
    </row>
    <row r="83" spans="15:20" ht="12" customHeight="1" x14ac:dyDescent="0.3">
      <c r="O83" s="33"/>
      <c r="P83" s="33"/>
      <c r="Q83" s="33"/>
      <c r="R83" s="33"/>
      <c r="S83" s="33"/>
      <c r="T83" s="33"/>
    </row>
    <row r="84" spans="15:20" ht="12" customHeight="1" x14ac:dyDescent="0.3">
      <c r="O84" s="33"/>
      <c r="P84" s="33"/>
      <c r="Q84" s="33"/>
      <c r="R84" s="33"/>
      <c r="S84" s="33"/>
      <c r="T84" s="33"/>
    </row>
    <row r="85" spans="15:20" ht="12" customHeight="1" x14ac:dyDescent="0.3">
      <c r="O85" s="33"/>
      <c r="P85" s="33"/>
      <c r="Q85" s="33"/>
      <c r="R85" s="33"/>
      <c r="S85" s="33"/>
      <c r="T85" s="33"/>
    </row>
    <row r="86" spans="15:20" ht="12" customHeight="1" x14ac:dyDescent="0.3">
      <c r="O86" s="33"/>
      <c r="P86" s="33"/>
      <c r="Q86" s="33"/>
      <c r="R86" s="33"/>
      <c r="S86" s="33"/>
      <c r="T86" s="33"/>
    </row>
    <row r="87" spans="15:20" ht="12" customHeight="1" x14ac:dyDescent="0.3">
      <c r="O87" s="33"/>
      <c r="P87" s="33"/>
      <c r="Q87" s="33"/>
      <c r="R87" s="33"/>
      <c r="S87" s="33"/>
      <c r="T87" s="33"/>
    </row>
    <row r="88" spans="15:20" ht="12" customHeight="1" x14ac:dyDescent="0.3">
      <c r="O88" s="33"/>
      <c r="P88" s="33"/>
      <c r="Q88" s="33"/>
      <c r="R88" s="33"/>
      <c r="S88" s="33"/>
      <c r="T88" s="33"/>
    </row>
    <row r="89" spans="15:20" ht="12" customHeight="1" x14ac:dyDescent="0.3">
      <c r="O89" s="33"/>
      <c r="P89" s="33"/>
      <c r="Q89" s="33"/>
      <c r="R89" s="33"/>
      <c r="S89" s="33"/>
      <c r="T89" s="33"/>
    </row>
    <row r="90" spans="15:20" ht="12" customHeight="1" x14ac:dyDescent="0.3">
      <c r="O90" s="33"/>
      <c r="P90" s="33"/>
      <c r="Q90" s="33"/>
      <c r="R90" s="33"/>
      <c r="S90" s="33"/>
      <c r="T90" s="33"/>
    </row>
    <row r="91" spans="15:20" ht="12" customHeight="1" x14ac:dyDescent="0.3">
      <c r="O91" s="33"/>
      <c r="P91" s="33"/>
      <c r="Q91" s="33"/>
      <c r="R91" s="33"/>
      <c r="S91" s="33"/>
      <c r="T91" s="33"/>
    </row>
    <row r="92" spans="15:20" ht="12" customHeight="1" x14ac:dyDescent="0.3">
      <c r="O92" s="33"/>
      <c r="P92" s="33"/>
      <c r="Q92" s="33"/>
      <c r="R92" s="33"/>
      <c r="S92" s="33"/>
      <c r="T92" s="33"/>
    </row>
    <row r="93" spans="15:20" ht="12" customHeight="1" x14ac:dyDescent="0.3">
      <c r="O93" s="33"/>
      <c r="P93" s="33"/>
      <c r="Q93" s="33"/>
      <c r="R93" s="33"/>
      <c r="S93" s="33"/>
      <c r="T93" s="33"/>
    </row>
    <row r="94" spans="15:20" ht="12" customHeight="1" x14ac:dyDescent="0.3">
      <c r="O94" s="33"/>
      <c r="P94" s="33"/>
      <c r="Q94" s="33"/>
      <c r="R94" s="33"/>
      <c r="S94" s="33"/>
      <c r="T94" s="33"/>
    </row>
    <row r="95" spans="15:20" ht="12" customHeight="1" x14ac:dyDescent="0.3">
      <c r="O95" s="33"/>
      <c r="P95" s="33"/>
      <c r="Q95" s="33"/>
      <c r="R95" s="33"/>
      <c r="S95" s="33"/>
      <c r="T95" s="33"/>
    </row>
    <row r="96" spans="15:20" ht="12" customHeight="1" x14ac:dyDescent="0.3">
      <c r="O96" s="33"/>
      <c r="P96" s="33"/>
      <c r="Q96" s="33"/>
      <c r="R96" s="33"/>
      <c r="S96" s="33"/>
      <c r="T96" s="33"/>
    </row>
    <row r="97" spans="15:30" ht="12" customHeight="1" x14ac:dyDescent="0.3">
      <c r="O97" s="33"/>
      <c r="P97" s="33"/>
      <c r="Q97" s="33"/>
      <c r="R97" s="33"/>
      <c r="S97" s="33"/>
      <c r="T97" s="33"/>
    </row>
    <row r="98" spans="15:30" ht="12" customHeight="1" x14ac:dyDescent="0.3">
      <c r="O98" s="33"/>
      <c r="P98" s="33"/>
      <c r="Q98" s="33"/>
      <c r="R98" s="33"/>
      <c r="S98" s="33"/>
      <c r="T98" s="33"/>
    </row>
    <row r="99" spans="15:30" ht="12" customHeight="1" x14ac:dyDescent="0.3">
      <c r="O99" s="32"/>
      <c r="P99" s="32"/>
      <c r="Q99" s="32"/>
      <c r="R99" s="32"/>
      <c r="S99" s="32"/>
      <c r="T99" s="32"/>
    </row>
    <row r="100" spans="15:30" ht="12" customHeight="1" x14ac:dyDescent="0.3"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5:30" ht="12" customHeight="1" x14ac:dyDescent="0.3">
      <c r="O101" s="33" t="s">
        <v>549</v>
      </c>
      <c r="P101" s="33" t="s">
        <v>554</v>
      </c>
      <c r="Q101" s="33" t="s">
        <v>555</v>
      </c>
      <c r="R101" s="33" t="s">
        <v>556</v>
      </c>
      <c r="S101" s="33" t="s">
        <v>557</v>
      </c>
      <c r="T101" s="33" t="s">
        <v>558</v>
      </c>
      <c r="U101" s="33" t="s">
        <v>559</v>
      </c>
      <c r="V101" s="33" t="s">
        <v>560</v>
      </c>
      <c r="W101" s="33"/>
      <c r="X101" s="33"/>
      <c r="Y101" s="33"/>
      <c r="Z101" s="33"/>
      <c r="AA101" s="33"/>
      <c r="AB101" s="33"/>
      <c r="AC101" s="33"/>
      <c r="AD101" s="33"/>
    </row>
    <row r="102" spans="15:30" ht="12" customHeight="1" x14ac:dyDescent="0.3">
      <c r="O102" s="33" t="s">
        <v>33</v>
      </c>
      <c r="P102" s="33" t="s">
        <v>35</v>
      </c>
      <c r="Q102" s="33" t="s">
        <v>34</v>
      </c>
      <c r="R102" s="33" t="s">
        <v>41</v>
      </c>
      <c r="S102" s="33" t="s">
        <v>25</v>
      </c>
      <c r="T102" s="33" t="s">
        <v>561</v>
      </c>
      <c r="U102" s="33">
        <v>4</v>
      </c>
      <c r="V102" s="33">
        <v>0.1</v>
      </c>
      <c r="W102" s="33">
        <v>0.08</v>
      </c>
      <c r="X102" s="33">
        <v>0.06</v>
      </c>
      <c r="Y102" s="33">
        <v>0.04</v>
      </c>
      <c r="Z102" s="33">
        <v>0.02</v>
      </c>
      <c r="AA102" s="33">
        <v>0</v>
      </c>
      <c r="AB102" s="33"/>
      <c r="AC102" s="33"/>
      <c r="AD102" s="33"/>
    </row>
    <row r="103" spans="15:30" ht="12" customHeight="1" x14ac:dyDescent="0.3">
      <c r="O103" s="33" t="s">
        <v>33</v>
      </c>
      <c r="P103" s="33" t="s">
        <v>35</v>
      </c>
      <c r="Q103" s="33" t="s">
        <v>34</v>
      </c>
      <c r="R103" s="33" t="s">
        <v>46</v>
      </c>
      <c r="S103" s="33" t="s">
        <v>47</v>
      </c>
      <c r="T103" s="33" t="s">
        <v>562</v>
      </c>
      <c r="U103" s="33">
        <v>4</v>
      </c>
      <c r="V103" s="33">
        <v>0.15</v>
      </c>
      <c r="W103" s="33">
        <v>0.12</v>
      </c>
      <c r="X103" s="33">
        <v>0.09</v>
      </c>
      <c r="Y103" s="33">
        <v>0.06</v>
      </c>
      <c r="Z103" s="33">
        <v>0.03</v>
      </c>
      <c r="AA103" s="33">
        <v>0</v>
      </c>
      <c r="AB103" s="33"/>
      <c r="AC103" s="33"/>
      <c r="AD103" s="33"/>
    </row>
    <row r="104" spans="15:30" ht="12" customHeight="1" x14ac:dyDescent="0.3">
      <c r="O104" s="33" t="s">
        <v>33</v>
      </c>
      <c r="P104" s="33" t="s">
        <v>563</v>
      </c>
      <c r="Q104" s="33" t="s">
        <v>40</v>
      </c>
      <c r="R104" s="33" t="s">
        <v>41</v>
      </c>
      <c r="S104" s="33" t="s">
        <v>95</v>
      </c>
      <c r="T104" s="33" t="s">
        <v>562</v>
      </c>
      <c r="U104" s="33">
        <v>4</v>
      </c>
      <c r="V104" s="33">
        <v>0.3</v>
      </c>
      <c r="W104" s="33">
        <v>0.24</v>
      </c>
      <c r="X104" s="33">
        <v>0.18</v>
      </c>
      <c r="Y104" s="33">
        <v>0.12</v>
      </c>
      <c r="Z104" s="33">
        <v>0.06</v>
      </c>
      <c r="AA104" s="33">
        <v>0</v>
      </c>
      <c r="AB104" s="33"/>
      <c r="AC104" s="33"/>
      <c r="AD104" s="33"/>
    </row>
    <row r="105" spans="15:30" ht="12" customHeight="1" x14ac:dyDescent="0.3">
      <c r="O105" s="33" t="s">
        <v>33</v>
      </c>
      <c r="P105" s="33" t="s">
        <v>92</v>
      </c>
      <c r="Q105" s="33" t="s">
        <v>40</v>
      </c>
      <c r="R105" s="33" t="s">
        <v>41</v>
      </c>
      <c r="S105" s="33" t="s">
        <v>25</v>
      </c>
      <c r="T105" s="33" t="s">
        <v>41</v>
      </c>
      <c r="U105" s="33">
        <v>4</v>
      </c>
      <c r="V105" s="33">
        <v>0.3</v>
      </c>
      <c r="W105" s="33">
        <v>0.24</v>
      </c>
      <c r="X105" s="33">
        <v>0.18</v>
      </c>
      <c r="Y105" s="33">
        <v>0.12</v>
      </c>
      <c r="Z105" s="33">
        <v>0.06</v>
      </c>
      <c r="AA105" s="33">
        <v>0</v>
      </c>
      <c r="AB105" s="33"/>
      <c r="AC105" s="33"/>
      <c r="AD105" s="33"/>
    </row>
    <row r="106" spans="15:30" ht="12" customHeight="1" x14ac:dyDescent="0.3">
      <c r="O106" s="33" t="s">
        <v>33</v>
      </c>
      <c r="P106" s="33" t="s">
        <v>563</v>
      </c>
      <c r="Q106" s="33" t="s">
        <v>40</v>
      </c>
      <c r="R106" s="33" t="s">
        <v>41</v>
      </c>
      <c r="S106" s="33" t="s">
        <v>96</v>
      </c>
      <c r="T106" s="33" t="s">
        <v>562</v>
      </c>
      <c r="U106" s="33">
        <v>4</v>
      </c>
      <c r="V106" s="33">
        <v>0.4</v>
      </c>
      <c r="W106" s="33">
        <v>0.32</v>
      </c>
      <c r="X106" s="33">
        <v>0.24</v>
      </c>
      <c r="Y106" s="33">
        <v>0.16</v>
      </c>
      <c r="Z106" s="33">
        <v>0.08</v>
      </c>
      <c r="AA106" s="33">
        <v>0</v>
      </c>
      <c r="AB106" s="33"/>
      <c r="AC106" s="33"/>
      <c r="AD106" s="33"/>
    </row>
    <row r="107" spans="15:30" ht="12" customHeight="1" x14ac:dyDescent="0.3">
      <c r="O107" s="33" t="s">
        <v>33</v>
      </c>
      <c r="P107" s="33" t="s">
        <v>92</v>
      </c>
      <c r="Q107" s="33" t="s">
        <v>32</v>
      </c>
      <c r="R107" s="33" t="s">
        <v>46</v>
      </c>
      <c r="S107" s="33" t="s">
        <v>47</v>
      </c>
      <c r="T107" s="33" t="s">
        <v>562</v>
      </c>
      <c r="U107" s="33">
        <v>4</v>
      </c>
      <c r="V107" s="33">
        <v>0.15</v>
      </c>
      <c r="W107" s="33">
        <v>0.12</v>
      </c>
      <c r="X107" s="33">
        <v>0.09</v>
      </c>
      <c r="Y107" s="33">
        <v>0.06</v>
      </c>
      <c r="Z107" s="33">
        <v>0.03</v>
      </c>
      <c r="AA107" s="33">
        <v>0</v>
      </c>
      <c r="AB107" s="33"/>
      <c r="AC107" s="33"/>
      <c r="AD107" s="33"/>
    </row>
    <row r="108" spans="15:30" ht="12" customHeight="1" x14ac:dyDescent="0.3">
      <c r="O108" s="33" t="s">
        <v>33</v>
      </c>
      <c r="P108" s="33" t="s">
        <v>23</v>
      </c>
      <c r="Q108" s="33" t="s">
        <v>34</v>
      </c>
      <c r="R108" s="33" t="s">
        <v>41</v>
      </c>
      <c r="S108" s="33" t="s">
        <v>25</v>
      </c>
      <c r="T108" s="33" t="s">
        <v>561</v>
      </c>
      <c r="U108" s="33">
        <v>4</v>
      </c>
      <c r="V108" s="33">
        <v>0.1</v>
      </c>
      <c r="W108" s="33">
        <v>0.08</v>
      </c>
      <c r="X108" s="33">
        <v>0.06</v>
      </c>
      <c r="Y108" s="33">
        <v>0.04</v>
      </c>
      <c r="Z108" s="33">
        <v>0.02</v>
      </c>
      <c r="AA108" s="33">
        <v>0</v>
      </c>
      <c r="AB108" s="33"/>
      <c r="AC108" s="33"/>
      <c r="AD108" s="33"/>
    </row>
    <row r="109" spans="15:30" ht="12" customHeight="1" x14ac:dyDescent="0.3">
      <c r="O109" s="33" t="s">
        <v>33</v>
      </c>
      <c r="P109" s="33" t="s">
        <v>564</v>
      </c>
      <c r="Q109" s="33" t="s">
        <v>34</v>
      </c>
      <c r="R109" s="33" t="s">
        <v>46</v>
      </c>
      <c r="S109" s="33" t="s">
        <v>47</v>
      </c>
      <c r="T109" s="33" t="s">
        <v>562</v>
      </c>
      <c r="U109" s="33">
        <v>4</v>
      </c>
      <c r="V109" s="33">
        <v>0.15</v>
      </c>
      <c r="W109" s="33">
        <v>0.12</v>
      </c>
      <c r="X109" s="33">
        <v>0.09</v>
      </c>
      <c r="Y109" s="33">
        <v>0.06</v>
      </c>
      <c r="Z109" s="33">
        <v>0.03</v>
      </c>
      <c r="AA109" s="33">
        <v>0</v>
      </c>
      <c r="AB109" s="33"/>
      <c r="AC109" s="33"/>
      <c r="AD109" s="33"/>
    </row>
    <row r="110" spans="15:30" ht="12" customHeight="1" x14ac:dyDescent="0.3">
      <c r="O110" s="33" t="s">
        <v>33</v>
      </c>
      <c r="P110" s="33" t="s">
        <v>23</v>
      </c>
      <c r="Q110" s="33" t="s">
        <v>40</v>
      </c>
      <c r="R110" s="33" t="s">
        <v>41</v>
      </c>
      <c r="S110" s="33" t="s">
        <v>95</v>
      </c>
      <c r="T110" s="33" t="s">
        <v>562</v>
      </c>
      <c r="U110" s="33">
        <v>4</v>
      </c>
      <c r="V110" s="33">
        <v>0.3</v>
      </c>
      <c r="W110" s="33">
        <v>0.24</v>
      </c>
      <c r="X110" s="33">
        <v>0.18</v>
      </c>
      <c r="Y110" s="33">
        <v>0.12</v>
      </c>
      <c r="Z110" s="33">
        <v>0.06</v>
      </c>
      <c r="AA110" s="33">
        <v>0</v>
      </c>
      <c r="AB110" s="33"/>
      <c r="AC110" s="33"/>
      <c r="AD110" s="33"/>
    </row>
    <row r="111" spans="15:30" ht="12" customHeight="1" x14ac:dyDescent="0.3">
      <c r="O111" s="33" t="s">
        <v>33</v>
      </c>
      <c r="P111" s="33" t="s">
        <v>23</v>
      </c>
      <c r="Q111" s="33" t="s">
        <v>40</v>
      </c>
      <c r="R111" s="33" t="s">
        <v>41</v>
      </c>
      <c r="S111" s="33" t="s">
        <v>25</v>
      </c>
      <c r="T111" s="33" t="s">
        <v>41</v>
      </c>
      <c r="U111" s="33">
        <v>4</v>
      </c>
      <c r="V111" s="33">
        <v>0.3</v>
      </c>
      <c r="W111" s="33">
        <v>0.24</v>
      </c>
      <c r="X111" s="33">
        <v>0.18</v>
      </c>
      <c r="Y111" s="33">
        <v>0.12</v>
      </c>
      <c r="Z111" s="33">
        <v>0.06</v>
      </c>
      <c r="AA111" s="33">
        <v>0</v>
      </c>
      <c r="AB111" s="33"/>
      <c r="AC111" s="33"/>
      <c r="AD111" s="33"/>
    </row>
    <row r="112" spans="15:30" ht="12" customHeight="1" x14ac:dyDescent="0.3">
      <c r="O112" s="33" t="s">
        <v>33</v>
      </c>
      <c r="P112" s="33" t="s">
        <v>23</v>
      </c>
      <c r="Q112" s="33" t="s">
        <v>40</v>
      </c>
      <c r="R112" s="33" t="s">
        <v>41</v>
      </c>
      <c r="S112" s="33" t="s">
        <v>96</v>
      </c>
      <c r="T112" s="33" t="s">
        <v>562</v>
      </c>
      <c r="U112" s="33">
        <v>4</v>
      </c>
      <c r="V112" s="33">
        <v>0.4</v>
      </c>
      <c r="W112" s="33">
        <v>0.32</v>
      </c>
      <c r="X112" s="33">
        <v>0.24</v>
      </c>
      <c r="Y112" s="33">
        <v>0.16</v>
      </c>
      <c r="Z112" s="33">
        <v>0.08</v>
      </c>
      <c r="AA112" s="33">
        <v>0</v>
      </c>
      <c r="AB112" s="33"/>
      <c r="AC112" s="33"/>
      <c r="AD112" s="33"/>
    </row>
    <row r="113" spans="15:30" ht="12" customHeight="1" x14ac:dyDescent="0.3">
      <c r="O113" s="33" t="s">
        <v>33</v>
      </c>
      <c r="P113" s="33" t="s">
        <v>23</v>
      </c>
      <c r="Q113" s="33" t="s">
        <v>32</v>
      </c>
      <c r="R113" s="33" t="s">
        <v>46</v>
      </c>
      <c r="S113" s="33" t="s">
        <v>47</v>
      </c>
      <c r="T113" s="33" t="s">
        <v>562</v>
      </c>
      <c r="U113" s="33">
        <v>4</v>
      </c>
      <c r="V113" s="33">
        <v>0.15</v>
      </c>
      <c r="W113" s="33">
        <v>0.12</v>
      </c>
      <c r="X113" s="33">
        <v>0.09</v>
      </c>
      <c r="Y113" s="33">
        <v>0.06</v>
      </c>
      <c r="Z113" s="33">
        <v>0.03</v>
      </c>
      <c r="AA113" s="33">
        <v>0</v>
      </c>
      <c r="AB113" s="33"/>
      <c r="AC113" s="33"/>
      <c r="AD113" s="33"/>
    </row>
    <row r="114" spans="15:30" ht="12" customHeight="1" x14ac:dyDescent="0.3">
      <c r="O114" s="33" t="s">
        <v>33</v>
      </c>
      <c r="P114" s="33" t="s">
        <v>38</v>
      </c>
      <c r="Q114" s="33" t="s">
        <v>34</v>
      </c>
      <c r="R114" s="33" t="s">
        <v>41</v>
      </c>
      <c r="S114" s="33" t="s">
        <v>25</v>
      </c>
      <c r="T114" s="33" t="s">
        <v>561</v>
      </c>
      <c r="U114" s="33">
        <v>4</v>
      </c>
      <c r="V114" s="33">
        <v>0.1</v>
      </c>
      <c r="W114" s="33">
        <v>0.08</v>
      </c>
      <c r="X114" s="33">
        <v>0.06</v>
      </c>
      <c r="Y114" s="33">
        <v>0.04</v>
      </c>
      <c r="Z114" s="33">
        <v>0.02</v>
      </c>
      <c r="AA114" s="33">
        <v>0</v>
      </c>
      <c r="AB114" s="33"/>
      <c r="AC114" s="33"/>
      <c r="AD114" s="33"/>
    </row>
    <row r="115" spans="15:30" ht="12" customHeight="1" x14ac:dyDescent="0.3">
      <c r="O115" s="33" t="s">
        <v>33</v>
      </c>
      <c r="P115" s="33" t="s">
        <v>38</v>
      </c>
      <c r="Q115" s="33" t="s">
        <v>34</v>
      </c>
      <c r="R115" s="33" t="s">
        <v>46</v>
      </c>
      <c r="S115" s="33" t="s">
        <v>47</v>
      </c>
      <c r="T115" s="33" t="s">
        <v>562</v>
      </c>
      <c r="U115" s="33">
        <v>4</v>
      </c>
      <c r="V115" s="33">
        <v>0.15</v>
      </c>
      <c r="W115" s="33">
        <v>0.12</v>
      </c>
      <c r="X115" s="33">
        <v>0.09</v>
      </c>
      <c r="Y115" s="33">
        <v>0.06</v>
      </c>
      <c r="Z115" s="33">
        <v>0.03</v>
      </c>
      <c r="AA115" s="33">
        <v>0</v>
      </c>
      <c r="AB115" s="33"/>
      <c r="AC115" s="33"/>
      <c r="AD115" s="33"/>
    </row>
    <row r="116" spans="15:30" ht="12" customHeight="1" x14ac:dyDescent="0.3"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5:30" ht="12" customHeight="1" x14ac:dyDescent="0.3"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5:30" ht="12" customHeight="1" x14ac:dyDescent="0.3"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5:30" ht="12" customHeight="1" x14ac:dyDescent="0.3"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5:30" ht="12" customHeight="1" x14ac:dyDescent="0.3"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5:30" ht="12" customHeight="1" x14ac:dyDescent="0.3"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5:30" ht="12" customHeight="1" x14ac:dyDescent="0.3"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5:30" ht="12" customHeight="1" x14ac:dyDescent="0.3"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5:30" ht="12" customHeight="1" x14ac:dyDescent="0.3"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5:30" ht="12" customHeight="1" x14ac:dyDescent="0.3"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5:30" ht="12" customHeight="1" x14ac:dyDescent="0.3"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5:30" ht="12" customHeight="1" x14ac:dyDescent="0.3"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5:30" ht="12" customHeight="1" x14ac:dyDescent="0.3"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5:30" ht="12" customHeight="1" x14ac:dyDescent="0.3"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5:30" ht="12" customHeight="1" x14ac:dyDescent="0.3"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5:30" ht="12" customHeight="1" x14ac:dyDescent="0.3"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5:30" ht="12" customHeight="1" x14ac:dyDescent="0.3"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5:30" ht="12" customHeight="1" x14ac:dyDescent="0.3"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5:30" ht="12" customHeight="1" x14ac:dyDescent="0.3"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5:30" ht="12" customHeight="1" x14ac:dyDescent="0.3"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5:30" ht="12" customHeight="1" x14ac:dyDescent="0.3"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5:30" ht="12" customHeight="1" x14ac:dyDescent="0.3"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5:30" ht="12" customHeight="1" x14ac:dyDescent="0.3"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5:30" ht="12" customHeight="1" x14ac:dyDescent="0.3"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5:30" ht="12" customHeight="1" x14ac:dyDescent="0.3"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5:30" ht="12" customHeight="1" x14ac:dyDescent="0.3"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5:30" ht="12" customHeight="1" x14ac:dyDescent="0.3"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5:30" ht="12" customHeight="1" x14ac:dyDescent="0.3"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5:30" ht="12" customHeight="1" x14ac:dyDescent="0.3"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5:30" ht="12" customHeight="1" x14ac:dyDescent="0.3"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5:30" ht="12" customHeight="1" x14ac:dyDescent="0.3"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5:30" ht="12" customHeight="1" x14ac:dyDescent="0.3"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5:30" ht="12" customHeight="1" x14ac:dyDescent="0.3"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5:30" ht="12" customHeight="1" x14ac:dyDescent="0.3"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5:30" ht="12" customHeight="1" x14ac:dyDescent="0.3"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5:30" ht="12" customHeight="1" x14ac:dyDescent="0.3"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5:30" ht="12" customHeight="1" x14ac:dyDescent="0.3"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5:30" ht="12" customHeight="1" x14ac:dyDescent="0.3"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5:30" ht="12" customHeight="1" x14ac:dyDescent="0.3"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5:30" ht="12" customHeight="1" x14ac:dyDescent="0.3"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5:30" ht="12" customHeight="1" x14ac:dyDescent="0.3"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5:30" ht="12" customHeight="1" x14ac:dyDescent="0.3"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5:30" ht="12" customHeight="1" x14ac:dyDescent="0.3"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5:30" ht="12" customHeight="1" x14ac:dyDescent="0.3"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5:30" ht="12" customHeight="1" x14ac:dyDescent="0.3"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5:30" ht="12" customHeight="1" x14ac:dyDescent="0.3"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5:30" ht="12" customHeight="1" x14ac:dyDescent="0.3"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5:30" ht="12" customHeight="1" x14ac:dyDescent="0.3"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5:30" ht="12" customHeight="1" x14ac:dyDescent="0.3"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5:30" ht="12" customHeight="1" x14ac:dyDescent="0.3"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5:30" ht="12" customHeight="1" x14ac:dyDescent="0.3"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5:30" ht="12" customHeight="1" x14ac:dyDescent="0.3"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5:30" ht="12" customHeight="1" x14ac:dyDescent="0.3"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5:30" ht="12" customHeight="1" x14ac:dyDescent="0.3"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5:30" ht="12" customHeight="1" x14ac:dyDescent="0.3"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5:30" ht="12" customHeight="1" x14ac:dyDescent="0.3"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5:30" ht="12" customHeight="1" x14ac:dyDescent="0.3"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5:30" ht="12" customHeight="1" x14ac:dyDescent="0.3"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5:30" ht="12" customHeight="1" x14ac:dyDescent="0.3"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5:30" ht="12" customHeight="1" x14ac:dyDescent="0.3"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5:30" ht="12" customHeight="1" x14ac:dyDescent="0.3"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5:30" ht="12" customHeight="1" x14ac:dyDescent="0.3"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5:30" ht="12" customHeight="1" x14ac:dyDescent="0.3"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5:30" ht="12" customHeight="1" x14ac:dyDescent="0.3"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5:30" ht="12" customHeight="1" x14ac:dyDescent="0.3"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5:30" ht="12" customHeight="1" x14ac:dyDescent="0.3"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5:30" ht="12" customHeight="1" x14ac:dyDescent="0.3"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5:30" ht="12" customHeight="1" x14ac:dyDescent="0.3"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5:30" ht="12" customHeight="1" x14ac:dyDescent="0.3"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5:30" ht="12" customHeight="1" x14ac:dyDescent="0.3"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5:30" ht="12" customHeight="1" x14ac:dyDescent="0.3"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5:30" ht="12" customHeight="1" x14ac:dyDescent="0.3"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5:30" ht="12" customHeight="1" x14ac:dyDescent="0.3"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5:30" ht="12" customHeight="1" x14ac:dyDescent="0.3"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5:30" ht="12" customHeight="1" x14ac:dyDescent="0.3"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5:30" ht="12" customHeight="1" x14ac:dyDescent="0.3"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5:30" ht="12" customHeight="1" x14ac:dyDescent="0.3"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5:30" ht="12" customHeight="1" x14ac:dyDescent="0.3"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5:30" ht="12" customHeight="1" x14ac:dyDescent="0.3"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5:30" ht="12" customHeight="1" x14ac:dyDescent="0.3"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5:30" ht="12" customHeight="1" x14ac:dyDescent="0.3"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5:30" ht="12" customHeight="1" x14ac:dyDescent="0.3"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5:30" ht="12" customHeight="1" x14ac:dyDescent="0.3"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5:30" ht="12" customHeight="1" x14ac:dyDescent="0.3"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5:30" ht="12" customHeight="1" x14ac:dyDescent="0.3"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</sheetData>
  <mergeCells count="19"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  <mergeCell ref="B44:B45"/>
    <mergeCell ref="B46:C46"/>
    <mergeCell ref="O1:U1"/>
    <mergeCell ref="A48:C48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7B5E-9B63-4D71-B237-0DC9585B774B}">
  <dimension ref="A1:AP51"/>
  <sheetViews>
    <sheetView showGridLines="0" topLeftCell="D41" workbookViewId="0">
      <selection activeCell="K62" sqref="K62:P62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8" width="7.109375" style="9" bestFit="1" customWidth="1"/>
    <col min="9" max="9" width="7.886718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9.5546875" style="9" bestFit="1" customWidth="1"/>
    <col min="14" max="14" width="10.77734375" style="9" bestFit="1" customWidth="1"/>
    <col min="15" max="16" width="8.218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88671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9.109375" style="9" bestFit="1" customWidth="1"/>
    <col min="39" max="39" width="9.88671875" style="9" bestFit="1" customWidth="1"/>
    <col min="40" max="41" width="8.88671875" style="9"/>
    <col min="42" max="42" width="7.21875" style="9" bestFit="1" customWidth="1"/>
    <col min="43" max="16384" width="8.88671875" style="9"/>
  </cols>
  <sheetData>
    <row r="1" spans="1:42" ht="11.25" customHeight="1" x14ac:dyDescent="0.3">
      <c r="A1" s="91" t="s">
        <v>69</v>
      </c>
      <c r="B1" s="91" t="s">
        <v>70</v>
      </c>
      <c r="C1" s="91" t="s">
        <v>71</v>
      </c>
      <c r="D1" s="91" t="s">
        <v>72</v>
      </c>
      <c r="E1" s="91" t="s">
        <v>73</v>
      </c>
      <c r="F1" s="91" t="s">
        <v>15</v>
      </c>
      <c r="G1" s="91" t="s">
        <v>75</v>
      </c>
      <c r="H1" s="91" t="s">
        <v>76</v>
      </c>
      <c r="I1" s="91" t="s">
        <v>494</v>
      </c>
      <c r="J1" s="84"/>
      <c r="L1" s="92" t="s">
        <v>495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496</v>
      </c>
    </row>
    <row r="2" spans="1:42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393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394</v>
      </c>
      <c r="M3" s="92"/>
      <c r="N3" s="92"/>
      <c r="O3" s="92"/>
      <c r="P3" s="92"/>
      <c r="Q3" s="92"/>
      <c r="R3" s="92"/>
      <c r="S3" s="92"/>
      <c r="T3" s="92"/>
      <c r="U3" s="92" t="s">
        <v>403</v>
      </c>
      <c r="V3" s="92"/>
      <c r="W3" s="92"/>
      <c r="X3" s="92"/>
      <c r="Y3" s="92"/>
      <c r="Z3" s="92"/>
      <c r="AA3" s="92"/>
      <c r="AB3" s="92"/>
      <c r="AC3" s="92" t="s">
        <v>411</v>
      </c>
      <c r="AD3" s="92"/>
      <c r="AE3" s="92" t="s">
        <v>413</v>
      </c>
      <c r="AF3" s="92"/>
      <c r="AG3" s="92"/>
      <c r="AH3" s="92" t="s">
        <v>416</v>
      </c>
      <c r="AI3" s="92"/>
      <c r="AJ3" s="92"/>
      <c r="AK3" s="92"/>
      <c r="AL3" s="92"/>
      <c r="AM3" s="92" t="s">
        <v>402</v>
      </c>
      <c r="AP3" s="93"/>
    </row>
    <row r="4" spans="1:42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479</v>
      </c>
      <c r="M4" s="10" t="s">
        <v>395</v>
      </c>
      <c r="N4" s="10" t="s">
        <v>396</v>
      </c>
      <c r="O4" s="10" t="s">
        <v>397</v>
      </c>
      <c r="P4" s="10" t="s">
        <v>398</v>
      </c>
      <c r="Q4" s="10" t="s">
        <v>399</v>
      </c>
      <c r="R4" s="10" t="s">
        <v>400</v>
      </c>
      <c r="S4" s="10" t="s">
        <v>401</v>
      </c>
      <c r="T4" s="10" t="s">
        <v>402</v>
      </c>
      <c r="U4" s="10" t="s">
        <v>404</v>
      </c>
      <c r="V4" s="10" t="s">
        <v>405</v>
      </c>
      <c r="W4" s="10" t="s">
        <v>406</v>
      </c>
      <c r="X4" s="10" t="s">
        <v>407</v>
      </c>
      <c r="Y4" s="10" t="s">
        <v>408</v>
      </c>
      <c r="Z4" s="10" t="s">
        <v>409</v>
      </c>
      <c r="AA4" s="10" t="s">
        <v>410</v>
      </c>
      <c r="AB4" s="10" t="s">
        <v>402</v>
      </c>
      <c r="AC4" s="10" t="s">
        <v>412</v>
      </c>
      <c r="AD4" s="10" t="s">
        <v>402</v>
      </c>
      <c r="AE4" s="10" t="s">
        <v>414</v>
      </c>
      <c r="AF4" s="10" t="s">
        <v>415</v>
      </c>
      <c r="AG4" s="10" t="s">
        <v>402</v>
      </c>
      <c r="AH4" s="10" t="s">
        <v>417</v>
      </c>
      <c r="AI4" s="10" t="s">
        <v>418</v>
      </c>
      <c r="AJ4" s="10" t="s">
        <v>419</v>
      </c>
      <c r="AK4" s="10" t="s">
        <v>420</v>
      </c>
      <c r="AL4" s="10" t="s">
        <v>402</v>
      </c>
      <c r="AM4" s="94"/>
      <c r="AP4" s="93"/>
    </row>
    <row r="5" spans="1:42" ht="11.25" customHeight="1" x14ac:dyDescent="0.3">
      <c r="A5" s="95" t="s">
        <v>34</v>
      </c>
      <c r="B5" s="95" t="s">
        <v>35</v>
      </c>
      <c r="C5" s="95" t="s">
        <v>25</v>
      </c>
      <c r="D5" s="95" t="s">
        <v>25</v>
      </c>
      <c r="E5" s="95" t="s">
        <v>25</v>
      </c>
      <c r="F5" s="95" t="s">
        <v>25</v>
      </c>
      <c r="G5" s="18" t="s">
        <v>85</v>
      </c>
      <c r="H5" s="18" t="s">
        <v>84</v>
      </c>
      <c r="I5" s="18">
        <f>'MERCADO TUSD'!$U$2</f>
        <v>372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6.8099999999999994E-2</v>
      </c>
      <c r="Z5" s="13">
        <v>0</v>
      </c>
      <c r="AA5" s="13">
        <v>0</v>
      </c>
      <c r="AB5" s="13"/>
      <c r="AC5" s="13">
        <v>23.964099999999998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3">
      <c r="A6" s="95"/>
      <c r="B6" s="95"/>
      <c r="C6" s="95"/>
      <c r="D6" s="95"/>
      <c r="E6" s="95"/>
      <c r="F6" s="95"/>
      <c r="G6" s="18" t="s">
        <v>86</v>
      </c>
      <c r="H6" s="18" t="s">
        <v>84</v>
      </c>
      <c r="I6" s="18">
        <f>'MERCADO TUSD'!$U$3</f>
        <v>457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3.9199999999999999E-2</v>
      </c>
      <c r="Z6" s="13">
        <v>0</v>
      </c>
      <c r="AA6" s="13">
        <v>0</v>
      </c>
      <c r="AB6" s="13"/>
      <c r="AC6" s="13">
        <v>6.5589000000000004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3">
      <c r="A7" s="95"/>
      <c r="B7" s="95"/>
      <c r="C7" s="95"/>
      <c r="D7" s="95"/>
      <c r="E7" s="95"/>
      <c r="F7" s="95"/>
      <c r="G7" s="18" t="s">
        <v>83</v>
      </c>
      <c r="H7" s="18" t="s">
        <v>79</v>
      </c>
      <c r="I7" s="18">
        <f>'MERCADO TUSD'!$U$4</f>
        <v>166.83199999999999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3">
      <c r="A8" s="95"/>
      <c r="B8" s="95"/>
      <c r="C8" s="95"/>
      <c r="D8" s="95"/>
      <c r="E8" s="17" t="s">
        <v>87</v>
      </c>
      <c r="F8" s="17" t="s">
        <v>25</v>
      </c>
      <c r="G8" s="18" t="s">
        <v>83</v>
      </c>
      <c r="H8" s="18" t="s">
        <v>79</v>
      </c>
      <c r="I8" s="18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3">
      <c r="A9" s="95"/>
      <c r="B9" s="17" t="s">
        <v>56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84</v>
      </c>
      <c r="I9" s="18">
        <f>'MERCADO TUSD'!$U$6</f>
        <v>137556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3.6606999999999998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3">
      <c r="A10" s="95"/>
      <c r="B10" s="95" t="s">
        <v>38</v>
      </c>
      <c r="C10" s="95" t="s">
        <v>25</v>
      </c>
      <c r="D10" s="95" t="s">
        <v>25</v>
      </c>
      <c r="E10" s="95" t="s">
        <v>25</v>
      </c>
      <c r="F10" s="95" t="s">
        <v>25</v>
      </c>
      <c r="G10" s="18" t="s">
        <v>9</v>
      </c>
      <c r="H10" s="18" t="s">
        <v>84</v>
      </c>
      <c r="I10" s="18">
        <f>'MERCADO TUSD'!$U$7</f>
        <v>63157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3.9199999999999999E-2</v>
      </c>
      <c r="Z10" s="13">
        <v>0</v>
      </c>
      <c r="AA10" s="13">
        <v>0</v>
      </c>
      <c r="AB10" s="13"/>
      <c r="AC10" s="13">
        <v>6.5589000000000004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3">
      <c r="A11" s="95"/>
      <c r="B11" s="95"/>
      <c r="C11" s="95"/>
      <c r="D11" s="95"/>
      <c r="E11" s="95"/>
      <c r="F11" s="95"/>
      <c r="G11" s="18" t="s">
        <v>80</v>
      </c>
      <c r="H11" s="18" t="s">
        <v>79</v>
      </c>
      <c r="I11" s="18">
        <f>'MERCADO TUSD'!$U$8</f>
        <v>783.01900000000001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1.6387</v>
      </c>
      <c r="Z11" s="13">
        <v>0</v>
      </c>
      <c r="AA11" s="13">
        <v>0</v>
      </c>
      <c r="AB11" s="13"/>
      <c r="AC11" s="13">
        <v>576.33619999999996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3">
      <c r="A12" s="95"/>
      <c r="B12" s="95"/>
      <c r="C12" s="95"/>
      <c r="D12" s="95"/>
      <c r="E12" s="95"/>
      <c r="F12" s="95"/>
      <c r="G12" s="18" t="s">
        <v>81</v>
      </c>
      <c r="H12" s="18" t="s">
        <v>79</v>
      </c>
      <c r="I12" s="18">
        <f>'MERCADO TUSD'!$U$9</f>
        <v>12684.257000000001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3">
      <c r="A13" s="95"/>
      <c r="B13" s="95"/>
      <c r="C13" s="95"/>
      <c r="D13" s="95"/>
      <c r="E13" s="95" t="s">
        <v>87</v>
      </c>
      <c r="F13" s="95" t="s">
        <v>25</v>
      </c>
      <c r="G13" s="18" t="s">
        <v>80</v>
      </c>
      <c r="H13" s="18" t="s">
        <v>79</v>
      </c>
      <c r="I13" s="18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1.6387</v>
      </c>
      <c r="Z13" s="13">
        <v>0</v>
      </c>
      <c r="AA13" s="13">
        <v>0</v>
      </c>
      <c r="AB13" s="13"/>
      <c r="AC13" s="13">
        <v>576.33619999999996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3">
      <c r="A14" s="95"/>
      <c r="B14" s="95"/>
      <c r="C14" s="95"/>
      <c r="D14" s="95"/>
      <c r="E14" s="95"/>
      <c r="F14" s="95"/>
      <c r="G14" s="18" t="s">
        <v>81</v>
      </c>
      <c r="H14" s="18" t="s">
        <v>79</v>
      </c>
      <c r="I14" s="18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3">
      <c r="A15" s="95" t="s">
        <v>88</v>
      </c>
      <c r="B15" s="95" t="s">
        <v>56</v>
      </c>
      <c r="C15" s="95" t="s">
        <v>25</v>
      </c>
      <c r="D15" s="95" t="s">
        <v>25</v>
      </c>
      <c r="E15" s="17" t="s">
        <v>89</v>
      </c>
      <c r="F15" s="17" t="s">
        <v>25</v>
      </c>
      <c r="G15" s="18" t="s">
        <v>9</v>
      </c>
      <c r="H15" s="18" t="s">
        <v>84</v>
      </c>
      <c r="I15" s="18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2.1027999999999998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3">
      <c r="A16" s="95"/>
      <c r="B16" s="95"/>
      <c r="C16" s="95"/>
      <c r="D16" s="95"/>
      <c r="E16" s="17" t="s">
        <v>90</v>
      </c>
      <c r="F16" s="17" t="s">
        <v>25</v>
      </c>
      <c r="G16" s="18" t="s">
        <v>9</v>
      </c>
      <c r="H16" s="18" t="s">
        <v>84</v>
      </c>
      <c r="I16" s="18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6.2590000000000003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3">
      <c r="A17" s="95" t="s">
        <v>22</v>
      </c>
      <c r="B17" s="95" t="s">
        <v>92</v>
      </c>
      <c r="C17" s="95" t="s">
        <v>24</v>
      </c>
      <c r="D17" s="95" t="s">
        <v>24</v>
      </c>
      <c r="E17" s="95" t="s">
        <v>25</v>
      </c>
      <c r="F17" s="95" t="s">
        <v>25</v>
      </c>
      <c r="G17" s="18" t="s">
        <v>80</v>
      </c>
      <c r="H17" s="18" t="s">
        <v>79</v>
      </c>
      <c r="I17" s="18">
        <f>'MERCADO TUSD'!$U$14</f>
        <v>0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0.63619999999999999</v>
      </c>
      <c r="Z17" s="13">
        <v>0</v>
      </c>
      <c r="AA17" s="13">
        <v>0</v>
      </c>
      <c r="AB17" s="13"/>
      <c r="AC17" s="13">
        <v>317.9153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3">
      <c r="A18" s="95"/>
      <c r="B18" s="95"/>
      <c r="C18" s="95"/>
      <c r="D18" s="95"/>
      <c r="E18" s="95"/>
      <c r="F18" s="95"/>
      <c r="G18" s="18" t="s">
        <v>91</v>
      </c>
      <c r="H18" s="18" t="s">
        <v>79</v>
      </c>
      <c r="I18" s="18">
        <f>'MERCADO TUSD'!$U$15</f>
        <v>0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0.38179999999999997</v>
      </c>
      <c r="Z18" s="13">
        <v>0</v>
      </c>
      <c r="AA18" s="13">
        <v>0</v>
      </c>
      <c r="AB18" s="13"/>
      <c r="AC18" s="13">
        <v>190.7492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3">
      <c r="A19" s="95"/>
      <c r="B19" s="95"/>
      <c r="C19" s="95"/>
      <c r="D19" s="95"/>
      <c r="E19" s="95"/>
      <c r="F19" s="95"/>
      <c r="G19" s="18" t="s">
        <v>81</v>
      </c>
      <c r="H19" s="18" t="s">
        <v>79</v>
      </c>
      <c r="I19" s="18">
        <f>'MERCADO TUSD'!$U$16</f>
        <v>0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0.1273</v>
      </c>
      <c r="Z19" s="13">
        <v>0</v>
      </c>
      <c r="AA19" s="13">
        <v>0</v>
      </c>
      <c r="AB19" s="13"/>
      <c r="AC19" s="13">
        <v>63.582999999999998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3">
      <c r="A20" s="95"/>
      <c r="B20" s="95" t="s">
        <v>23</v>
      </c>
      <c r="C20" s="95" t="s">
        <v>24</v>
      </c>
      <c r="D20" s="17" t="s">
        <v>24</v>
      </c>
      <c r="E20" s="17" t="s">
        <v>25</v>
      </c>
      <c r="F20" s="17" t="s">
        <v>25</v>
      </c>
      <c r="G20" s="18" t="s">
        <v>83</v>
      </c>
      <c r="H20" s="18" t="s">
        <v>79</v>
      </c>
      <c r="I20" s="18">
        <f>'MERCADO TUSD'!$U$17</f>
        <v>10969.981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0.23569999999999999</v>
      </c>
      <c r="Z20" s="13">
        <v>0</v>
      </c>
      <c r="AA20" s="13">
        <v>0</v>
      </c>
      <c r="AB20" s="13"/>
      <c r="AC20" s="13">
        <v>117.74639999999999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3">
      <c r="A21" s="95"/>
      <c r="B21" s="95"/>
      <c r="C21" s="95"/>
      <c r="D21" s="17" t="s">
        <v>28</v>
      </c>
      <c r="E21" s="17" t="s">
        <v>25</v>
      </c>
      <c r="F21" s="17" t="s">
        <v>25</v>
      </c>
      <c r="G21" s="18" t="s">
        <v>83</v>
      </c>
      <c r="H21" s="18" t="s">
        <v>79</v>
      </c>
      <c r="I21" s="18">
        <f>'MERCADO TUSD'!$U$18</f>
        <v>87.284999999999997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CUSTOS!$M$24)*0.2357</f>
        <v>0.23569999999999999</v>
      </c>
      <c r="Z21" s="13">
        <v>0</v>
      </c>
      <c r="AA21" s="13">
        <v>0</v>
      </c>
      <c r="AB21" s="13"/>
      <c r="AC21" s="13">
        <f>(1 - CUSTOS!$M$24)*117.7464</f>
        <v>117.74639999999999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3">
      <c r="A22" s="95"/>
      <c r="B22" s="95"/>
      <c r="C22" s="95"/>
      <c r="D22" s="17" t="s">
        <v>29</v>
      </c>
      <c r="E22" s="17" t="s">
        <v>25</v>
      </c>
      <c r="F22" s="17" t="s">
        <v>25</v>
      </c>
      <c r="G22" s="18" t="s">
        <v>83</v>
      </c>
      <c r="H22" s="18" t="s">
        <v>79</v>
      </c>
      <c r="I22" s="18">
        <f>'MERCADO TUSD'!$U$19</f>
        <v>183.16699999999997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CUSTOS!$M$25)*0.2357</f>
        <v>0.23569999999999999</v>
      </c>
      <c r="Z22" s="13">
        <v>0</v>
      </c>
      <c r="AA22" s="13">
        <v>0</v>
      </c>
      <c r="AB22" s="13"/>
      <c r="AC22" s="13">
        <f>(1 - CUSTOS!$M$25)*117.7464</f>
        <v>117.74639999999999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3">
      <c r="A23" s="95"/>
      <c r="B23" s="95"/>
      <c r="C23" s="95"/>
      <c r="D23" s="17" t="s">
        <v>30</v>
      </c>
      <c r="E23" s="17" t="s">
        <v>25</v>
      </c>
      <c r="F23" s="17" t="s">
        <v>25</v>
      </c>
      <c r="G23" s="18" t="s">
        <v>83</v>
      </c>
      <c r="H23" s="18" t="s">
        <v>79</v>
      </c>
      <c r="I23" s="18">
        <f>'MERCADO TUSD'!$U$20</f>
        <v>200.38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CUSTOS!$M$26)*0.2357</f>
        <v>0.23569999999999999</v>
      </c>
      <c r="Z23" s="13">
        <v>0</v>
      </c>
      <c r="AA23" s="13">
        <v>0</v>
      </c>
      <c r="AB23" s="13"/>
      <c r="AC23" s="13">
        <f>(1 - CUSTOS!$M$26)*117.7464</f>
        <v>117.74639999999999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3">
      <c r="A24" s="95"/>
      <c r="B24" s="95"/>
      <c r="C24" s="95"/>
      <c r="D24" s="17" t="s">
        <v>31</v>
      </c>
      <c r="E24" s="17" t="s">
        <v>25</v>
      </c>
      <c r="F24" s="17" t="s">
        <v>25</v>
      </c>
      <c r="G24" s="18" t="s">
        <v>83</v>
      </c>
      <c r="H24" s="18" t="s">
        <v>79</v>
      </c>
      <c r="I24" s="18">
        <f>'MERCADO TUSD'!$U$21</f>
        <v>80.955999999999989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CUSTOS!$M$27)*0.2357</f>
        <v>0.23569999999999999</v>
      </c>
      <c r="Z24" s="13">
        <v>0</v>
      </c>
      <c r="AA24" s="13">
        <v>0</v>
      </c>
      <c r="AB24" s="13"/>
      <c r="AC24" s="13">
        <f>(1 - CUSTOS!$M$27)*117.7464</f>
        <v>117.74639999999999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3">
      <c r="A25" s="95"/>
      <c r="B25" s="95" t="s">
        <v>94</v>
      </c>
      <c r="C25" s="95" t="s">
        <v>24</v>
      </c>
      <c r="D25" s="17" t="s">
        <v>24</v>
      </c>
      <c r="E25" s="17" t="s">
        <v>25</v>
      </c>
      <c r="F25" s="17" t="s">
        <v>25</v>
      </c>
      <c r="G25" s="18" t="s">
        <v>83</v>
      </c>
      <c r="H25" s="18" t="s">
        <v>79</v>
      </c>
      <c r="I25" s="18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0.23569999999999999</v>
      </c>
      <c r="Z25" s="13">
        <v>0</v>
      </c>
      <c r="AA25" s="13">
        <v>0</v>
      </c>
      <c r="AB25" s="13"/>
      <c r="AC25" s="13">
        <v>117.74639999999999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3">
      <c r="A26" s="95"/>
      <c r="B26" s="95"/>
      <c r="C26" s="95"/>
      <c r="D26" s="17" t="s">
        <v>28</v>
      </c>
      <c r="E26" s="17" t="s">
        <v>25</v>
      </c>
      <c r="F26" s="17" t="s">
        <v>25</v>
      </c>
      <c r="G26" s="18" t="s">
        <v>83</v>
      </c>
      <c r="H26" s="18" t="s">
        <v>79</v>
      </c>
      <c r="I26" s="18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CUSTOS!$M$24)*0.2357</f>
        <v>0.23569999999999999</v>
      </c>
      <c r="Z26" s="13">
        <v>0</v>
      </c>
      <c r="AA26" s="13">
        <v>0</v>
      </c>
      <c r="AB26" s="13"/>
      <c r="AC26" s="13">
        <f>(1 - CUSTOS!$M$24)*117.7464</f>
        <v>117.74639999999999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3">
      <c r="A27" s="95"/>
      <c r="B27" s="95"/>
      <c r="C27" s="95"/>
      <c r="D27" s="17" t="s">
        <v>29</v>
      </c>
      <c r="E27" s="17" t="s">
        <v>25</v>
      </c>
      <c r="F27" s="17" t="s">
        <v>25</v>
      </c>
      <c r="G27" s="18" t="s">
        <v>83</v>
      </c>
      <c r="H27" s="18" t="s">
        <v>79</v>
      </c>
      <c r="I27" s="18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CUSTOS!$M$25)*0.2357</f>
        <v>0.23569999999999999</v>
      </c>
      <c r="Z27" s="13">
        <v>0</v>
      </c>
      <c r="AA27" s="13">
        <v>0</v>
      </c>
      <c r="AB27" s="13"/>
      <c r="AC27" s="13">
        <f>(1 - CUSTOS!$M$25)*117.7464</f>
        <v>117.74639999999999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3">
      <c r="A28" s="95"/>
      <c r="B28" s="95"/>
      <c r="C28" s="95"/>
      <c r="D28" s="17" t="s">
        <v>30</v>
      </c>
      <c r="E28" s="17" t="s">
        <v>25</v>
      </c>
      <c r="F28" s="17" t="s">
        <v>25</v>
      </c>
      <c r="G28" s="18" t="s">
        <v>83</v>
      </c>
      <c r="H28" s="18" t="s">
        <v>79</v>
      </c>
      <c r="I28" s="18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CUSTOS!$M$26)*0.2357</f>
        <v>0.23569999999999999</v>
      </c>
      <c r="Z28" s="13">
        <v>0</v>
      </c>
      <c r="AA28" s="13">
        <v>0</v>
      </c>
      <c r="AB28" s="13"/>
      <c r="AC28" s="13">
        <f>(1 - CUSTOS!$M$26)*117.7464</f>
        <v>117.74639999999999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3">
      <c r="A29" s="95"/>
      <c r="B29" s="95"/>
      <c r="C29" s="95"/>
      <c r="D29" s="17" t="s">
        <v>31</v>
      </c>
      <c r="E29" s="17" t="s">
        <v>25</v>
      </c>
      <c r="F29" s="17" t="s">
        <v>25</v>
      </c>
      <c r="G29" s="18" t="s">
        <v>83</v>
      </c>
      <c r="H29" s="18" t="s">
        <v>79</v>
      </c>
      <c r="I29" s="18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CUSTOS!$M$27)*0.2357</f>
        <v>0.23569999999999999</v>
      </c>
      <c r="Z29" s="13">
        <v>0</v>
      </c>
      <c r="AA29" s="13">
        <v>0</v>
      </c>
      <c r="AB29" s="13"/>
      <c r="AC29" s="13">
        <f>(1 - CUSTOS!$M$27)*117.7464</f>
        <v>117.74639999999999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3">
      <c r="A30" s="95" t="s">
        <v>40</v>
      </c>
      <c r="B30" s="95" t="s">
        <v>92</v>
      </c>
      <c r="C30" s="95" t="s">
        <v>41</v>
      </c>
      <c r="D30" s="95" t="s">
        <v>25</v>
      </c>
      <c r="E30" s="95" t="s">
        <v>25</v>
      </c>
      <c r="F30" s="95" t="s">
        <v>25</v>
      </c>
      <c r="G30" s="18" t="s">
        <v>80</v>
      </c>
      <c r="H30" s="18" t="s">
        <v>79</v>
      </c>
      <c r="I30" s="18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f>(1 - CUSTOS!$M$28)*0.6952</f>
        <v>0.69520000000000004</v>
      </c>
      <c r="Z30" s="13">
        <v>0</v>
      </c>
      <c r="AA30" s="13">
        <v>0</v>
      </c>
      <c r="AB30" s="13"/>
      <c r="AC30" s="13">
        <f>(1 - CUSTOS!$M$28)*347.3519</f>
        <v>347.3519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3">
      <c r="A31" s="95"/>
      <c r="B31" s="95"/>
      <c r="C31" s="95"/>
      <c r="D31" s="95"/>
      <c r="E31" s="95"/>
      <c r="F31" s="95"/>
      <c r="G31" s="18" t="s">
        <v>91</v>
      </c>
      <c r="H31" s="18" t="s">
        <v>79</v>
      </c>
      <c r="I31" s="18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f>(1 - CUSTOS!$M$28)*0.417</f>
        <v>0.41699999999999998</v>
      </c>
      <c r="Z31" s="13">
        <v>0</v>
      </c>
      <c r="AA31" s="13">
        <v>0</v>
      </c>
      <c r="AB31" s="13"/>
      <c r="AC31" s="13">
        <f>(1 - CUSTOS!$M$28)*208.4112</f>
        <v>208.41120000000001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3">
      <c r="A32" s="95"/>
      <c r="B32" s="95"/>
      <c r="C32" s="95"/>
      <c r="D32" s="95"/>
      <c r="E32" s="95"/>
      <c r="F32" s="95"/>
      <c r="G32" s="18" t="s">
        <v>81</v>
      </c>
      <c r="H32" s="18" t="s">
        <v>79</v>
      </c>
      <c r="I32" s="18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f>(1 - CUSTOS!$M$28)*0.1391</f>
        <v>0.1391</v>
      </c>
      <c r="Z32" s="13">
        <v>0</v>
      </c>
      <c r="AA32" s="13">
        <v>0</v>
      </c>
      <c r="AB32" s="13"/>
      <c r="AC32" s="13">
        <f>(1 - CUSTOS!$M$28)*69.4704</f>
        <v>69.470399999999998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3">
      <c r="A33" s="95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83</v>
      </c>
      <c r="H33" s="18" t="s">
        <v>79</v>
      </c>
      <c r="I33" s="18">
        <f>'MERCADO TUSD'!$U$30</f>
        <v>15119.107000000002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CUSTOS!$M$28)*0.2357</f>
        <v>0.23569999999999999</v>
      </c>
      <c r="Z33" s="13">
        <v>0</v>
      </c>
      <c r="AA33" s="13">
        <v>0</v>
      </c>
      <c r="AB33" s="13"/>
      <c r="AC33" s="13">
        <f>(1 - CUSTOS!$M$28)*117.7464</f>
        <v>117.74639999999999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3">
      <c r="A34" s="95"/>
      <c r="B34" s="95" t="s">
        <v>92</v>
      </c>
      <c r="C34" s="95" t="s">
        <v>41</v>
      </c>
      <c r="D34" s="95" t="s">
        <v>95</v>
      </c>
      <c r="E34" s="95" t="s">
        <v>25</v>
      </c>
      <c r="F34" s="95" t="s">
        <v>25</v>
      </c>
      <c r="G34" s="18" t="s">
        <v>80</v>
      </c>
      <c r="H34" s="18" t="s">
        <v>79</v>
      </c>
      <c r="I34" s="18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f>(1 - CUSTOS!$M$29)*0.6952</f>
        <v>0.69520000000000004</v>
      </c>
      <c r="Z34" s="13">
        <v>0</v>
      </c>
      <c r="AA34" s="13">
        <v>0</v>
      </c>
      <c r="AB34" s="13"/>
      <c r="AC34" s="13">
        <f>(1 - CUSTOS!$M$29)*347.3519</f>
        <v>347.3519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3">
      <c r="A35" s="95"/>
      <c r="B35" s="95"/>
      <c r="C35" s="95"/>
      <c r="D35" s="95"/>
      <c r="E35" s="95"/>
      <c r="F35" s="95"/>
      <c r="G35" s="18" t="s">
        <v>91</v>
      </c>
      <c r="H35" s="18" t="s">
        <v>79</v>
      </c>
      <c r="I35" s="18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f>(1 - CUSTOS!$M$29)*0.417</f>
        <v>0.41699999999999998</v>
      </c>
      <c r="Z35" s="13">
        <v>0</v>
      </c>
      <c r="AA35" s="13">
        <v>0</v>
      </c>
      <c r="AB35" s="13"/>
      <c r="AC35" s="13">
        <f>(1 - CUSTOS!$M$29)*208.4112</f>
        <v>208.41120000000001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3">
      <c r="A36" s="95"/>
      <c r="B36" s="95"/>
      <c r="C36" s="95"/>
      <c r="D36" s="95"/>
      <c r="E36" s="95"/>
      <c r="F36" s="95"/>
      <c r="G36" s="18" t="s">
        <v>81</v>
      </c>
      <c r="H36" s="18" t="s">
        <v>79</v>
      </c>
      <c r="I36" s="18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f>(1 - CUSTOS!$M$29)*0.1391</f>
        <v>0.1391</v>
      </c>
      <c r="Z36" s="13">
        <v>0</v>
      </c>
      <c r="AA36" s="13">
        <v>0</v>
      </c>
      <c r="AB36" s="13"/>
      <c r="AC36" s="13">
        <f>(1 - CUSTOS!$M$29)*69.4704</f>
        <v>69.470399999999998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3">
      <c r="A37" s="95"/>
      <c r="B37" s="17" t="s">
        <v>23</v>
      </c>
      <c r="C37" s="17" t="s">
        <v>41</v>
      </c>
      <c r="D37" s="17" t="s">
        <v>95</v>
      </c>
      <c r="E37" s="17" t="s">
        <v>25</v>
      </c>
      <c r="F37" s="17" t="s">
        <v>25</v>
      </c>
      <c r="G37" s="18" t="s">
        <v>83</v>
      </c>
      <c r="H37" s="18" t="s">
        <v>79</v>
      </c>
      <c r="I37" s="18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CUSTOS!$M$29)*0.2357</f>
        <v>0.23569999999999999</v>
      </c>
      <c r="Z37" s="13">
        <v>0</v>
      </c>
      <c r="AA37" s="13">
        <v>0</v>
      </c>
      <c r="AB37" s="13"/>
      <c r="AC37" s="13">
        <f>(1 - CUSTOS!$M$29)*117.7464</f>
        <v>117.74639999999999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3">
      <c r="A38" s="95"/>
      <c r="B38" s="95" t="s">
        <v>92</v>
      </c>
      <c r="C38" s="95" t="s">
        <v>41</v>
      </c>
      <c r="D38" s="95" t="s">
        <v>96</v>
      </c>
      <c r="E38" s="95" t="s">
        <v>25</v>
      </c>
      <c r="F38" s="95" t="s">
        <v>25</v>
      </c>
      <c r="G38" s="18" t="s">
        <v>80</v>
      </c>
      <c r="H38" s="18" t="s">
        <v>79</v>
      </c>
      <c r="I38" s="18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f>(1 - CUSTOS!$M$30)*0.6952</f>
        <v>0.69520000000000004</v>
      </c>
      <c r="Z38" s="13">
        <v>0</v>
      </c>
      <c r="AA38" s="13">
        <v>0</v>
      </c>
      <c r="AB38" s="13"/>
      <c r="AC38" s="13">
        <f>(1 - CUSTOS!$M$30)*347.3519</f>
        <v>347.3519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3">
      <c r="A39" s="95"/>
      <c r="B39" s="95"/>
      <c r="C39" s="95"/>
      <c r="D39" s="95"/>
      <c r="E39" s="95"/>
      <c r="F39" s="95"/>
      <c r="G39" s="18" t="s">
        <v>91</v>
      </c>
      <c r="H39" s="18" t="s">
        <v>79</v>
      </c>
      <c r="I39" s="18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f>(1 - CUSTOS!$M$30)*0.417</f>
        <v>0.41699999999999998</v>
      </c>
      <c r="Z39" s="13">
        <v>0</v>
      </c>
      <c r="AA39" s="13">
        <v>0</v>
      </c>
      <c r="AB39" s="13"/>
      <c r="AC39" s="13">
        <f>(1 - CUSTOS!$M$30)*208.4112</f>
        <v>208.41120000000001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3">
      <c r="A40" s="95"/>
      <c r="B40" s="95"/>
      <c r="C40" s="95"/>
      <c r="D40" s="95"/>
      <c r="E40" s="95"/>
      <c r="F40" s="95"/>
      <c r="G40" s="18" t="s">
        <v>81</v>
      </c>
      <c r="H40" s="18" t="s">
        <v>79</v>
      </c>
      <c r="I40" s="18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f>(1 - CUSTOS!$M$30)*0.1391</f>
        <v>0.1391</v>
      </c>
      <c r="Z40" s="13">
        <v>0</v>
      </c>
      <c r="AA40" s="13">
        <v>0</v>
      </c>
      <c r="AB40" s="13"/>
      <c r="AC40" s="13">
        <f>(1 - CUSTOS!$M$30)*69.4704</f>
        <v>69.470399999999998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3">
      <c r="A41" s="95"/>
      <c r="B41" s="17" t="s">
        <v>23</v>
      </c>
      <c r="C41" s="17" t="s">
        <v>41</v>
      </c>
      <c r="D41" s="17" t="s">
        <v>96</v>
      </c>
      <c r="E41" s="17" t="s">
        <v>25</v>
      </c>
      <c r="F41" s="17" t="s">
        <v>25</v>
      </c>
      <c r="G41" s="18" t="s">
        <v>83</v>
      </c>
      <c r="H41" s="18" t="s">
        <v>79</v>
      </c>
      <c r="I41" s="18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CUSTOS!$M$30)*0.2357</f>
        <v>0.23569999999999999</v>
      </c>
      <c r="Z41" s="13">
        <v>0</v>
      </c>
      <c r="AA41" s="13">
        <v>0</v>
      </c>
      <c r="AB41" s="13"/>
      <c r="AC41" s="13">
        <f>(1 - CUSTOS!$M$30)*117.7464</f>
        <v>117.74639999999999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3">
      <c r="A42" s="95"/>
      <c r="B42" s="95" t="s">
        <v>94</v>
      </c>
      <c r="C42" s="95" t="s">
        <v>41</v>
      </c>
      <c r="D42" s="17" t="s">
        <v>25</v>
      </c>
      <c r="E42" s="17" t="s">
        <v>25</v>
      </c>
      <c r="F42" s="17" t="s">
        <v>25</v>
      </c>
      <c r="G42" s="18" t="s">
        <v>83</v>
      </c>
      <c r="H42" s="18" t="s">
        <v>79</v>
      </c>
      <c r="I42" s="18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CUSTOS!$M$28)*0.2357</f>
        <v>0.23569999999999999</v>
      </c>
      <c r="Z42" s="13">
        <v>0</v>
      </c>
      <c r="AA42" s="13">
        <v>0</v>
      </c>
      <c r="AB42" s="13"/>
      <c r="AC42" s="13">
        <f>(1 - CUSTOS!$M$28)*117.7464</f>
        <v>117.74639999999999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3">
      <c r="A43" s="95"/>
      <c r="B43" s="95"/>
      <c r="C43" s="95"/>
      <c r="D43" s="17" t="s">
        <v>95</v>
      </c>
      <c r="E43" s="17" t="s">
        <v>25</v>
      </c>
      <c r="F43" s="17" t="s">
        <v>25</v>
      </c>
      <c r="G43" s="18" t="s">
        <v>83</v>
      </c>
      <c r="H43" s="18" t="s">
        <v>79</v>
      </c>
      <c r="I43" s="18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CUSTOS!$M$29)*0.2357</f>
        <v>0.23569999999999999</v>
      </c>
      <c r="Z43" s="13">
        <v>0</v>
      </c>
      <c r="AA43" s="13">
        <v>0</v>
      </c>
      <c r="AB43" s="13"/>
      <c r="AC43" s="13">
        <f>(1 - CUSTOS!$M$29)*117.7464</f>
        <v>117.74639999999999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3">
      <c r="A44" s="95"/>
      <c r="B44" s="95"/>
      <c r="C44" s="95"/>
      <c r="D44" s="17" t="s">
        <v>96</v>
      </c>
      <c r="E44" s="17" t="s">
        <v>25</v>
      </c>
      <c r="F44" s="17" t="s">
        <v>25</v>
      </c>
      <c r="G44" s="18" t="s">
        <v>83</v>
      </c>
      <c r="H44" s="18" t="s">
        <v>79</v>
      </c>
      <c r="I44" s="18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CUSTOS!$M$30)*0.2357</f>
        <v>0.23569999999999999</v>
      </c>
      <c r="Z44" s="13">
        <v>0</v>
      </c>
      <c r="AA44" s="13">
        <v>0</v>
      </c>
      <c r="AB44" s="13"/>
      <c r="AC44" s="13">
        <f>(1 - CUSTOS!$M$30)*117.7464</f>
        <v>117.74639999999999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3">
      <c r="A45" s="95" t="s">
        <v>32</v>
      </c>
      <c r="B45" s="95" t="s">
        <v>92</v>
      </c>
      <c r="C45" s="95" t="s">
        <v>25</v>
      </c>
      <c r="D45" s="95" t="s">
        <v>25</v>
      </c>
      <c r="E45" s="95" t="s">
        <v>25</v>
      </c>
      <c r="F45" s="95" t="s">
        <v>25</v>
      </c>
      <c r="G45" s="18" t="s">
        <v>80</v>
      </c>
      <c r="H45" s="18" t="s">
        <v>79</v>
      </c>
      <c r="I45" s="18">
        <f>'MERCADO TUSD'!$U$42</f>
        <v>0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CUSTOS!$M$31)*0.8012</f>
        <v>0.80120000000000002</v>
      </c>
      <c r="Z45" s="13">
        <v>0</v>
      </c>
      <c r="AA45" s="13">
        <v>0</v>
      </c>
      <c r="AB45" s="13"/>
      <c r="AC45" s="13">
        <f>(1 - CUSTOS!$M$31)*400.3378</f>
        <v>400.33780000000002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3">
      <c r="A46" s="95"/>
      <c r="B46" s="95"/>
      <c r="C46" s="95"/>
      <c r="D46" s="95"/>
      <c r="E46" s="95"/>
      <c r="F46" s="95"/>
      <c r="G46" s="18" t="s">
        <v>91</v>
      </c>
      <c r="H46" s="18" t="s">
        <v>79</v>
      </c>
      <c r="I46" s="18">
        <f>'MERCADO TUSD'!$U$43</f>
        <v>0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CUSTOS!$M$31)*0.4807</f>
        <v>0.48070000000000002</v>
      </c>
      <c r="Z46" s="13">
        <v>0</v>
      </c>
      <c r="AA46" s="13">
        <v>0</v>
      </c>
      <c r="AB46" s="13"/>
      <c r="AC46" s="13">
        <f>(1 - CUSTOS!$M$31)*240.2027</f>
        <v>240.20269999999999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3">
      <c r="A47" s="95"/>
      <c r="B47" s="95"/>
      <c r="C47" s="95"/>
      <c r="D47" s="95"/>
      <c r="E47" s="95"/>
      <c r="F47" s="95"/>
      <c r="G47" s="18" t="s">
        <v>81</v>
      </c>
      <c r="H47" s="18" t="s">
        <v>79</v>
      </c>
      <c r="I47" s="18">
        <f>'MERCADO TUSD'!$U$44</f>
        <v>0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CUSTOS!$M$31)*0.1603</f>
        <v>0.1603</v>
      </c>
      <c r="Z47" s="13">
        <v>0</v>
      </c>
      <c r="AA47" s="13">
        <v>0</v>
      </c>
      <c r="AB47" s="13"/>
      <c r="AC47" s="13">
        <f>(1 - CUSTOS!$M$31)*80.0676</f>
        <v>80.067599999999999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3">
      <c r="A48" s="95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83</v>
      </c>
      <c r="H48" s="18" t="s">
        <v>79</v>
      </c>
      <c r="I48" s="18">
        <f>'MERCADO TUSD'!$U$45</f>
        <v>7750.1880000000001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CUSTOS!$M$31)*0.2357</f>
        <v>0.23569999999999999</v>
      </c>
      <c r="Z48" s="13">
        <v>0</v>
      </c>
      <c r="AA48" s="13">
        <v>0</v>
      </c>
      <c r="AB48" s="13"/>
      <c r="AC48" s="13">
        <f>(1 - CUSTOS!$M$31)*117.7464</f>
        <v>117.74639999999999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3">
      <c r="A49" s="95"/>
      <c r="B49" s="17" t="s">
        <v>94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83</v>
      </c>
      <c r="H49" s="18" t="s">
        <v>79</v>
      </c>
      <c r="I49" s="18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CUSTOS!$M$31)*0.2357</f>
        <v>0.23569999999999999</v>
      </c>
      <c r="Z49" s="13">
        <v>0</v>
      </c>
      <c r="AA49" s="13">
        <v>0</v>
      </c>
      <c r="AB49" s="13"/>
      <c r="AC49" s="13">
        <f>(1 - CUSTOS!$M$31)*117.7464</f>
        <v>117.74639999999999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3">
      <c r="A50" s="95" t="s">
        <v>43</v>
      </c>
      <c r="B50" s="95" t="s">
        <v>23</v>
      </c>
      <c r="C50" s="95" t="s">
        <v>44</v>
      </c>
      <c r="D50" s="17" t="s">
        <v>97</v>
      </c>
      <c r="E50" s="17" t="s">
        <v>25</v>
      </c>
      <c r="F50" s="17" t="s">
        <v>25</v>
      </c>
      <c r="G50" s="18" t="s">
        <v>83</v>
      </c>
      <c r="H50" s="18" t="s">
        <v>79</v>
      </c>
      <c r="I50" s="18">
        <f>'MERCADO TUSD'!$U$47</f>
        <v>0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CUSTOS!$M$32)*0.2357</f>
        <v>0.129635</v>
      </c>
      <c r="Z50" s="13">
        <v>0</v>
      </c>
      <c r="AA50" s="13">
        <v>0</v>
      </c>
      <c r="AB50" s="13"/>
      <c r="AC50" s="13">
        <f>(1 - CUSTOS!$M$32)*117.7464</f>
        <v>64.76052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3">
      <c r="A51" s="95"/>
      <c r="B51" s="95"/>
      <c r="C51" s="95"/>
      <c r="D51" s="18" t="s">
        <v>45</v>
      </c>
      <c r="E51" s="18" t="s">
        <v>25</v>
      </c>
      <c r="F51" s="18" t="s">
        <v>25</v>
      </c>
      <c r="G51" s="18" t="s">
        <v>83</v>
      </c>
      <c r="H51" s="18" t="s">
        <v>79</v>
      </c>
      <c r="I51" s="18">
        <f>'MERCADO TUSD'!$U$48</f>
        <v>1776.7269999999999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CUSTOS!$M$33)*0.2357</f>
        <v>0.14141999999999999</v>
      </c>
      <c r="Z51" s="13">
        <v>0</v>
      </c>
      <c r="AA51" s="13">
        <v>0</v>
      </c>
      <c r="AB51" s="13"/>
      <c r="AC51" s="13">
        <f>(1 - CUSTOS!$M$33)*117.7464</f>
        <v>70.647839999999988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9F99-14CD-456A-80A9-B619647EB199}">
  <dimension ref="A1:AP70"/>
  <sheetViews>
    <sheetView showGridLines="0" topLeftCell="D41" workbookViewId="0">
      <selection activeCell="K62" sqref="K62:P62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8" width="7.109375" style="9" bestFit="1" customWidth="1"/>
    <col min="9" max="9" width="7.886718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9.5546875" style="9" bestFit="1" customWidth="1"/>
    <col min="14" max="14" width="10.77734375" style="9" bestFit="1" customWidth="1"/>
    <col min="15" max="16" width="8.218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88671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9.109375" style="9" bestFit="1" customWidth="1"/>
    <col min="39" max="39" width="9.88671875" style="9" bestFit="1" customWidth="1"/>
    <col min="40" max="41" width="8.88671875" style="9"/>
    <col min="42" max="42" width="7.21875" style="9" bestFit="1" customWidth="1"/>
    <col min="43" max="16384" width="8.88671875" style="9"/>
  </cols>
  <sheetData>
    <row r="1" spans="1:42" ht="11.25" customHeight="1" x14ac:dyDescent="0.3">
      <c r="A1" s="91" t="s">
        <v>69</v>
      </c>
      <c r="B1" s="91" t="s">
        <v>70</v>
      </c>
      <c r="C1" s="91" t="s">
        <v>71</v>
      </c>
      <c r="D1" s="91" t="s">
        <v>72</v>
      </c>
      <c r="E1" s="91" t="s">
        <v>73</v>
      </c>
      <c r="F1" s="91" t="s">
        <v>15</v>
      </c>
      <c r="G1" s="91" t="s">
        <v>75</v>
      </c>
      <c r="H1" s="91" t="s">
        <v>76</v>
      </c>
      <c r="I1" s="91" t="s">
        <v>494</v>
      </c>
      <c r="J1" s="84"/>
      <c r="L1" s="92" t="s">
        <v>495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496</v>
      </c>
    </row>
    <row r="2" spans="1:42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393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394</v>
      </c>
      <c r="M3" s="92"/>
      <c r="N3" s="92"/>
      <c r="O3" s="92"/>
      <c r="P3" s="92"/>
      <c r="Q3" s="92"/>
      <c r="R3" s="92"/>
      <c r="S3" s="92"/>
      <c r="T3" s="92"/>
      <c r="U3" s="92" t="s">
        <v>403</v>
      </c>
      <c r="V3" s="92"/>
      <c r="W3" s="92"/>
      <c r="X3" s="92"/>
      <c r="Y3" s="92"/>
      <c r="Z3" s="92"/>
      <c r="AA3" s="92"/>
      <c r="AB3" s="92"/>
      <c r="AC3" s="92" t="s">
        <v>411</v>
      </c>
      <c r="AD3" s="92"/>
      <c r="AE3" s="92" t="s">
        <v>413</v>
      </c>
      <c r="AF3" s="92"/>
      <c r="AG3" s="92"/>
      <c r="AH3" s="92" t="s">
        <v>416</v>
      </c>
      <c r="AI3" s="92"/>
      <c r="AJ3" s="92"/>
      <c r="AK3" s="92"/>
      <c r="AL3" s="92"/>
      <c r="AM3" s="92" t="s">
        <v>402</v>
      </c>
      <c r="AP3" s="93"/>
    </row>
    <row r="4" spans="1:42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479</v>
      </c>
      <c r="M4" s="10" t="s">
        <v>395</v>
      </c>
      <c r="N4" s="10" t="s">
        <v>396</v>
      </c>
      <c r="O4" s="10" t="s">
        <v>397</v>
      </c>
      <c r="P4" s="10" t="s">
        <v>398</v>
      </c>
      <c r="Q4" s="10" t="s">
        <v>399</v>
      </c>
      <c r="R4" s="10" t="s">
        <v>400</v>
      </c>
      <c r="S4" s="10" t="s">
        <v>401</v>
      </c>
      <c r="T4" s="10" t="s">
        <v>402</v>
      </c>
      <c r="U4" s="10" t="s">
        <v>404</v>
      </c>
      <c r="V4" s="10" t="s">
        <v>405</v>
      </c>
      <c r="W4" s="10" t="s">
        <v>406</v>
      </c>
      <c r="X4" s="10" t="s">
        <v>407</v>
      </c>
      <c r="Y4" s="10" t="s">
        <v>408</v>
      </c>
      <c r="Z4" s="10" t="s">
        <v>409</v>
      </c>
      <c r="AA4" s="10" t="s">
        <v>410</v>
      </c>
      <c r="AB4" s="10" t="s">
        <v>402</v>
      </c>
      <c r="AC4" s="10" t="s">
        <v>412</v>
      </c>
      <c r="AD4" s="10" t="s">
        <v>402</v>
      </c>
      <c r="AE4" s="10" t="s">
        <v>414</v>
      </c>
      <c r="AF4" s="10" t="s">
        <v>415</v>
      </c>
      <c r="AG4" s="10" t="s">
        <v>402</v>
      </c>
      <c r="AH4" s="10" t="s">
        <v>417</v>
      </c>
      <c r="AI4" s="10" t="s">
        <v>418</v>
      </c>
      <c r="AJ4" s="10" t="s">
        <v>419</v>
      </c>
      <c r="AK4" s="10" t="s">
        <v>420</v>
      </c>
      <c r="AL4" s="10" t="s">
        <v>402</v>
      </c>
      <c r="AM4" s="94"/>
      <c r="AP4" s="93"/>
    </row>
    <row r="5" spans="1:42" ht="11.25" customHeight="1" x14ac:dyDescent="0.3">
      <c r="A5" s="95" t="s">
        <v>34</v>
      </c>
      <c r="B5" s="95" t="s">
        <v>35</v>
      </c>
      <c r="C5" s="95" t="s">
        <v>25</v>
      </c>
      <c r="D5" s="95" t="s">
        <v>25</v>
      </c>
      <c r="E5" s="95" t="s">
        <v>25</v>
      </c>
      <c r="F5" s="95" t="s">
        <v>25</v>
      </c>
      <c r="G5" s="18" t="s">
        <v>85</v>
      </c>
      <c r="H5" s="18" t="s">
        <v>84</v>
      </c>
      <c r="I5" s="18">
        <f>'MERCADO TUSD'!$U$2</f>
        <v>372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6.8099999999999994E-2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23.964099999999998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3">
      <c r="A6" s="95"/>
      <c r="B6" s="95"/>
      <c r="C6" s="95"/>
      <c r="D6" s="95"/>
      <c r="E6" s="95"/>
      <c r="F6" s="95"/>
      <c r="G6" s="18" t="s">
        <v>86</v>
      </c>
      <c r="H6" s="18" t="s">
        <v>84</v>
      </c>
      <c r="I6" s="18">
        <f>'MERCADO TUSD'!$U$3</f>
        <v>457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3.9199999999999999E-2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6.5589000000000004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3">
      <c r="A7" s="95"/>
      <c r="B7" s="95"/>
      <c r="C7" s="95"/>
      <c r="D7" s="95"/>
      <c r="E7" s="95"/>
      <c r="F7" s="95"/>
      <c r="G7" s="18" t="s">
        <v>83</v>
      </c>
      <c r="H7" s="18" t="s">
        <v>79</v>
      </c>
      <c r="I7" s="18">
        <f>'MERCADO TUSD'!$U$4</f>
        <v>166.83199999999999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0.7917072530316035</v>
      </c>
      <c r="N7" s="13">
        <f ca="1">(+M7+O7+R7+U7+V7+W7+X7+Y7+Z7+AA7+AC7+AH7+AI7+AJ7+AK7)*CUSTOS!$M$5</f>
        <v>3.503544026287526E-13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12.8766</v>
      </c>
      <c r="AI7" s="13">
        <v>12.8766</v>
      </c>
      <c r="AJ7" s="13">
        <f ca="1">$N$63</f>
        <v>3.2452665049218297</v>
      </c>
      <c r="AK7" s="13">
        <f t="shared" ca="1" si="0"/>
        <v>3.2452665049218297</v>
      </c>
      <c r="AL7" s="13"/>
      <c r="AM7" s="13"/>
      <c r="AP7" s="13">
        <v>1</v>
      </c>
    </row>
    <row r="8" spans="1:42" ht="11.25" customHeight="1" x14ac:dyDescent="0.3">
      <c r="A8" s="95"/>
      <c r="B8" s="95"/>
      <c r="C8" s="95"/>
      <c r="D8" s="95"/>
      <c r="E8" s="17" t="s">
        <v>87</v>
      </c>
      <c r="F8" s="17" t="s">
        <v>25</v>
      </c>
      <c r="G8" s="18" t="s">
        <v>83</v>
      </c>
      <c r="H8" s="18" t="s">
        <v>79</v>
      </c>
      <c r="I8" s="18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0.7917072530316035</v>
      </c>
      <c r="N8" s="13">
        <f ca="1">(+M8+O8+R8+U8+V8+W8+X8+Y8+Z8+AA8+AC8+AH8+AI8+AJ8+AK8)*CUSTOS!$M$5</f>
        <v>3.4035440262875265E-13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12.8766</v>
      </c>
      <c r="AI8" s="13">
        <v>12.8766</v>
      </c>
      <c r="AJ8" s="13">
        <f ca="1">$N$63</f>
        <v>3.2452665049218297</v>
      </c>
      <c r="AK8" s="13">
        <f t="shared" ca="1" si="0"/>
        <v>3.2452665049218297</v>
      </c>
      <c r="AL8" s="13"/>
      <c r="AM8" s="13"/>
      <c r="AP8" s="13">
        <v>1</v>
      </c>
    </row>
    <row r="9" spans="1:42" ht="11.25" customHeight="1" x14ac:dyDescent="0.3">
      <c r="A9" s="95"/>
      <c r="B9" s="17" t="s">
        <v>56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84</v>
      </c>
      <c r="I9" s="18">
        <f>'MERCADO TUSD'!$U$6</f>
        <v>137556</v>
      </c>
      <c r="J9" s="15"/>
      <c r="L9" s="13">
        <v>0</v>
      </c>
      <c r="M9" s="13">
        <v>1.17E-2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3.6606999999999998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5.9999999999999995E-4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3">
      <c r="A10" s="95"/>
      <c r="B10" s="95" t="s">
        <v>38</v>
      </c>
      <c r="C10" s="95" t="s">
        <v>25</v>
      </c>
      <c r="D10" s="95" t="s">
        <v>25</v>
      </c>
      <c r="E10" s="95" t="s">
        <v>25</v>
      </c>
      <c r="F10" s="95" t="s">
        <v>25</v>
      </c>
      <c r="G10" s="18" t="s">
        <v>9</v>
      </c>
      <c r="H10" s="18" t="s">
        <v>84</v>
      </c>
      <c r="I10" s="18">
        <f>'MERCADO TUSD'!$U$7</f>
        <v>63157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3.9199999999999999E-2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6.5589000000000004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3">
      <c r="A11" s="95"/>
      <c r="B11" s="95"/>
      <c r="C11" s="95"/>
      <c r="D11" s="95"/>
      <c r="E11" s="95"/>
      <c r="F11" s="95"/>
      <c r="G11" s="18" t="s">
        <v>80</v>
      </c>
      <c r="H11" s="18" t="s">
        <v>79</v>
      </c>
      <c r="I11" s="18">
        <f>'MERCADO TUSD'!$U$8</f>
        <v>783.01900000000001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0.7917072530316035</v>
      </c>
      <c r="N11" s="13">
        <f ca="1">(+M11+O11+R11+U11+V11+W11+X11+Y11+Z11+AA11+AC11+AH11+AI11+AJ11+AK11)*CUSTOS!$M$5</f>
        <v>6.1301034026287524E-12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1.6387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576.33619999999996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12.8766</v>
      </c>
      <c r="AI11" s="13">
        <v>12.8766</v>
      </c>
      <c r="AJ11" s="13">
        <f ca="1">$N$63</f>
        <v>3.2452665049218297</v>
      </c>
      <c r="AK11" s="13">
        <f t="shared" ca="1" si="0"/>
        <v>3.2452665049218297</v>
      </c>
      <c r="AL11" s="13"/>
      <c r="AM11" s="13"/>
      <c r="AP11" s="13">
        <v>1</v>
      </c>
    </row>
    <row r="12" spans="1:42" ht="11.25" customHeight="1" x14ac:dyDescent="0.3">
      <c r="A12" s="95"/>
      <c r="B12" s="95"/>
      <c r="C12" s="95"/>
      <c r="D12" s="95"/>
      <c r="E12" s="95"/>
      <c r="F12" s="95"/>
      <c r="G12" s="18" t="s">
        <v>81</v>
      </c>
      <c r="H12" s="18" t="s">
        <v>79</v>
      </c>
      <c r="I12" s="18">
        <f>'MERCADO TUSD'!$U$9</f>
        <v>12684.257000000001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0.7917072530316035</v>
      </c>
      <c r="N12" s="13">
        <f ca="1">(+M12+O12+R12+U12+V12+W12+X12+Y12+Z12+AA12+AC12+AH12+AI12+AJ12+AK12)*CUSTOS!$M$5</f>
        <v>3.503544026287526E-13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12.8766</v>
      </c>
      <c r="AI12" s="13">
        <v>12.8766</v>
      </c>
      <c r="AJ12" s="13">
        <f ca="1">$N$63</f>
        <v>3.2452665049218297</v>
      </c>
      <c r="AK12" s="13">
        <f t="shared" ca="1" si="0"/>
        <v>3.2452665049218297</v>
      </c>
      <c r="AL12" s="13"/>
      <c r="AM12" s="13"/>
      <c r="AP12" s="13">
        <v>1</v>
      </c>
    </row>
    <row r="13" spans="1:42" ht="11.25" customHeight="1" x14ac:dyDescent="0.3">
      <c r="A13" s="95"/>
      <c r="B13" s="95"/>
      <c r="C13" s="95"/>
      <c r="D13" s="95"/>
      <c r="E13" s="95" t="s">
        <v>87</v>
      </c>
      <c r="F13" s="95" t="s">
        <v>25</v>
      </c>
      <c r="G13" s="18" t="s">
        <v>80</v>
      </c>
      <c r="H13" s="18" t="s">
        <v>79</v>
      </c>
      <c r="I13" s="18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0.7917072530316035</v>
      </c>
      <c r="N13" s="13">
        <f ca="1">(+M13+O13+R13+U13+V13+W13+X13+Y13+Z13+AA13+AC13+AH13+AI13+AJ13+AK13)*CUSTOS!$M$5</f>
        <v>6.120103402628753E-12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1.6387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576.33619999999996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12.8766</v>
      </c>
      <c r="AI13" s="13">
        <v>12.8766</v>
      </c>
      <c r="AJ13" s="13">
        <f ca="1">$N$63</f>
        <v>3.2452665049218297</v>
      </c>
      <c r="AK13" s="13">
        <f t="shared" ca="1" si="0"/>
        <v>3.2452665049218297</v>
      </c>
      <c r="AL13" s="13"/>
      <c r="AM13" s="13"/>
      <c r="AP13" s="13">
        <v>1</v>
      </c>
    </row>
    <row r="14" spans="1:42" ht="11.25" customHeight="1" x14ac:dyDescent="0.3">
      <c r="A14" s="95"/>
      <c r="B14" s="95"/>
      <c r="C14" s="95"/>
      <c r="D14" s="95"/>
      <c r="E14" s="95"/>
      <c r="F14" s="95"/>
      <c r="G14" s="18" t="s">
        <v>81</v>
      </c>
      <c r="H14" s="18" t="s">
        <v>79</v>
      </c>
      <c r="I14" s="18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0.7917072530316035</v>
      </c>
      <c r="N14" s="13">
        <f ca="1">(+M14+O14+R14+U14+V14+W14+X14+Y14+Z14+AA14+AC14+AH14+AI14+AJ14+AK14)*CUSTOS!$M$5</f>
        <v>3.4035440262875265E-13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12.8766</v>
      </c>
      <c r="AI14" s="13">
        <v>12.8766</v>
      </c>
      <c r="AJ14" s="13">
        <f ca="1">$N$63</f>
        <v>3.2452665049218297</v>
      </c>
      <c r="AK14" s="13">
        <f t="shared" ca="1" si="0"/>
        <v>3.2452665049218297</v>
      </c>
      <c r="AL14" s="13"/>
      <c r="AM14" s="13"/>
      <c r="AP14" s="13">
        <v>1</v>
      </c>
    </row>
    <row r="15" spans="1:42" ht="11.25" customHeight="1" x14ac:dyDescent="0.3">
      <c r="A15" s="95" t="s">
        <v>88</v>
      </c>
      <c r="B15" s="95" t="s">
        <v>56</v>
      </c>
      <c r="C15" s="95" t="s">
        <v>25</v>
      </c>
      <c r="D15" s="95" t="s">
        <v>25</v>
      </c>
      <c r="E15" s="17" t="s">
        <v>89</v>
      </c>
      <c r="F15" s="17" t="s">
        <v>25</v>
      </c>
      <c r="G15" s="18" t="s">
        <v>9</v>
      </c>
      <c r="H15" s="18" t="s">
        <v>84</v>
      </c>
      <c r="I15" s="18">
        <f>'MERCADO TUSD'!$U$12+0.00000001</f>
        <v>1E-8</v>
      </c>
      <c r="J15" s="15"/>
      <c r="L15" s="13">
        <v>0</v>
      </c>
      <c r="M15" s="13">
        <v>6.7000000000000002E-3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2.1027999999999998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3">
      <c r="A16" s="95"/>
      <c r="B16" s="95"/>
      <c r="C16" s="95"/>
      <c r="D16" s="95"/>
      <c r="E16" s="17" t="s">
        <v>90</v>
      </c>
      <c r="F16" s="17" t="s">
        <v>25</v>
      </c>
      <c r="G16" s="18" t="s">
        <v>9</v>
      </c>
      <c r="H16" s="18" t="s">
        <v>84</v>
      </c>
      <c r="I16" s="18">
        <f>'MERCADO TUSD'!$U$13+0.00000001</f>
        <v>1E-8</v>
      </c>
      <c r="J16" s="15"/>
      <c r="L16" s="13">
        <v>0</v>
      </c>
      <c r="M16" s="13">
        <v>6.7000000000000002E-3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6.2590000000000003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3">
      <c r="A17" s="95" t="s">
        <v>22</v>
      </c>
      <c r="B17" s="95" t="s">
        <v>92</v>
      </c>
      <c r="C17" s="95" t="s">
        <v>24</v>
      </c>
      <c r="D17" s="95" t="s">
        <v>24</v>
      </c>
      <c r="E17" s="95" t="s">
        <v>25</v>
      </c>
      <c r="F17" s="95" t="s">
        <v>25</v>
      </c>
      <c r="G17" s="18" t="s">
        <v>80</v>
      </c>
      <c r="H17" s="18" t="s">
        <v>79</v>
      </c>
      <c r="I17" s="18">
        <f>'MERCADO TUSD'!$U$14</f>
        <v>0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1.4485189575912008</v>
      </c>
      <c r="N17" s="13">
        <f ca="1">(+M17+O17+R17+U17+V17+W17+X17+Y17+Z17+AA17+AC17+AH17+AI17+AJ17+AK17)*CUSTOS!$M$5</f>
        <v>3.8268888821987964E-12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0.63619999999999999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317.9153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25.702300000000001</v>
      </c>
      <c r="AI17" s="13">
        <v>25.702300000000001</v>
      </c>
      <c r="AJ17" s="13">
        <f ca="1">$N$64</f>
        <v>4.6421346311442724</v>
      </c>
      <c r="AK17" s="13">
        <f t="shared" ca="1" si="0"/>
        <v>4.6421346311442724</v>
      </c>
      <c r="AL17" s="13"/>
      <c r="AM17" s="13"/>
      <c r="AP17" s="13">
        <v>1</v>
      </c>
    </row>
    <row r="18" spans="1:42" ht="11.25" customHeight="1" x14ac:dyDescent="0.3">
      <c r="A18" s="95"/>
      <c r="B18" s="95"/>
      <c r="C18" s="95"/>
      <c r="D18" s="95"/>
      <c r="E18" s="95"/>
      <c r="F18" s="95"/>
      <c r="G18" s="18" t="s">
        <v>91</v>
      </c>
      <c r="H18" s="18" t="s">
        <v>79</v>
      </c>
      <c r="I18" s="18">
        <f>'MERCADO TUSD'!$U$15</f>
        <v>0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1.4485189575912008</v>
      </c>
      <c r="N18" s="13">
        <f ca="1">(+M18+O18+R18+U18+V18+W18+X18+Y18+Z18+AA18+AC18+AH18+AI18+AJ18+AK18)*CUSTOS!$M$5</f>
        <v>2.5526838821987976E-12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0.38179999999999997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190.7492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25.702300000000001</v>
      </c>
      <c r="AI18" s="13">
        <v>25.702300000000001</v>
      </c>
      <c r="AJ18" s="13">
        <f ca="1">$N$64</f>
        <v>4.6421346311442724</v>
      </c>
      <c r="AK18" s="13">
        <f t="shared" ca="1" si="0"/>
        <v>4.6421346311442724</v>
      </c>
      <c r="AL18" s="13"/>
      <c r="AM18" s="13"/>
      <c r="AP18" s="13">
        <v>1</v>
      </c>
    </row>
    <row r="19" spans="1:42" ht="11.25" customHeight="1" x14ac:dyDescent="0.3">
      <c r="A19" s="95"/>
      <c r="B19" s="95"/>
      <c r="C19" s="95"/>
      <c r="D19" s="95"/>
      <c r="E19" s="95"/>
      <c r="F19" s="95"/>
      <c r="G19" s="18" t="s">
        <v>81</v>
      </c>
      <c r="H19" s="18" t="s">
        <v>79</v>
      </c>
      <c r="I19" s="18">
        <f>'MERCADO TUSD'!$U$16</f>
        <v>0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1.4485189575912008</v>
      </c>
      <c r="N19" s="13">
        <f ca="1">(+M19+O19+R19+U19+V19+W19+X19+Y19+Z19+AA19+AC19+AH19+AI19+AJ19+AK19)*CUSTOS!$M$5</f>
        <v>1.2784768821987976E-12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0.1273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63.582999999999998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25.702300000000001</v>
      </c>
      <c r="AI19" s="13">
        <v>25.702300000000001</v>
      </c>
      <c r="AJ19" s="13">
        <f ca="1">$N$64</f>
        <v>4.6421346311442724</v>
      </c>
      <c r="AK19" s="13">
        <f t="shared" ca="1" si="0"/>
        <v>4.6421346311442724</v>
      </c>
      <c r="AL19" s="13"/>
      <c r="AM19" s="13"/>
      <c r="AP19" s="13">
        <v>1</v>
      </c>
    </row>
    <row r="20" spans="1:42" ht="11.25" customHeight="1" x14ac:dyDescent="0.3">
      <c r="A20" s="95"/>
      <c r="B20" s="95" t="s">
        <v>23</v>
      </c>
      <c r="C20" s="95" t="s">
        <v>24</v>
      </c>
      <c r="D20" s="17" t="s">
        <v>24</v>
      </c>
      <c r="E20" s="17" t="s">
        <v>25</v>
      </c>
      <c r="F20" s="17" t="s">
        <v>25</v>
      </c>
      <c r="G20" s="18" t="s">
        <v>83</v>
      </c>
      <c r="H20" s="18" t="s">
        <v>79</v>
      </c>
      <c r="I20" s="18">
        <f>'MERCADO TUSD'!$U$17</f>
        <v>10969.981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1.4485189575912008</v>
      </c>
      <c r="N20" s="13">
        <f ca="1">(+M20+O20+R20+U20+V20+W20+X20+Y20+Z20+AA20+AC20+AH20+AI20+AJ20+AK20)*CUSTOS!$M$5</f>
        <v>1.8211948821987976E-12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0.23569999999999999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117.74639999999999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25.702300000000001</v>
      </c>
      <c r="AI20" s="13">
        <v>25.702300000000001</v>
      </c>
      <c r="AJ20" s="13">
        <f ca="1">$N$64</f>
        <v>4.6421346311442724</v>
      </c>
      <c r="AK20" s="13">
        <f t="shared" ca="1" si="0"/>
        <v>4.6421346311442724</v>
      </c>
      <c r="AL20" s="13"/>
      <c r="AM20" s="13"/>
      <c r="AP20" s="13">
        <v>1</v>
      </c>
    </row>
    <row r="21" spans="1:42" ht="11.25" customHeight="1" x14ac:dyDescent="0.3">
      <c r="A21" s="95"/>
      <c r="B21" s="95"/>
      <c r="C21" s="95"/>
      <c r="D21" s="17" t="s">
        <v>28</v>
      </c>
      <c r="E21" s="17" t="s">
        <v>25</v>
      </c>
      <c r="F21" s="17" t="s">
        <v>25</v>
      </c>
      <c r="G21" s="18" t="s">
        <v>83</v>
      </c>
      <c r="H21" s="18" t="s">
        <v>79</v>
      </c>
      <c r="I21" s="18">
        <f>'MERCADO TUSD'!$U$18</f>
        <v>87.284999999999997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1.4485189575912008</v>
      </c>
      <c r="N21" s="13">
        <f ca="1">(+M21+O21+R21+U21+V21+W21+X21+Y21+Z21+AA21+AC21+AH21+AI21+AJ21+AK21)*CUSTOS!$M$5</f>
        <v>1.8111948821987974E-12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0.23569999999999999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117.74639999999999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CUSTOS!$M$24)*25.7023</f>
        <v>25.702300000000001</v>
      </c>
      <c r="AI21" s="13">
        <f>(1 - CUSTOS!$M$24)*25.7023</f>
        <v>25.702300000000001</v>
      </c>
      <c r="AJ21" s="13">
        <f ca="1">$N$64*(1-CUSTOS!$M$24)</f>
        <v>4.6421346311442724</v>
      </c>
      <c r="AK21" s="13">
        <f t="shared" ca="1" si="0"/>
        <v>4.6421346311442724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3">
      <c r="A22" s="95"/>
      <c r="B22" s="95"/>
      <c r="C22" s="95"/>
      <c r="D22" s="17" t="s">
        <v>29</v>
      </c>
      <c r="E22" s="17" t="s">
        <v>25</v>
      </c>
      <c r="F22" s="17" t="s">
        <v>25</v>
      </c>
      <c r="G22" s="18" t="s">
        <v>83</v>
      </c>
      <c r="H22" s="18" t="s">
        <v>79</v>
      </c>
      <c r="I22" s="18">
        <f>'MERCADO TUSD'!$U$19</f>
        <v>183.16699999999997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1.4485189575912008</v>
      </c>
      <c r="N22" s="13">
        <f ca="1">(+M22+O22+R22+U22+V22+W22+X22+Y22+Z22+AA22+AC22+AH22+AI22+AJ22+AK22)*CUSTOS!$M$5</f>
        <v>1.8111948821987974E-12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0.23569999999999999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117.74639999999999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CUSTOS!$M$25)*25.7023</f>
        <v>25.702300000000001</v>
      </c>
      <c r="AI22" s="13">
        <f>(1 - CUSTOS!$M$25)*25.7023</f>
        <v>25.702300000000001</v>
      </c>
      <c r="AJ22" s="13">
        <f ca="1">$N$64*(1-CUSTOS!$M$25)</f>
        <v>4.6421346311442724</v>
      </c>
      <c r="AK22" s="13">
        <f t="shared" ca="1" si="0"/>
        <v>4.6421346311442724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3">
      <c r="A23" s="95"/>
      <c r="B23" s="95"/>
      <c r="C23" s="95"/>
      <c r="D23" s="17" t="s">
        <v>30</v>
      </c>
      <c r="E23" s="17" t="s">
        <v>25</v>
      </c>
      <c r="F23" s="17" t="s">
        <v>25</v>
      </c>
      <c r="G23" s="18" t="s">
        <v>83</v>
      </c>
      <c r="H23" s="18" t="s">
        <v>79</v>
      </c>
      <c r="I23" s="18">
        <f>'MERCADO TUSD'!$U$20</f>
        <v>200.38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1.4485189575912008</v>
      </c>
      <c r="N23" s="13">
        <f ca="1">(+M23+O23+R23+U23+V23+W23+X23+Y23+Z23+AA23+AC23+AH23+AI23+AJ23+AK23)*CUSTOS!$M$5</f>
        <v>1.8111948821987974E-12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0.23569999999999999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117.74639999999999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CUSTOS!$M$26)*25.7023</f>
        <v>25.702300000000001</v>
      </c>
      <c r="AI23" s="13">
        <f>(1 - CUSTOS!$M$26)*25.7023</f>
        <v>25.702300000000001</v>
      </c>
      <c r="AJ23" s="13">
        <f ca="1">$N$64*(1-CUSTOS!$M$26)</f>
        <v>4.6421346311442724</v>
      </c>
      <c r="AK23" s="13">
        <f t="shared" ca="1" si="0"/>
        <v>4.6421346311442724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3">
      <c r="A24" s="95"/>
      <c r="B24" s="95"/>
      <c r="C24" s="95"/>
      <c r="D24" s="17" t="s">
        <v>31</v>
      </c>
      <c r="E24" s="17" t="s">
        <v>25</v>
      </c>
      <c r="F24" s="17" t="s">
        <v>25</v>
      </c>
      <c r="G24" s="18" t="s">
        <v>83</v>
      </c>
      <c r="H24" s="18" t="s">
        <v>79</v>
      </c>
      <c r="I24" s="18">
        <f>'MERCADO TUSD'!$U$21</f>
        <v>80.955999999999989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1.4485189575912008</v>
      </c>
      <c r="N24" s="13">
        <f ca="1">(+M24+O24+R24+U24+V24+W24+X24+Y24+Z24+AA24+AC24+AH24+AI24+AJ24+AK24)*CUSTOS!$M$5</f>
        <v>1.8111948821987974E-12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0.23569999999999999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117.74639999999999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CUSTOS!$M$27)*25.7023</f>
        <v>25.702300000000001</v>
      </c>
      <c r="AI24" s="13">
        <f>(1 - CUSTOS!$M$27)*25.7023</f>
        <v>25.702300000000001</v>
      </c>
      <c r="AJ24" s="13">
        <f ca="1">$N$64*(1-CUSTOS!$M$27)</f>
        <v>4.6421346311442724</v>
      </c>
      <c r="AK24" s="13">
        <f t="shared" ca="1" si="0"/>
        <v>4.6421346311442724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3">
      <c r="A25" s="95"/>
      <c r="B25" s="95" t="s">
        <v>94</v>
      </c>
      <c r="C25" s="95" t="s">
        <v>24</v>
      </c>
      <c r="D25" s="17" t="s">
        <v>24</v>
      </c>
      <c r="E25" s="17" t="s">
        <v>25</v>
      </c>
      <c r="F25" s="17" t="s">
        <v>25</v>
      </c>
      <c r="G25" s="18" t="s">
        <v>83</v>
      </c>
      <c r="H25" s="18" t="s">
        <v>79</v>
      </c>
      <c r="I25" s="18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1.4485189575912008</v>
      </c>
      <c r="N25" s="13">
        <f ca="1">(+M25+O25+R25+U25+V25+W25+X25+Y25+Z25+AA25+AC25+AH25+AI25+AJ25+AK25)*CUSTOS!$M$5</f>
        <v>1.8211948821987976E-12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0.23569999999999999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117.74639999999999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25.702300000000001</v>
      </c>
      <c r="AI25" s="13">
        <v>25.702300000000001</v>
      </c>
      <c r="AJ25" s="13">
        <f ca="1">$N$64</f>
        <v>4.6421346311442724</v>
      </c>
      <c r="AK25" s="13">
        <f t="shared" ca="1" si="0"/>
        <v>4.6421346311442724</v>
      </c>
      <c r="AL25" s="13"/>
      <c r="AM25" s="13"/>
      <c r="AP25" s="13">
        <v>1</v>
      </c>
    </row>
    <row r="26" spans="1:42" ht="11.25" customHeight="1" x14ac:dyDescent="0.3">
      <c r="A26" s="95"/>
      <c r="B26" s="95"/>
      <c r="C26" s="95"/>
      <c r="D26" s="17" t="s">
        <v>28</v>
      </c>
      <c r="E26" s="17" t="s">
        <v>25</v>
      </c>
      <c r="F26" s="17" t="s">
        <v>25</v>
      </c>
      <c r="G26" s="18" t="s">
        <v>83</v>
      </c>
      <c r="H26" s="18" t="s">
        <v>79</v>
      </c>
      <c r="I26" s="18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1.4485189575912008</v>
      </c>
      <c r="N26" s="13">
        <f ca="1">(+M26+O26+R26+U26+V26+W26+X26+Y26+Z26+AA26+AC26+AH26+AI26+AJ26+AK26)*CUSTOS!$M$5</f>
        <v>1.8111948821987974E-12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0.23569999999999999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117.74639999999999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CUSTOS!$M$24)*25.7023</f>
        <v>25.702300000000001</v>
      </c>
      <c r="AI26" s="13">
        <f>(1 - CUSTOS!$M$24)*25.7023</f>
        <v>25.702300000000001</v>
      </c>
      <c r="AJ26" s="13">
        <f ca="1">$N$64*(1-CUSTOS!$M$24)</f>
        <v>4.6421346311442724</v>
      </c>
      <c r="AK26" s="13">
        <f t="shared" ca="1" si="0"/>
        <v>4.6421346311442724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3">
      <c r="A27" s="95"/>
      <c r="B27" s="95"/>
      <c r="C27" s="95"/>
      <c r="D27" s="17" t="s">
        <v>29</v>
      </c>
      <c r="E27" s="17" t="s">
        <v>25</v>
      </c>
      <c r="F27" s="17" t="s">
        <v>25</v>
      </c>
      <c r="G27" s="18" t="s">
        <v>83</v>
      </c>
      <c r="H27" s="18" t="s">
        <v>79</v>
      </c>
      <c r="I27" s="18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1.4485189575912008</v>
      </c>
      <c r="N27" s="13">
        <f ca="1">(+M27+O27+R27+U27+V27+W27+X27+Y27+Z27+AA27+AC27+AH27+AI27+AJ27+AK27)*CUSTOS!$M$5</f>
        <v>1.8111948821987974E-12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0.23569999999999999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117.74639999999999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CUSTOS!$M$25)*25.7023</f>
        <v>25.702300000000001</v>
      </c>
      <c r="AI27" s="13">
        <f>(1 - CUSTOS!$M$25)*25.7023</f>
        <v>25.702300000000001</v>
      </c>
      <c r="AJ27" s="13">
        <f ca="1">$N$64*(1-CUSTOS!$M$25)</f>
        <v>4.6421346311442724</v>
      </c>
      <c r="AK27" s="13">
        <f t="shared" ca="1" si="0"/>
        <v>4.6421346311442724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3">
      <c r="A28" s="95"/>
      <c r="B28" s="95"/>
      <c r="C28" s="95"/>
      <c r="D28" s="17" t="s">
        <v>30</v>
      </c>
      <c r="E28" s="17" t="s">
        <v>25</v>
      </c>
      <c r="F28" s="17" t="s">
        <v>25</v>
      </c>
      <c r="G28" s="18" t="s">
        <v>83</v>
      </c>
      <c r="H28" s="18" t="s">
        <v>79</v>
      </c>
      <c r="I28" s="18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1.4485189575912008</v>
      </c>
      <c r="N28" s="13">
        <f ca="1">(+M28+O28+R28+U28+V28+W28+X28+Y28+Z28+AA28+AC28+AH28+AI28+AJ28+AK28)*CUSTOS!$M$5</f>
        <v>1.8111948821987974E-12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0.23569999999999999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117.74639999999999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CUSTOS!$M$26)*25.7023</f>
        <v>25.702300000000001</v>
      </c>
      <c r="AI28" s="13">
        <f>(1 - CUSTOS!$M$26)*25.7023</f>
        <v>25.702300000000001</v>
      </c>
      <c r="AJ28" s="13">
        <f ca="1">$N$64*(1-CUSTOS!$M$26)</f>
        <v>4.6421346311442724</v>
      </c>
      <c r="AK28" s="13">
        <f t="shared" ca="1" si="0"/>
        <v>4.6421346311442724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3">
      <c r="A29" s="95"/>
      <c r="B29" s="95"/>
      <c r="C29" s="95"/>
      <c r="D29" s="17" t="s">
        <v>31</v>
      </c>
      <c r="E29" s="17" t="s">
        <v>25</v>
      </c>
      <c r="F29" s="17" t="s">
        <v>25</v>
      </c>
      <c r="G29" s="18" t="s">
        <v>83</v>
      </c>
      <c r="H29" s="18" t="s">
        <v>79</v>
      </c>
      <c r="I29" s="18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1.4485189575912008</v>
      </c>
      <c r="N29" s="13">
        <f ca="1">(+M29+O29+R29+U29+V29+W29+X29+Y29+Z29+AA29+AC29+AH29+AI29+AJ29+AK29)*CUSTOS!$M$5</f>
        <v>1.8111948821987974E-12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0.23569999999999999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117.74639999999999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CUSTOS!$M$27)*25.7023</f>
        <v>25.702300000000001</v>
      </c>
      <c r="AI29" s="13">
        <f>(1 - CUSTOS!$M$27)*25.7023</f>
        <v>25.702300000000001</v>
      </c>
      <c r="AJ29" s="13">
        <f ca="1">$N$64*(1-CUSTOS!$M$27)</f>
        <v>4.6421346311442724</v>
      </c>
      <c r="AK29" s="13">
        <f t="shared" ca="1" si="0"/>
        <v>4.6421346311442724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3">
      <c r="A30" s="95" t="s">
        <v>40</v>
      </c>
      <c r="B30" s="95" t="s">
        <v>92</v>
      </c>
      <c r="C30" s="95" t="s">
        <v>41</v>
      </c>
      <c r="D30" s="95" t="s">
        <v>25</v>
      </c>
      <c r="E30" s="95" t="s">
        <v>25</v>
      </c>
      <c r="F30" s="95" t="s">
        <v>25</v>
      </c>
      <c r="G30" s="18" t="s">
        <v>80</v>
      </c>
      <c r="H30" s="18" t="s">
        <v>79</v>
      </c>
      <c r="I30" s="18">
        <f>'MERCADO TUSD'!$U$27</f>
        <v>0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1.4485189575912008</v>
      </c>
      <c r="N30" s="13">
        <f ca="1">(+M30+O30+R30+U30+V30+W30+X30+Y30+Z30+AA30+AC30+AH30+AI30+AJ30+AK30)*CUSTOS!$M$5</f>
        <v>4.1218448821987967E-12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0.69520000000000004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347.3519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CUSTOS!$M$28)*25.7023</f>
        <v>25.702300000000001</v>
      </c>
      <c r="AI30" s="13">
        <f>(1 - CUSTOS!$M$28)*25.7023</f>
        <v>25.702300000000001</v>
      </c>
      <c r="AJ30" s="13">
        <f ca="1">$N$64*(1-CUSTOS!$M$28)</f>
        <v>4.6421346311442724</v>
      </c>
      <c r="AK30" s="13">
        <f t="shared" ca="1" si="0"/>
        <v>4.6421346311442724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3">
      <c r="A31" s="95"/>
      <c r="B31" s="95"/>
      <c r="C31" s="95"/>
      <c r="D31" s="95"/>
      <c r="E31" s="95"/>
      <c r="F31" s="95"/>
      <c r="G31" s="18" t="s">
        <v>91</v>
      </c>
      <c r="H31" s="18" t="s">
        <v>79</v>
      </c>
      <c r="I31" s="18">
        <f>'MERCADO TUSD'!$U$28</f>
        <v>0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1.4485189575912008</v>
      </c>
      <c r="N31" s="13">
        <f ca="1">(+M31+O31+R31+U31+V31+W31+X31+Y31+Z31+AA31+AC31+AH31+AI31+AJ31+AK31)*CUSTOS!$M$5</f>
        <v>2.7296558821987969E-12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0.41699999999999998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208.41120000000001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CUSTOS!$M$28)*25.7023</f>
        <v>25.702300000000001</v>
      </c>
      <c r="AI31" s="13">
        <f>(1 - CUSTOS!$M$28)*25.7023</f>
        <v>25.702300000000001</v>
      </c>
      <c r="AJ31" s="13">
        <f ca="1">$N$64*(1-CUSTOS!$M$28)</f>
        <v>4.6421346311442724</v>
      </c>
      <c r="AK31" s="13">
        <f t="shared" ca="1" si="0"/>
        <v>4.6421346311442724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3">
      <c r="A32" s="95"/>
      <c r="B32" s="95"/>
      <c r="C32" s="95"/>
      <c r="D32" s="95"/>
      <c r="E32" s="95"/>
      <c r="F32" s="95"/>
      <c r="G32" s="18" t="s">
        <v>81</v>
      </c>
      <c r="H32" s="18" t="s">
        <v>79</v>
      </c>
      <c r="I32" s="18">
        <f>'MERCADO TUSD'!$U$29</f>
        <v>0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1.4485189575912008</v>
      </c>
      <c r="N32" s="13">
        <f ca="1">(+M32+O32+R32+U32+V32+W32+X32+Y32+Z32+AA32+AC32+AH32+AI32+AJ32+AK32)*CUSTOS!$M$5</f>
        <v>1.3374688821987977E-12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0.1391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69.470399999999998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CUSTOS!$M$28)*25.7023</f>
        <v>25.702300000000001</v>
      </c>
      <c r="AI32" s="13">
        <f>(1 - CUSTOS!$M$28)*25.7023</f>
        <v>25.702300000000001</v>
      </c>
      <c r="AJ32" s="13">
        <f ca="1">$N$64*(1-CUSTOS!$M$28)</f>
        <v>4.6421346311442724</v>
      </c>
      <c r="AK32" s="13">
        <f t="shared" ca="1" si="0"/>
        <v>4.6421346311442724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3">
      <c r="A33" s="95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83</v>
      </c>
      <c r="H33" s="18" t="s">
        <v>79</v>
      </c>
      <c r="I33" s="18">
        <f>'MERCADO TUSD'!$U$30</f>
        <v>15119.107000000002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1.4485189575912008</v>
      </c>
      <c r="N33" s="13">
        <f ca="1">(+M33+O33+R33+U33+V33+W33+X33+Y33+Z33+AA33+AC33+AH33+AI33+AJ33+AK33)*CUSTOS!$M$5</f>
        <v>1.8211948821987976E-12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0.23569999999999999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117.74639999999999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CUSTOS!$M$28)*25.7023</f>
        <v>25.702300000000001</v>
      </c>
      <c r="AI33" s="13">
        <f>(1 - CUSTOS!$M$28)*25.7023</f>
        <v>25.702300000000001</v>
      </c>
      <c r="AJ33" s="13">
        <f ca="1">$N$64*(1-CUSTOS!$M$28)</f>
        <v>4.6421346311442724</v>
      </c>
      <c r="AK33" s="13">
        <f t="shared" ca="1" si="0"/>
        <v>4.6421346311442724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3">
      <c r="A34" s="95"/>
      <c r="B34" s="95" t="s">
        <v>92</v>
      </c>
      <c r="C34" s="95" t="s">
        <v>41</v>
      </c>
      <c r="D34" s="95" t="s">
        <v>95</v>
      </c>
      <c r="E34" s="95" t="s">
        <v>25</v>
      </c>
      <c r="F34" s="95" t="s">
        <v>25</v>
      </c>
      <c r="G34" s="18" t="s">
        <v>80</v>
      </c>
      <c r="H34" s="18" t="s">
        <v>79</v>
      </c>
      <c r="I34" s="18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1.4485189575912008</v>
      </c>
      <c r="N34" s="13">
        <f ca="1">(+M34+O34+R34+U34+V34+W34+X34+Y34+Z34+AA34+AC34+AH34+AI34+AJ34+AK34)*CUSTOS!$M$5</f>
        <v>4.1218448821987967E-12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0.69520000000000004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347.3519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CUSTOS!$M$29)*25.7023</f>
        <v>25.702300000000001</v>
      </c>
      <c r="AI34" s="13">
        <f>(1 - CUSTOS!$M$29)*25.7023</f>
        <v>25.702300000000001</v>
      </c>
      <c r="AJ34" s="13">
        <f ca="1">$N$64*(1-CUSTOS!$M$29)</f>
        <v>4.6421346311442724</v>
      </c>
      <c r="AK34" s="13">
        <f t="shared" ca="1" si="0"/>
        <v>4.6421346311442724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3">
      <c r="A35" s="95"/>
      <c r="B35" s="95"/>
      <c r="C35" s="95"/>
      <c r="D35" s="95"/>
      <c r="E35" s="95"/>
      <c r="F35" s="95"/>
      <c r="G35" s="18" t="s">
        <v>91</v>
      </c>
      <c r="H35" s="18" t="s">
        <v>79</v>
      </c>
      <c r="I35" s="18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1.4485189575912008</v>
      </c>
      <c r="N35" s="13">
        <f ca="1">(+M35+O35+R35+U35+V35+W35+X35+Y35+Z35+AA35+AC35+AH35+AI35+AJ35+AK35)*CUSTOS!$M$5</f>
        <v>2.7296558821987969E-12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0.41699999999999998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208.41120000000001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CUSTOS!$M$29)*25.7023</f>
        <v>25.702300000000001</v>
      </c>
      <c r="AI35" s="13">
        <f>(1 - CUSTOS!$M$29)*25.7023</f>
        <v>25.702300000000001</v>
      </c>
      <c r="AJ35" s="13">
        <f ca="1">$N$64*(1-CUSTOS!$M$29)</f>
        <v>4.6421346311442724</v>
      </c>
      <c r="AK35" s="13">
        <f t="shared" ca="1" si="0"/>
        <v>4.6421346311442724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3">
      <c r="A36" s="95"/>
      <c r="B36" s="95"/>
      <c r="C36" s="95"/>
      <c r="D36" s="95"/>
      <c r="E36" s="95"/>
      <c r="F36" s="95"/>
      <c r="G36" s="18" t="s">
        <v>81</v>
      </c>
      <c r="H36" s="18" t="s">
        <v>79</v>
      </c>
      <c r="I36" s="18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1.4485189575912008</v>
      </c>
      <c r="N36" s="13">
        <f ca="1">(+M36+O36+R36+U36+V36+W36+X36+Y36+Z36+AA36+AC36+AH36+AI36+AJ36+AK36)*CUSTOS!$M$5</f>
        <v>1.3374688821987977E-12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0.1391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69.470399999999998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CUSTOS!$M$29)*25.7023</f>
        <v>25.702300000000001</v>
      </c>
      <c r="AI36" s="13">
        <f>(1 - CUSTOS!$M$29)*25.7023</f>
        <v>25.702300000000001</v>
      </c>
      <c r="AJ36" s="13">
        <f ca="1">$N$64*(1-CUSTOS!$M$29)</f>
        <v>4.6421346311442724</v>
      </c>
      <c r="AK36" s="13">
        <f t="shared" ca="1" si="0"/>
        <v>4.6421346311442724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3">
      <c r="A37" s="95"/>
      <c r="B37" s="17" t="s">
        <v>23</v>
      </c>
      <c r="C37" s="17" t="s">
        <v>41</v>
      </c>
      <c r="D37" s="17" t="s">
        <v>95</v>
      </c>
      <c r="E37" s="17" t="s">
        <v>25</v>
      </c>
      <c r="F37" s="17" t="s">
        <v>25</v>
      </c>
      <c r="G37" s="18" t="s">
        <v>83</v>
      </c>
      <c r="H37" s="18" t="s">
        <v>79</v>
      </c>
      <c r="I37" s="18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1.4485189575912008</v>
      </c>
      <c r="N37" s="13">
        <f ca="1">(+M37+O37+R37+U37+V37+W37+X37+Y37+Z37+AA37+AC37+AH37+AI37+AJ37+AK37)*CUSTOS!$M$5</f>
        <v>1.8211948821987976E-12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0.23569999999999999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117.74639999999999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CUSTOS!$M$29)*25.7023</f>
        <v>25.702300000000001</v>
      </c>
      <c r="AI37" s="13">
        <f>(1 - CUSTOS!$M$29)*25.7023</f>
        <v>25.702300000000001</v>
      </c>
      <c r="AJ37" s="13">
        <f ca="1">$N$64*(1-CUSTOS!$M$29)</f>
        <v>4.6421346311442724</v>
      </c>
      <c r="AK37" s="13">
        <f t="shared" ca="1" si="0"/>
        <v>4.6421346311442724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3">
      <c r="A38" s="95"/>
      <c r="B38" s="95" t="s">
        <v>92</v>
      </c>
      <c r="C38" s="95" t="s">
        <v>41</v>
      </c>
      <c r="D38" s="95" t="s">
        <v>96</v>
      </c>
      <c r="E38" s="95" t="s">
        <v>25</v>
      </c>
      <c r="F38" s="95" t="s">
        <v>25</v>
      </c>
      <c r="G38" s="18" t="s">
        <v>80</v>
      </c>
      <c r="H38" s="18" t="s">
        <v>79</v>
      </c>
      <c r="I38" s="18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1.4485189575912008</v>
      </c>
      <c r="N38" s="13">
        <f ca="1">(+M38+O38+R38+U38+V38+W38+X38+Y38+Z38+AA38+AC38+AH38+AI38+AJ38+AK38)*CUSTOS!$M$5</f>
        <v>4.1218448821987967E-12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0.69520000000000004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347.3519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CUSTOS!$M$30)*25.7023</f>
        <v>25.702300000000001</v>
      </c>
      <c r="AI38" s="13">
        <f>(1 - CUSTOS!$M$30)*25.7023</f>
        <v>25.702300000000001</v>
      </c>
      <c r="AJ38" s="13">
        <f ca="1">$N$64*(1-CUSTOS!$M$30)</f>
        <v>4.6421346311442724</v>
      </c>
      <c r="AK38" s="13">
        <f t="shared" ca="1" si="0"/>
        <v>4.6421346311442724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3">
      <c r="A39" s="95"/>
      <c r="B39" s="95"/>
      <c r="C39" s="95"/>
      <c r="D39" s="95"/>
      <c r="E39" s="95"/>
      <c r="F39" s="95"/>
      <c r="G39" s="18" t="s">
        <v>91</v>
      </c>
      <c r="H39" s="18" t="s">
        <v>79</v>
      </c>
      <c r="I39" s="18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1.4485189575912008</v>
      </c>
      <c r="N39" s="13">
        <f ca="1">(+M39+O39+R39+U39+V39+W39+X39+Y39+Z39+AA39+AC39+AH39+AI39+AJ39+AK39)*CUSTOS!$M$5</f>
        <v>2.7296558821987969E-12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0.41699999999999998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208.41120000000001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CUSTOS!$M$30)*25.7023</f>
        <v>25.702300000000001</v>
      </c>
      <c r="AI39" s="13">
        <f>(1 - CUSTOS!$M$30)*25.7023</f>
        <v>25.702300000000001</v>
      </c>
      <c r="AJ39" s="13">
        <f ca="1">$N$64*(1-CUSTOS!$M$30)</f>
        <v>4.6421346311442724</v>
      </c>
      <c r="AK39" s="13">
        <f t="shared" ca="1" si="0"/>
        <v>4.6421346311442724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3">
      <c r="A40" s="95"/>
      <c r="B40" s="95"/>
      <c r="C40" s="95"/>
      <c r="D40" s="95"/>
      <c r="E40" s="95"/>
      <c r="F40" s="95"/>
      <c r="G40" s="18" t="s">
        <v>81</v>
      </c>
      <c r="H40" s="18" t="s">
        <v>79</v>
      </c>
      <c r="I40" s="18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1.4485189575912008</v>
      </c>
      <c r="N40" s="13">
        <f ca="1">(+M40+O40+R40+U40+V40+W40+X40+Y40+Z40+AA40+AC40+AH40+AI40+AJ40+AK40)*CUSTOS!$M$5</f>
        <v>1.3374688821987977E-12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0.1391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69.470399999999998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CUSTOS!$M$30)*25.7023</f>
        <v>25.702300000000001</v>
      </c>
      <c r="AI40" s="13">
        <f>(1 - CUSTOS!$M$30)*25.7023</f>
        <v>25.702300000000001</v>
      </c>
      <c r="AJ40" s="13">
        <f ca="1">$N$64*(1-CUSTOS!$M$30)</f>
        <v>4.6421346311442724</v>
      </c>
      <c r="AK40" s="13">
        <f t="shared" ca="1" si="0"/>
        <v>4.6421346311442724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3">
      <c r="A41" s="95"/>
      <c r="B41" s="17" t="s">
        <v>23</v>
      </c>
      <c r="C41" s="17" t="s">
        <v>41</v>
      </c>
      <c r="D41" s="17" t="s">
        <v>96</v>
      </c>
      <c r="E41" s="17" t="s">
        <v>25</v>
      </c>
      <c r="F41" s="17" t="s">
        <v>25</v>
      </c>
      <c r="G41" s="18" t="s">
        <v>83</v>
      </c>
      <c r="H41" s="18" t="s">
        <v>79</v>
      </c>
      <c r="I41" s="18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1.4485189575912008</v>
      </c>
      <c r="N41" s="13">
        <f ca="1">(+M41+O41+R41+U41+V41+W41+X41+Y41+Z41+AA41+AC41+AH41+AI41+AJ41+AK41)*CUSTOS!$M$5</f>
        <v>1.8211948821987976E-12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0.23569999999999999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117.74639999999999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CUSTOS!$M$30)*25.7023</f>
        <v>25.702300000000001</v>
      </c>
      <c r="AI41" s="13">
        <f>(1 - CUSTOS!$M$30)*25.7023</f>
        <v>25.702300000000001</v>
      </c>
      <c r="AJ41" s="13">
        <f ca="1">$N$64*(1-CUSTOS!$M$30)</f>
        <v>4.6421346311442724</v>
      </c>
      <c r="AK41" s="13">
        <f t="shared" ca="1" si="0"/>
        <v>4.6421346311442724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3">
      <c r="A42" s="95"/>
      <c r="B42" s="95" t="s">
        <v>94</v>
      </c>
      <c r="C42" s="95" t="s">
        <v>41</v>
      </c>
      <c r="D42" s="17" t="s">
        <v>25</v>
      </c>
      <c r="E42" s="17" t="s">
        <v>25</v>
      </c>
      <c r="F42" s="17" t="s">
        <v>25</v>
      </c>
      <c r="G42" s="18" t="s">
        <v>83</v>
      </c>
      <c r="H42" s="18" t="s">
        <v>79</v>
      </c>
      <c r="I42" s="18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1.4485189575912008</v>
      </c>
      <c r="N42" s="13">
        <f ca="1">(+M42+O42+R42+U42+V42+W42+X42+Y42+Z42+AA42+AC42+AH42+AI42+AJ42+AK42)*CUSTOS!$M$5</f>
        <v>1.8211948821987976E-12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0.23569999999999999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117.74639999999999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CUSTOS!$M$28)*25.7023</f>
        <v>25.702300000000001</v>
      </c>
      <c r="AI42" s="13">
        <f>(1 - CUSTOS!$M$28)*25.7023</f>
        <v>25.702300000000001</v>
      </c>
      <c r="AJ42" s="13">
        <f ca="1">$N$64*(1-CUSTOS!$M$28)</f>
        <v>4.6421346311442724</v>
      </c>
      <c r="AK42" s="13">
        <f t="shared" ca="1" si="0"/>
        <v>4.6421346311442724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3">
      <c r="A43" s="95"/>
      <c r="B43" s="95"/>
      <c r="C43" s="95"/>
      <c r="D43" s="17" t="s">
        <v>95</v>
      </c>
      <c r="E43" s="17" t="s">
        <v>25</v>
      </c>
      <c r="F43" s="17" t="s">
        <v>25</v>
      </c>
      <c r="G43" s="18" t="s">
        <v>83</v>
      </c>
      <c r="H43" s="18" t="s">
        <v>79</v>
      </c>
      <c r="I43" s="18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1.4485189575912008</v>
      </c>
      <c r="N43" s="13">
        <f ca="1">(+M43+O43+R43+U43+V43+W43+X43+Y43+Z43+AA43+AC43+AH43+AI43+AJ43+AK43)*CUSTOS!$M$5</f>
        <v>1.8211948821987976E-12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0.23569999999999999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117.74639999999999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CUSTOS!$M$29)*25.7023</f>
        <v>25.702300000000001</v>
      </c>
      <c r="AI43" s="13">
        <f>(1 - CUSTOS!$M$29)*25.7023</f>
        <v>25.702300000000001</v>
      </c>
      <c r="AJ43" s="13">
        <f ca="1">$N$64*(1-CUSTOS!$M$29)</f>
        <v>4.6421346311442724</v>
      </c>
      <c r="AK43" s="13">
        <f t="shared" ca="1" si="0"/>
        <v>4.6421346311442724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3">
      <c r="A44" s="95"/>
      <c r="B44" s="95"/>
      <c r="C44" s="95"/>
      <c r="D44" s="17" t="s">
        <v>96</v>
      </c>
      <c r="E44" s="17" t="s">
        <v>25</v>
      </c>
      <c r="F44" s="17" t="s">
        <v>25</v>
      </c>
      <c r="G44" s="18" t="s">
        <v>83</v>
      </c>
      <c r="H44" s="18" t="s">
        <v>79</v>
      </c>
      <c r="I44" s="18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1.4485189575912008</v>
      </c>
      <c r="N44" s="13">
        <f ca="1">(+M44+O44+R44+U44+V44+W44+X44+Y44+Z44+AA44+AC44+AH44+AI44+AJ44+AK44)*CUSTOS!$M$5</f>
        <v>1.8211948821987976E-12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0.23569999999999999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117.74639999999999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CUSTOS!$M$30)*25.7023</f>
        <v>25.702300000000001</v>
      </c>
      <c r="AI44" s="13">
        <f>(1 - CUSTOS!$M$30)*25.7023</f>
        <v>25.702300000000001</v>
      </c>
      <c r="AJ44" s="13">
        <f ca="1">$N$64*(1-CUSTOS!$M$30)</f>
        <v>4.6421346311442724</v>
      </c>
      <c r="AK44" s="13">
        <f t="shared" ca="1" si="0"/>
        <v>4.6421346311442724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3">
      <c r="A45" s="95" t="s">
        <v>32</v>
      </c>
      <c r="B45" s="95" t="s">
        <v>92</v>
      </c>
      <c r="C45" s="95" t="s">
        <v>25</v>
      </c>
      <c r="D45" s="95" t="s">
        <v>25</v>
      </c>
      <c r="E45" s="95" t="s">
        <v>25</v>
      </c>
      <c r="F45" s="95" t="s">
        <v>25</v>
      </c>
      <c r="G45" s="18" t="s">
        <v>80</v>
      </c>
      <c r="H45" s="18" t="s">
        <v>79</v>
      </c>
      <c r="I45" s="18">
        <f>'MERCADO TUSD'!$U$42</f>
        <v>0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1.4485189575912008</v>
      </c>
      <c r="N45" s="13">
        <f ca="1">(+M45+O45+R45+U45+V45+W45+X45+Y45+Z45+AA45+AC45+AH45+AI45+AJ45+AK45)*CUSTOS!$M$5</f>
        <v>4.6527638821987968E-12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0.80120000000000002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400.33780000000002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CUSTOS!$M$31)*25.7023</f>
        <v>25.702300000000001</v>
      </c>
      <c r="AI45" s="13">
        <f>(1 - CUSTOS!$M$31)*25.7023</f>
        <v>25.702300000000001</v>
      </c>
      <c r="AJ45" s="13">
        <f ca="1">$N$64*(1-CUSTOS!$M$31)</f>
        <v>4.6421346311442724</v>
      </c>
      <c r="AK45" s="13">
        <f t="shared" ca="1" si="0"/>
        <v>4.6421346311442724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3">
      <c r="A46" s="95"/>
      <c r="B46" s="95"/>
      <c r="C46" s="95"/>
      <c r="D46" s="95"/>
      <c r="E46" s="95"/>
      <c r="F46" s="95"/>
      <c r="G46" s="18" t="s">
        <v>91</v>
      </c>
      <c r="H46" s="18" t="s">
        <v>79</v>
      </c>
      <c r="I46" s="18">
        <f>'MERCADO TUSD'!$U$43</f>
        <v>0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1.4485189575912008</v>
      </c>
      <c r="N46" s="13">
        <f ca="1">(+M46+O46+R46+U46+V46+W46+X46+Y46+Z46+AA46+AC46+AH46+AI46+AJ46+AK46)*CUSTOS!$M$5</f>
        <v>3.0482078821987965E-12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0.48070000000000002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240.20269999999999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CUSTOS!$M$31)*25.7023</f>
        <v>25.702300000000001</v>
      </c>
      <c r="AI46" s="13">
        <f>(1 - CUSTOS!$M$31)*25.7023</f>
        <v>25.702300000000001</v>
      </c>
      <c r="AJ46" s="13">
        <f ca="1">$N$64*(1-CUSTOS!$M$31)</f>
        <v>4.6421346311442724</v>
      </c>
      <c r="AK46" s="13">
        <f t="shared" ca="1" si="0"/>
        <v>4.6421346311442724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3">
      <c r="A47" s="95"/>
      <c r="B47" s="95"/>
      <c r="C47" s="95"/>
      <c r="D47" s="95"/>
      <c r="E47" s="95"/>
      <c r="F47" s="95"/>
      <c r="G47" s="18" t="s">
        <v>81</v>
      </c>
      <c r="H47" s="18" t="s">
        <v>79</v>
      </c>
      <c r="I47" s="18">
        <f>'MERCADO TUSD'!$U$44</f>
        <v>0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1.4485189575912008</v>
      </c>
      <c r="N47" s="13">
        <f ca="1">(+M47+O47+R47+U47+V47+W47+X47+Y47+Z47+AA47+AC47+AH47+AI47+AJ47+AK47)*CUSTOS!$M$5</f>
        <v>1.4436528821987974E-12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0.1603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80.067599999999999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CUSTOS!$M$31)*25.7023</f>
        <v>25.702300000000001</v>
      </c>
      <c r="AI47" s="13">
        <f>(1 - CUSTOS!$M$31)*25.7023</f>
        <v>25.702300000000001</v>
      </c>
      <c r="AJ47" s="13">
        <f ca="1">$N$64*(1-CUSTOS!$M$31)</f>
        <v>4.6421346311442724</v>
      </c>
      <c r="AK47" s="13">
        <f t="shared" ca="1" si="0"/>
        <v>4.6421346311442724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3">
      <c r="A48" s="95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83</v>
      </c>
      <c r="H48" s="18" t="s">
        <v>79</v>
      </c>
      <c r="I48" s="18">
        <f>'MERCADO TUSD'!$U$45</f>
        <v>7750.1880000000001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1.4485189575912008</v>
      </c>
      <c r="N48" s="13">
        <f ca="1">(+M48+O48+R48+U48+V48+W48+X48+Y48+Z48+AA48+AC48+AH48+AI48+AJ48+AK48)*CUSTOS!$M$5</f>
        <v>1.8211948821987976E-12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0.23569999999999999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117.74639999999999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CUSTOS!$M$31)*25.7023</f>
        <v>25.702300000000001</v>
      </c>
      <c r="AI48" s="13">
        <f>(1 - CUSTOS!$M$31)*25.7023</f>
        <v>25.702300000000001</v>
      </c>
      <c r="AJ48" s="13">
        <f ca="1">$N$64*(1-CUSTOS!$M$31)</f>
        <v>4.6421346311442724</v>
      </c>
      <c r="AK48" s="13">
        <f t="shared" ca="1" si="0"/>
        <v>4.6421346311442724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3">
      <c r="A49" s="95"/>
      <c r="B49" s="17" t="s">
        <v>94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83</v>
      </c>
      <c r="H49" s="18" t="s">
        <v>79</v>
      </c>
      <c r="I49" s="18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1.4485189575912008</v>
      </c>
      <c r="N49" s="13">
        <f ca="1">(+M49+O49+R49+U49+V49+W49+X49+Y49+Z49+AA49+AC49+AH49+AI49+AJ49+AK49)*CUSTOS!$M$5</f>
        <v>1.8211948821987976E-12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0.23569999999999999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117.74639999999999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CUSTOS!$M$31)*25.7023</f>
        <v>25.702300000000001</v>
      </c>
      <c r="AI49" s="13">
        <f>(1 - CUSTOS!$M$31)*25.7023</f>
        <v>25.702300000000001</v>
      </c>
      <c r="AJ49" s="13">
        <f ca="1">$N$64*(1-CUSTOS!$M$31)</f>
        <v>4.6421346311442724</v>
      </c>
      <c r="AK49" s="13">
        <f t="shared" ca="1" si="0"/>
        <v>4.6421346311442724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3">
      <c r="A50" s="95" t="s">
        <v>43</v>
      </c>
      <c r="B50" s="95" t="s">
        <v>23</v>
      </c>
      <c r="C50" s="95" t="s">
        <v>44</v>
      </c>
      <c r="D50" s="17" t="s">
        <v>97</v>
      </c>
      <c r="E50" s="17" t="s">
        <v>25</v>
      </c>
      <c r="F50" s="17" t="s">
        <v>25</v>
      </c>
      <c r="G50" s="18" t="s">
        <v>83</v>
      </c>
      <c r="H50" s="18" t="s">
        <v>79</v>
      </c>
      <c r="I50" s="18">
        <f>'MERCADO TUSD'!$U$47</f>
        <v>0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0.79668542667516051</v>
      </c>
      <c r="N50" s="13">
        <f ca="1">(+M50+O50+R50+U50+V50+W50+X50+Y50+Z50+AA50+AC50+AH50+AI50+AJ50+AK50)*CUSTOS!$M$5</f>
        <v>1.0016571852093386E-12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0.129635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64.76052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CUSTOS!$M$32)*25.7023</f>
        <v>14.136265000000002</v>
      </c>
      <c r="AI50" s="13">
        <f>(1 - CUSTOS!$M$32)*25.7023</f>
        <v>14.136265000000002</v>
      </c>
      <c r="AJ50" s="13">
        <f ca="1">$N$64*(1-CUSTOS!$M$32)</f>
        <v>2.55317404712935</v>
      </c>
      <c r="AK50" s="13">
        <f t="shared" ca="1" si="0"/>
        <v>2.55317404712935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3">
      <c r="A51" s="95"/>
      <c r="B51" s="95"/>
      <c r="C51" s="95"/>
      <c r="D51" s="18" t="s">
        <v>45</v>
      </c>
      <c r="E51" s="18" t="s">
        <v>25</v>
      </c>
      <c r="F51" s="18" t="s">
        <v>25</v>
      </c>
      <c r="G51" s="18" t="s">
        <v>83</v>
      </c>
      <c r="H51" s="18" t="s">
        <v>79</v>
      </c>
      <c r="I51" s="18">
        <f>'MERCADO TUSD'!$U$48</f>
        <v>1776.7269999999999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0.86911137455472043</v>
      </c>
      <c r="N51" s="13">
        <f ca="1">(+M51+O51+R51+U51+V51+W51+X51+Y51+Z51+AA51+AC51+AH51+AI51+AJ51+AK51)*CUSTOS!$M$5</f>
        <v>1.0927169293192785E-12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0.14141999999999999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70.647839999999988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CUSTOS!$M$33)*25.7023</f>
        <v>15.421379999999999</v>
      </c>
      <c r="AI51" s="13">
        <f>(1 - CUSTOS!$M$33)*25.7023</f>
        <v>15.421379999999999</v>
      </c>
      <c r="AJ51" s="13">
        <f ca="1">$N$64*(1-CUSTOS!$M$33)</f>
        <v>2.7852807786865634</v>
      </c>
      <c r="AK51" s="13">
        <f t="shared" ca="1" si="0"/>
        <v>2.7852807786865634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3">
      <c r="K53" s="16" t="s">
        <v>497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3">
      <c r="K54" s="16" t="s">
        <v>498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3">
      <c r="K55" s="16" t="s">
        <v>499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46357.962920000005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63763.909213127103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7.3871194587796862E-8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49091.208200000008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48539.420200000008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46357.962920000005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48539.420200000008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49091.208200000008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12159.37375244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5555931.8569771638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1086972.5151432601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1086889.9815432604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208842.94677525928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208842.94677525928</v>
      </c>
      <c r="AL55" s="13"/>
      <c r="AM55" s="13"/>
    </row>
    <row r="56" spans="1:42" ht="11.25" customHeight="1" x14ac:dyDescent="0.3">
      <c r="K56" s="16" t="s">
        <v>435</v>
      </c>
      <c r="L56" s="13">
        <f>CUSTOS!$D$2</f>
        <v>0</v>
      </c>
      <c r="M56" s="13">
        <f>CUSTOS!$D$3</f>
        <v>63183.953109912625</v>
      </c>
      <c r="N56" s="13">
        <f>CUSTOS!$D$4</f>
        <v>0</v>
      </c>
      <c r="O56" s="13">
        <f>CUSTOS!$D$5</f>
        <v>0</v>
      </c>
      <c r="P56" s="13">
        <f>CUSTOS!$D$6</f>
        <v>0</v>
      </c>
      <c r="Q56" s="13">
        <f>CUSTOS!$D$7</f>
        <v>4205666.0145299984</v>
      </c>
      <c r="R56" s="13">
        <f>CUSTOS!$D$8</f>
        <v>695904.06842999987</v>
      </c>
      <c r="S56" s="13">
        <f>CUSTOS!$D$9</f>
        <v>0</v>
      </c>
      <c r="T56" s="13">
        <f>CUSTOS!$D$10</f>
        <v>4964754.036069911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3453247.6839800002</v>
      </c>
      <c r="Z56" s="13">
        <f>Z54</f>
        <v>0</v>
      </c>
      <c r="AA56" s="13">
        <f>AA54</f>
        <v>0</v>
      </c>
      <c r="AB56" s="13">
        <f>CUSTOS!$D$18</f>
        <v>3453247.6839800002</v>
      </c>
      <c r="AC56" s="13">
        <f>CUSTOS!$D$19</f>
        <v>15711091.529999999</v>
      </c>
      <c r="AD56" s="13">
        <f>CUSTOS!$D$20</f>
        <v>15711091.529999999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1507694.9491274673</v>
      </c>
      <c r="AI56" s="13">
        <f>CUSTOS!$D$25</f>
        <v>0</v>
      </c>
      <c r="AJ56" s="13">
        <f>CUSTOS!$D$26</f>
        <v>212142.06914997494</v>
      </c>
      <c r="AK56" s="13">
        <f>CUSTOS!$D$27</f>
        <v>0</v>
      </c>
      <c r="AL56" s="13">
        <f>CUSTOS!$D$28</f>
        <v>1719837.0182774423</v>
      </c>
      <c r="AM56" s="13">
        <f>CUSTOS!$D$29</f>
        <v>25848930.268327355</v>
      </c>
    </row>
    <row r="57" spans="1:42" ht="11.25" customHeight="1" x14ac:dyDescent="0.3">
      <c r="K57" s="16" t="s">
        <v>436</v>
      </c>
      <c r="L57" s="13">
        <f>CUSTOS!$E$2</f>
        <v>0</v>
      </c>
      <c r="M57" s="13">
        <f>CUSTOS!$E$3</f>
        <v>646.82343797031069</v>
      </c>
      <c r="N57" s="13">
        <f>CUSTOS!$E$4</f>
        <v>0</v>
      </c>
      <c r="O57" s="13">
        <f>CUSTOS!$E$5</f>
        <v>0</v>
      </c>
      <c r="P57" s="13">
        <f>CUSTOS!$E$6</f>
        <v>0</v>
      </c>
      <c r="Q57" s="13">
        <f>CUSTOS!$E$7</f>
        <v>30266.250366454064</v>
      </c>
      <c r="R57" s="13">
        <f>CUSTOS!$E$8</f>
        <v>3917.4244702807418</v>
      </c>
      <c r="S57" s="13">
        <f>CUSTOS!$E$9</f>
        <v>0</v>
      </c>
      <c r="T57" s="13">
        <f>CUSTOS!$E$10</f>
        <v>34830.498274705118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0</v>
      </c>
      <c r="Z57" s="13">
        <f>CUSTOS!$E$16</f>
        <v>0</v>
      </c>
      <c r="AA57" s="13">
        <f>CUSTOS!$E$17</f>
        <v>0</v>
      </c>
      <c r="AB57" s="13">
        <f>CUSTOS!$E$18</f>
        <v>0</v>
      </c>
      <c r="AC57" s="13">
        <f>CUSTOS!$E$19</f>
        <v>-5458141.5687437197</v>
      </c>
      <c r="AD57" s="13">
        <f>CUSTOS!$E$20</f>
        <v>-5458141.5687437197</v>
      </c>
      <c r="AE57" s="13">
        <f>CUSTOS!$E$21</f>
        <v>0</v>
      </c>
      <c r="AF57" s="13">
        <f>CUSTOS!$E$22</f>
        <v>0</v>
      </c>
      <c r="AG57" s="13">
        <f>CUSTOS!$E$23</f>
        <v>0</v>
      </c>
      <c r="AH57" s="13">
        <f>CUSTOS!$E$24</f>
        <v>-98071.409230408986</v>
      </c>
      <c r="AI57" s="13">
        <f>CUSTOS!$E$25</f>
        <v>0</v>
      </c>
      <c r="AJ57" s="13">
        <f>CUSTOS!$E$26</f>
        <v>-13799.258059883545</v>
      </c>
      <c r="AK57" s="13">
        <f>CUSTOS!$E$27</f>
        <v>0</v>
      </c>
      <c r="AL57" s="13">
        <f>CUSTOS!$E$28</f>
        <v>-111870.66729029253</v>
      </c>
      <c r="AM57" s="13">
        <f>CUSTOS!$E$29</f>
        <v>-5535181.737759307</v>
      </c>
    </row>
    <row r="58" spans="1:42" ht="11.25" customHeight="1" x14ac:dyDescent="0.3">
      <c r="K58" s="16" t="s">
        <v>437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0</v>
      </c>
      <c r="R58" s="13">
        <f>CUSTOS!$F$8</f>
        <v>0</v>
      </c>
      <c r="S58" s="13">
        <f>CUSTOS!$F$9</f>
        <v>0</v>
      </c>
      <c r="T58" s="13">
        <f>CUSTOS!$F$10</f>
        <v>0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0</v>
      </c>
      <c r="AI58" s="13">
        <f>CUSTOS!$F$25</f>
        <v>0</v>
      </c>
      <c r="AJ58" s="13">
        <f>CUSTOS!$F$26</f>
        <v>0</v>
      </c>
      <c r="AK58" s="13">
        <f>CUSTOS!$F$27</f>
        <v>0</v>
      </c>
      <c r="AL58" s="13">
        <f>CUSTOS!$F$28</f>
        <v>0</v>
      </c>
      <c r="AM58" s="13">
        <f>CUSTOS!$F$29</f>
        <v>0</v>
      </c>
    </row>
    <row r="59" spans="1:42" ht="11.25" customHeight="1" x14ac:dyDescent="0.3">
      <c r="K59" s="16" t="s">
        <v>500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3">
      <c r="K60" s="16" t="s">
        <v>501</v>
      </c>
      <c r="L60" s="13">
        <f t="shared" ref="L60:S60" si="1">IF((L55+L53)&lt;&gt;0,(L56-L54-L59)/(L55+L53),0)</f>
        <v>0</v>
      </c>
      <c r="M60" s="13">
        <f t="shared" si="1"/>
        <v>0.99090463382230831</v>
      </c>
      <c r="N60" s="13">
        <f t="shared" ca="1" si="1"/>
        <v>0</v>
      </c>
      <c r="O60" s="13">
        <f t="shared" si="1"/>
        <v>0</v>
      </c>
      <c r="P60" s="13">
        <f t="shared" si="1"/>
        <v>0</v>
      </c>
      <c r="Q60" s="13">
        <f t="shared" si="1"/>
        <v>90.721544900230441</v>
      </c>
      <c r="R60" s="13">
        <f t="shared" si="1"/>
        <v>14.336884650921309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283.99881065314264</v>
      </c>
      <c r="Z60" s="13"/>
      <c r="AA60" s="13"/>
      <c r="AB60" s="13"/>
      <c r="AC60" s="13">
        <f>IF(AC55&lt;&gt;0,(AC56-AC54-AC53-AC59)/AC55,0)</f>
        <v>2.8278049361368502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1.3870589441065648</v>
      </c>
      <c r="AI60" s="13">
        <f>IF(AI55&lt;&gt;0,(AI56-AI54-AI53-AI59)/AI55,0)</f>
        <v>0</v>
      </c>
      <c r="AJ60" s="13">
        <f ca="1">IF((AJ55+AJ53)&lt;&gt;0,(AJ56-AJ54-AJ59)/(AJ55+AJ53),0)</f>
        <v>1.0157971452982126</v>
      </c>
      <c r="AK60" s="13">
        <f ca="1">IF((AK55+AK53)&lt;&gt;0,(AK56-AK54-AK59)/(AK55+AK53),0)</f>
        <v>0</v>
      </c>
      <c r="AL60" s="13"/>
      <c r="AM60" s="13"/>
    </row>
    <row r="62" spans="1:42" ht="11.25" customHeight="1" x14ac:dyDescent="0.3">
      <c r="K62" s="19" t="s">
        <v>505</v>
      </c>
      <c r="L62" s="19" t="s">
        <v>506</v>
      </c>
      <c r="M62" s="19" t="s">
        <v>507</v>
      </c>
      <c r="N62" s="19" t="s">
        <v>508</v>
      </c>
      <c r="O62" s="19" t="s">
        <v>509</v>
      </c>
      <c r="P62" s="19" t="s">
        <v>510</v>
      </c>
    </row>
    <row r="63" spans="1:42" ht="11.25" customHeight="1" x14ac:dyDescent="0.3">
      <c r="K63" s="18" t="s">
        <v>34</v>
      </c>
      <c r="L63" s="18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5049698.3120980598</v>
      </c>
      <c r="M63" s="18">
        <f>+'TUSD BE'!$I$7+'TUSD BE'!$I$8+'TUSD BE'!$I$11+'TUSD BE'!$I$12+'TUSD BE'!$I$13+'TUSD BE'!$I$14</f>
        <v>13634.108000000002</v>
      </c>
      <c r="N63" s="18">
        <f ca="1">IF(AND($L$70&lt;&gt;0,M63&lt;&gt;0),(L63/$L$70*$AJ$56)/M63,0)</f>
        <v>3.2452665049218297</v>
      </c>
      <c r="O63" s="18"/>
      <c r="P63" s="18"/>
    </row>
    <row r="64" spans="1:42" ht="11.25" customHeight="1" x14ac:dyDescent="0.3">
      <c r="K64" s="18" t="s">
        <v>88</v>
      </c>
      <c r="L64" s="18">
        <f ca="1">+$L$65+$L$66+$L$67+$L$68+$L$69</f>
        <v>19161435.932954997</v>
      </c>
      <c r="M64" s="18">
        <f>+$M$65+$M$66+$M$67+$M$68+$M$69</f>
        <v>36167.790999999997</v>
      </c>
      <c r="N64" s="18">
        <f ca="1">IF(AND($L$70&lt;&gt;0,M64&lt;&gt;0),(L64/$L$70*$AJ$56)/M64,0)</f>
        <v>4.6421346311442724</v>
      </c>
      <c r="O64" s="18"/>
      <c r="P64" s="18"/>
    </row>
    <row r="65" spans="11:16" ht="11.25" customHeight="1" x14ac:dyDescent="0.3">
      <c r="K65" s="18" t="s">
        <v>88</v>
      </c>
      <c r="L65" s="18"/>
      <c r="M65" s="18"/>
      <c r="N65" s="18">
        <f ca="1">IF(AND($L$70&lt;&gt;0,M65&lt;&gt;0),(L65/$L$70*$AJ$56)/M65,0)</f>
        <v>0</v>
      </c>
      <c r="O65" s="18"/>
      <c r="P65" s="18"/>
    </row>
    <row r="66" spans="11:16" ht="11.25" customHeight="1" x14ac:dyDescent="0.3">
      <c r="K66" s="18" t="s">
        <v>22</v>
      </c>
      <c r="L66" s="18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6187367.4553761836</v>
      </c>
      <c r="M66" s="18">
        <f>+'TUSD BE'!$I$17+'TUSD BE'!$I$18+'TUSD BE'!$I$19+'TUSD BE'!$I$20+'TUSD BE'!$I$21+'TUSD BE'!$I$22+'TUSD BE'!$I$23+'TUSD BE'!$I$24+'TUSD BE'!$I$25+'TUSD BE'!$I$26+'TUSD BE'!$I$27+'TUSD BE'!$I$28+'TUSD BE'!$I$29</f>
        <v>11521.768999999998</v>
      </c>
      <c r="N66" s="18"/>
      <c r="O66" s="18"/>
      <c r="P66" s="18"/>
    </row>
    <row r="67" spans="11:16" ht="11.25" customHeight="1" x14ac:dyDescent="0.3">
      <c r="K67" s="18" t="s">
        <v>40</v>
      </c>
      <c r="L67" s="18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8195262.8062168276</v>
      </c>
      <c r="M67" s="18">
        <f>+'TUSD BE'!$I$30+'TUSD BE'!$I$31+'TUSD BE'!$I$32+'TUSD BE'!$I$33+'TUSD BE'!$I$34+'TUSD BE'!$I$35+'TUSD BE'!$I$36+'TUSD BE'!$I$37+'TUSD BE'!$I$38+'TUSD BE'!$I$39+'TUSD BE'!$I$40+'TUSD BE'!$I$41+'TUSD BE'!$I$42+'TUSD BE'!$I$43+'TUSD BE'!$I$44</f>
        <v>15119.107000000002</v>
      </c>
      <c r="N67" s="18"/>
      <c r="O67" s="18"/>
      <c r="P67" s="18"/>
    </row>
    <row r="68" spans="11:16" ht="11.25" customHeight="1" x14ac:dyDescent="0.3">
      <c r="K68" s="18" t="s">
        <v>32</v>
      </c>
      <c r="L68" s="18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4200964.2141951881</v>
      </c>
      <c r="M68" s="18">
        <f>+'TUSD BE'!$I$45+'TUSD BE'!$I$46+'TUSD BE'!$I$47+'TUSD BE'!$I$48+'TUSD BE'!$I$49</f>
        <v>7750.1880000000001</v>
      </c>
      <c r="N68" s="18"/>
      <c r="O68" s="18"/>
      <c r="P68" s="18"/>
    </row>
    <row r="69" spans="11:16" ht="11.25" customHeight="1" x14ac:dyDescent="0.3">
      <c r="K69" s="18" t="s">
        <v>43</v>
      </c>
      <c r="L69" s="18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577841.45716679702</v>
      </c>
      <c r="M69" s="18">
        <f>+'TUSD BE'!$I$50+'TUSD BE'!$I$51</f>
        <v>1776.7269999999999</v>
      </c>
      <c r="N69" s="18"/>
      <c r="O69" s="18"/>
      <c r="P69" s="18"/>
    </row>
    <row r="70" spans="11:16" ht="11.25" customHeight="1" x14ac:dyDescent="0.3">
      <c r="K70" s="18"/>
      <c r="L70" s="18">
        <f ca="1">SUM($L$63:$L$69,-$L$64)</f>
        <v>24211134.24505306</v>
      </c>
      <c r="M70" s="18">
        <f>SUM($M$63:$M$69,-$M$64)</f>
        <v>49801.89899999999</v>
      </c>
      <c r="N70" s="18"/>
      <c r="O70" s="18"/>
      <c r="P70" s="18"/>
    </row>
  </sheetData>
  <mergeCells count="73"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A1:A4"/>
    <mergeCell ref="B1:B4"/>
    <mergeCell ref="C1:C4"/>
    <mergeCell ref="D1:D4"/>
    <mergeCell ref="E1:E4"/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4065-CF07-4041-A032-4C7563B68D34}">
  <dimension ref="A1:AP58"/>
  <sheetViews>
    <sheetView showGridLines="0" topLeftCell="X41" workbookViewId="0">
      <selection activeCell="AM53" sqref="AM53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8" width="7.109375" style="9" bestFit="1" customWidth="1"/>
    <col min="9" max="9" width="7.886718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109375" style="9" bestFit="1" customWidth="1"/>
    <col min="14" max="14" width="3.77734375" style="9" bestFit="1" customWidth="1"/>
    <col min="15" max="15" width="3.88671875" style="9" bestFit="1" customWidth="1"/>
    <col min="16" max="16" width="3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88671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9.109375" style="9" bestFit="1" customWidth="1"/>
    <col min="39" max="39" width="9.88671875" style="9" bestFit="1" customWidth="1"/>
    <col min="40" max="41" width="8.88671875" style="9"/>
    <col min="42" max="42" width="7.21875" style="9" bestFit="1" customWidth="1"/>
    <col min="43" max="16384" width="8.88671875" style="9"/>
  </cols>
  <sheetData>
    <row r="1" spans="1:42" ht="11.25" customHeight="1" x14ac:dyDescent="0.3">
      <c r="A1" s="91" t="s">
        <v>69</v>
      </c>
      <c r="B1" s="91" t="s">
        <v>70</v>
      </c>
      <c r="C1" s="91" t="s">
        <v>71</v>
      </c>
      <c r="D1" s="91" t="s">
        <v>72</v>
      </c>
      <c r="E1" s="91" t="s">
        <v>73</v>
      </c>
      <c r="F1" s="91" t="s">
        <v>15</v>
      </c>
      <c r="G1" s="91" t="s">
        <v>75</v>
      </c>
      <c r="H1" s="91" t="s">
        <v>76</v>
      </c>
      <c r="I1" s="91" t="s">
        <v>494</v>
      </c>
      <c r="J1" s="84"/>
      <c r="L1" s="92" t="s">
        <v>502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P1" s="92" t="s">
        <v>496</v>
      </c>
    </row>
    <row r="2" spans="1:42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393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P2" s="93"/>
    </row>
    <row r="3" spans="1:42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394</v>
      </c>
      <c r="M3" s="92"/>
      <c r="N3" s="92"/>
      <c r="O3" s="92"/>
      <c r="P3" s="92"/>
      <c r="Q3" s="92"/>
      <c r="R3" s="92"/>
      <c r="S3" s="92"/>
      <c r="T3" s="92"/>
      <c r="U3" s="92" t="s">
        <v>403</v>
      </c>
      <c r="V3" s="92"/>
      <c r="W3" s="92"/>
      <c r="X3" s="92"/>
      <c r="Y3" s="92"/>
      <c r="Z3" s="92"/>
      <c r="AA3" s="92"/>
      <c r="AB3" s="92"/>
      <c r="AC3" s="92" t="s">
        <v>411</v>
      </c>
      <c r="AD3" s="92"/>
      <c r="AE3" s="92" t="s">
        <v>413</v>
      </c>
      <c r="AF3" s="92"/>
      <c r="AG3" s="92"/>
      <c r="AH3" s="92" t="s">
        <v>416</v>
      </c>
      <c r="AI3" s="92"/>
      <c r="AJ3" s="92"/>
      <c r="AK3" s="92"/>
      <c r="AL3" s="92"/>
      <c r="AM3" s="92" t="s">
        <v>402</v>
      </c>
      <c r="AP3" s="93"/>
    </row>
    <row r="4" spans="1:42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479</v>
      </c>
      <c r="M4" s="10" t="s">
        <v>395</v>
      </c>
      <c r="N4" s="10" t="s">
        <v>396</v>
      </c>
      <c r="O4" s="10" t="s">
        <v>397</v>
      </c>
      <c r="P4" s="10" t="s">
        <v>398</v>
      </c>
      <c r="Q4" s="10" t="s">
        <v>399</v>
      </c>
      <c r="R4" s="10" t="s">
        <v>400</v>
      </c>
      <c r="S4" s="10" t="s">
        <v>401</v>
      </c>
      <c r="T4" s="10" t="s">
        <v>402</v>
      </c>
      <c r="U4" s="10" t="s">
        <v>404</v>
      </c>
      <c r="V4" s="10" t="s">
        <v>405</v>
      </c>
      <c r="W4" s="10" t="s">
        <v>406</v>
      </c>
      <c r="X4" s="10" t="s">
        <v>407</v>
      </c>
      <c r="Y4" s="10" t="s">
        <v>408</v>
      </c>
      <c r="Z4" s="10" t="s">
        <v>409</v>
      </c>
      <c r="AA4" s="10" t="s">
        <v>410</v>
      </c>
      <c r="AB4" s="10" t="s">
        <v>402</v>
      </c>
      <c r="AC4" s="10" t="s">
        <v>412</v>
      </c>
      <c r="AD4" s="10" t="s">
        <v>402</v>
      </c>
      <c r="AE4" s="10" t="s">
        <v>414</v>
      </c>
      <c r="AF4" s="10" t="s">
        <v>415</v>
      </c>
      <c r="AG4" s="10" t="s">
        <v>402</v>
      </c>
      <c r="AH4" s="10" t="s">
        <v>417</v>
      </c>
      <c r="AI4" s="10" t="s">
        <v>418</v>
      </c>
      <c r="AJ4" s="10" t="s">
        <v>419</v>
      </c>
      <c r="AK4" s="10" t="s">
        <v>420</v>
      </c>
      <c r="AL4" s="10" t="s">
        <v>402</v>
      </c>
      <c r="AM4" s="94"/>
      <c r="AP4" s="93"/>
    </row>
    <row r="5" spans="1:42" ht="11.25" customHeight="1" x14ac:dyDescent="0.3">
      <c r="A5" s="95" t="s">
        <v>34</v>
      </c>
      <c r="B5" s="95" t="s">
        <v>35</v>
      </c>
      <c r="C5" s="95" t="s">
        <v>25</v>
      </c>
      <c r="D5" s="95" t="s">
        <v>25</v>
      </c>
      <c r="E5" s="95" t="s">
        <v>25</v>
      </c>
      <c r="F5" s="95" t="s">
        <v>25</v>
      </c>
      <c r="G5" s="18" t="s">
        <v>85</v>
      </c>
      <c r="H5" s="18" t="s">
        <v>84</v>
      </c>
      <c r="I5" s="18">
        <f>'MERCADO TUSD'!$U$2</f>
        <v>372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19.340319005479014</v>
      </c>
      <c r="Z5" s="13">
        <f>'TR TUSD'!$Z$5</f>
        <v>0</v>
      </c>
      <c r="AA5" s="13">
        <f>'TR TUSD'!$AA$5</f>
        <v>0</v>
      </c>
      <c r="AB5" s="13">
        <f>SUM($U$5:$AA$5)</f>
        <v>19.340319005479014</v>
      </c>
      <c r="AC5" s="13">
        <f>'TR TUSD'!$AC$5*'TR TUSD'!$AC$60</f>
        <v>67.765800270077094</v>
      </c>
      <c r="AD5" s="13">
        <f>SUM($AC$5:$AC$5)</f>
        <v>67.765800270077094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87.106119275556111</v>
      </c>
      <c r="AP5" s="13">
        <v>1</v>
      </c>
    </row>
    <row r="6" spans="1:42" ht="11.25" customHeight="1" x14ac:dyDescent="0.3">
      <c r="A6" s="95"/>
      <c r="B6" s="95"/>
      <c r="C6" s="95"/>
      <c r="D6" s="95"/>
      <c r="E6" s="95"/>
      <c r="F6" s="95"/>
      <c r="G6" s="18" t="s">
        <v>86</v>
      </c>
      <c r="H6" s="18" t="s">
        <v>84</v>
      </c>
      <c r="I6" s="18">
        <f>'MERCADO TUSD'!$U$3</f>
        <v>457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11.132753377603191</v>
      </c>
      <c r="Z6" s="13">
        <f>'TR TUSD'!$Z$6</f>
        <v>0</v>
      </c>
      <c r="AA6" s="13">
        <f>'TR TUSD'!$AA$6</f>
        <v>0</v>
      </c>
      <c r="AB6" s="13">
        <f>SUM($U$6:$AA$6)</f>
        <v>11.132753377603191</v>
      </c>
      <c r="AC6" s="13">
        <f>'TR TUSD'!$AC$6*'TR TUSD'!$AC$60</f>
        <v>18.547289795627989</v>
      </c>
      <c r="AD6" s="13">
        <f>SUM($AC$6:$AC$6)</f>
        <v>18.547289795627989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29.68004317323118</v>
      </c>
      <c r="AP6" s="13">
        <v>1</v>
      </c>
    </row>
    <row r="7" spans="1:42" ht="11.25" customHeight="1" x14ac:dyDescent="0.3">
      <c r="A7" s="95"/>
      <c r="B7" s="95"/>
      <c r="C7" s="95"/>
      <c r="D7" s="95"/>
      <c r="E7" s="95"/>
      <c r="F7" s="95"/>
      <c r="G7" s="18" t="s">
        <v>83</v>
      </c>
      <c r="H7" s="18" t="s">
        <v>79</v>
      </c>
      <c r="I7" s="18">
        <f>'MERCADO TUSD'!$U$4</f>
        <v>166.83199999999999</v>
      </c>
      <c r="J7" s="15"/>
      <c r="L7" s="13">
        <f>'TR TUSD'!$L$7*'TR TUSD'!$L$60</f>
        <v>0</v>
      </c>
      <c r="M7" s="13">
        <f>'TR TUSD'!$M$7*'TR TUSD'!$M$60</f>
        <v>0.78450638565974662</v>
      </c>
      <c r="N7" s="13">
        <f ca="1">'TR TUSD'!$N$7*'TR TUSD'!$N$60</f>
        <v>0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76.206097716193568</v>
      </c>
      <c r="R7" s="13">
        <f>'TR TUSD'!$R$7*'TR TUSD'!$R$60</f>
        <v>14.336884650921309</v>
      </c>
      <c r="S7" s="13">
        <f>'TR TUSD'!$S$7*'TR TUSD'!$S$60</f>
        <v>0</v>
      </c>
      <c r="T7" s="13">
        <f ca="1">SUM($L$7:$S$7)</f>
        <v>91.327488752774627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17.860603199682593</v>
      </c>
      <c r="AI7" s="13">
        <f>'TR TUSD'!$AI$7*'TR TUSD'!$AI$60</f>
        <v>0</v>
      </c>
      <c r="AJ7" s="13">
        <f ca="1">'TR TUSD'!$AJ$7*'TR TUSD'!$AJ$60</f>
        <v>3.2965324514315024</v>
      </c>
      <c r="AK7" s="13">
        <f ca="1">'TR TUSD'!$AK$7*'TR TUSD'!$AK$60</f>
        <v>0</v>
      </c>
      <c r="AL7" s="13">
        <f ca="1">SUM($AH$7:$AK$7)</f>
        <v>21.157135651114096</v>
      </c>
      <c r="AM7" s="13">
        <f ca="1">SUMIF($L$4:$AL$4,"SUBTOTAL",$L$7:$AL$7)</f>
        <v>112.48462440388872</v>
      </c>
      <c r="AP7" s="13">
        <v>1</v>
      </c>
    </row>
    <row r="8" spans="1:42" ht="11.25" customHeight="1" x14ac:dyDescent="0.3">
      <c r="A8" s="95"/>
      <c r="B8" s="95"/>
      <c r="C8" s="95"/>
      <c r="D8" s="95"/>
      <c r="E8" s="17" t="s">
        <v>87</v>
      </c>
      <c r="F8" s="17" t="s">
        <v>25</v>
      </c>
      <c r="G8" s="18" t="s">
        <v>83</v>
      </c>
      <c r="H8" s="18" t="s">
        <v>79</v>
      </c>
      <c r="I8" s="18">
        <f>'MERCADO TUSD'!$U$5</f>
        <v>0</v>
      </c>
      <c r="J8" s="15"/>
      <c r="L8" s="13">
        <f>'TR TUSD'!$L$8*'TR TUSD'!$L$60</f>
        <v>0</v>
      </c>
      <c r="M8" s="13">
        <f>'TR TUSD'!$M$8*'TR TUSD'!$M$60</f>
        <v>0.78450638565974662</v>
      </c>
      <c r="N8" s="13">
        <f ca="1">'TR TUSD'!$N$8*'TR TUSD'!$N$60</f>
        <v>0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0.78450638565974662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17.860603199682593</v>
      </c>
      <c r="AI8" s="13">
        <f>'TR TUSD'!$AI$8*'TR TUSD'!$AI$60</f>
        <v>0</v>
      </c>
      <c r="AJ8" s="13">
        <f ca="1">'TR TUSD'!$AJ$8*'TR TUSD'!$AJ$60</f>
        <v>3.2965324514315024</v>
      </c>
      <c r="AK8" s="13">
        <f ca="1">'TR TUSD'!$AK$8*'TR TUSD'!$AK$60</f>
        <v>0</v>
      </c>
      <c r="AL8" s="13">
        <f ca="1">SUM($AH$8:$AK$8)</f>
        <v>21.157135651114096</v>
      </c>
      <c r="AM8" s="13">
        <f ca="1">SUMIF($L$4:$AL$4,"SUBTOTAL",$L$8:$AL$8)</f>
        <v>21.941642036773843</v>
      </c>
      <c r="AP8" s="13">
        <v>1</v>
      </c>
    </row>
    <row r="9" spans="1:42" ht="11.25" customHeight="1" x14ac:dyDescent="0.3">
      <c r="A9" s="95"/>
      <c r="B9" s="17" t="s">
        <v>56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84</v>
      </c>
      <c r="I9" s="18">
        <f>'MERCADO TUSD'!$U$6</f>
        <v>137556</v>
      </c>
      <c r="J9" s="15"/>
      <c r="L9" s="13">
        <f>'TR TUSD'!$L$9*'TR TUSD'!$L$60</f>
        <v>0</v>
      </c>
      <c r="M9" s="13">
        <f>'TR TUSD'!$M$9*'TR TUSD'!$M$60</f>
        <v>1.1593584215721008E-2</v>
      </c>
      <c r="N9" s="13">
        <f ca="1">'TR TUSD'!$N$9*'TR TUSD'!$N$60</f>
        <v>0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1.1593584215721008E-2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10.351745529716167</v>
      </c>
      <c r="AD9" s="13">
        <f>SUM($AC$9:$AC$9)</f>
        <v>10.351745529716167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8.322353664639388E-4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8.322353664639388E-4</v>
      </c>
      <c r="AM9" s="13">
        <f ca="1">SUMIF($L$4:$AL$4,"SUBTOTAL",$L$9:$AL$9)</f>
        <v>10.364171349298351</v>
      </c>
      <c r="AP9" s="13"/>
    </row>
    <row r="10" spans="1:42" ht="11.25" customHeight="1" x14ac:dyDescent="0.3">
      <c r="A10" s="95"/>
      <c r="B10" s="95" t="s">
        <v>38</v>
      </c>
      <c r="C10" s="95" t="s">
        <v>25</v>
      </c>
      <c r="D10" s="95" t="s">
        <v>25</v>
      </c>
      <c r="E10" s="95" t="s">
        <v>25</v>
      </c>
      <c r="F10" s="95" t="s">
        <v>25</v>
      </c>
      <c r="G10" s="18" t="s">
        <v>9</v>
      </c>
      <c r="H10" s="18" t="s">
        <v>84</v>
      </c>
      <c r="I10" s="18">
        <f>'MERCADO TUSD'!$U$7</f>
        <v>63157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11.132753377603191</v>
      </c>
      <c r="Z10" s="13">
        <f>'TR TUSD'!$Z$10</f>
        <v>0</v>
      </c>
      <c r="AA10" s="13">
        <f>'TR TUSD'!$AA$10</f>
        <v>0</v>
      </c>
      <c r="AB10" s="13">
        <f>SUM($U$10:$AA$10)</f>
        <v>11.132753377603191</v>
      </c>
      <c r="AC10" s="13">
        <f>'TR TUSD'!$AC$10*'TR TUSD'!$AC$60</f>
        <v>18.547289795627989</v>
      </c>
      <c r="AD10" s="13">
        <f>SUM($AC$10:$AC$10)</f>
        <v>18.547289795627989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29.68004317323118</v>
      </c>
      <c r="AP10" s="13">
        <v>1</v>
      </c>
    </row>
    <row r="11" spans="1:42" ht="11.25" customHeight="1" x14ac:dyDescent="0.3">
      <c r="A11" s="95"/>
      <c r="B11" s="95"/>
      <c r="C11" s="95"/>
      <c r="D11" s="95"/>
      <c r="E11" s="95"/>
      <c r="F11" s="95"/>
      <c r="G11" s="18" t="s">
        <v>80</v>
      </c>
      <c r="H11" s="18" t="s">
        <v>79</v>
      </c>
      <c r="I11" s="18">
        <f>'MERCADO TUSD'!$U$8</f>
        <v>783.01900000000001</v>
      </c>
      <c r="J11" s="15"/>
      <c r="L11" s="13">
        <f>'TR TUSD'!$L$11*'TR TUSD'!$L$60</f>
        <v>0</v>
      </c>
      <c r="M11" s="13">
        <f>'TR TUSD'!$M$11*'TR TUSD'!$M$60</f>
        <v>0.78450638565974662</v>
      </c>
      <c r="N11" s="13">
        <f ca="1">'TR TUSD'!$N$11*'TR TUSD'!$N$60</f>
        <v>0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76.206097716193568</v>
      </c>
      <c r="R11" s="13">
        <f>'TR TUSD'!$R$11*'TR TUSD'!$R$60</f>
        <v>14.336884650921309</v>
      </c>
      <c r="S11" s="13">
        <f>'TR TUSD'!$S$11*'TR TUSD'!$S$60</f>
        <v>0</v>
      </c>
      <c r="T11" s="13">
        <f ca="1">SUM($L$11:$S$11)</f>
        <v>91.327488752774627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465.38885101730489</v>
      </c>
      <c r="Z11" s="13">
        <f>'TR TUSD'!$Z$11</f>
        <v>0</v>
      </c>
      <c r="AA11" s="13">
        <f>'TR TUSD'!$AA$11</f>
        <v>0</v>
      </c>
      <c r="AB11" s="13">
        <f>SUM($U$11:$AA$11)</f>
        <v>465.38885101730489</v>
      </c>
      <c r="AC11" s="13">
        <f>'TR TUSD'!$AC$11*'TR TUSD'!$AC$60</f>
        <v>1629.7663512343549</v>
      </c>
      <c r="AD11" s="13">
        <f>SUM($AC$11:$AC$11)</f>
        <v>1629.7663512343549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17.860603199682593</v>
      </c>
      <c r="AI11" s="13">
        <f>'TR TUSD'!$AI$11*'TR TUSD'!$AI$60</f>
        <v>0</v>
      </c>
      <c r="AJ11" s="13">
        <f ca="1">'TR TUSD'!$AJ$11*'TR TUSD'!$AJ$60</f>
        <v>3.2965324514315024</v>
      </c>
      <c r="AK11" s="13">
        <f ca="1">'TR TUSD'!$AK$11*'TR TUSD'!$AK$60</f>
        <v>0</v>
      </c>
      <c r="AL11" s="13">
        <f ca="1">SUM($AH$11:$AK$11)</f>
        <v>21.157135651114096</v>
      </c>
      <c r="AM11" s="13">
        <f ca="1">SUMIF($L$4:$AL$4,"SUBTOTAL",$L$11:$AL$11)</f>
        <v>2207.6398266555484</v>
      </c>
      <c r="AP11" s="13">
        <v>1</v>
      </c>
    </row>
    <row r="12" spans="1:42" ht="11.25" customHeight="1" x14ac:dyDescent="0.3">
      <c r="A12" s="95"/>
      <c r="B12" s="95"/>
      <c r="C12" s="95"/>
      <c r="D12" s="95"/>
      <c r="E12" s="95"/>
      <c r="F12" s="95"/>
      <c r="G12" s="18" t="s">
        <v>81</v>
      </c>
      <c r="H12" s="18" t="s">
        <v>79</v>
      </c>
      <c r="I12" s="18">
        <f>'MERCADO TUSD'!$U$9</f>
        <v>12684.257000000001</v>
      </c>
      <c r="J12" s="15"/>
      <c r="L12" s="13">
        <f>'TR TUSD'!$L$12*'TR TUSD'!$L$60</f>
        <v>0</v>
      </c>
      <c r="M12" s="13">
        <f>'TR TUSD'!$M$12*'TR TUSD'!$M$60</f>
        <v>0.78450638565974662</v>
      </c>
      <c r="N12" s="13">
        <f ca="1">'TR TUSD'!$N$12*'TR TUSD'!$N$60</f>
        <v>0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76.206097716193568</v>
      </c>
      <c r="R12" s="13">
        <f>'TR TUSD'!$R$12*'TR TUSD'!$R$60</f>
        <v>14.336884650921309</v>
      </c>
      <c r="S12" s="13">
        <f>'TR TUSD'!$S$12*'TR TUSD'!$S$60</f>
        <v>0</v>
      </c>
      <c r="T12" s="13">
        <f ca="1">SUM($L$12:$S$12)</f>
        <v>91.327488752774627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17.860603199682593</v>
      </c>
      <c r="AI12" s="13">
        <f>'TR TUSD'!$AI$12*'TR TUSD'!$AI$60</f>
        <v>0</v>
      </c>
      <c r="AJ12" s="13">
        <f ca="1">'TR TUSD'!$AJ$12*'TR TUSD'!$AJ$60</f>
        <v>3.2965324514315024</v>
      </c>
      <c r="AK12" s="13">
        <f ca="1">'TR TUSD'!$AK$12*'TR TUSD'!$AK$60</f>
        <v>0</v>
      </c>
      <c r="AL12" s="13">
        <f ca="1">SUM($AH$12:$AK$12)</f>
        <v>21.157135651114096</v>
      </c>
      <c r="AM12" s="13">
        <f ca="1">SUMIF($L$4:$AL$4,"SUBTOTAL",$L$12:$AL$12)</f>
        <v>112.48462440388872</v>
      </c>
      <c r="AP12" s="13">
        <v>1</v>
      </c>
    </row>
    <row r="13" spans="1:42" ht="11.25" customHeight="1" x14ac:dyDescent="0.3">
      <c r="A13" s="95"/>
      <c r="B13" s="95"/>
      <c r="C13" s="95"/>
      <c r="D13" s="95"/>
      <c r="E13" s="95" t="s">
        <v>87</v>
      </c>
      <c r="F13" s="95" t="s">
        <v>25</v>
      </c>
      <c r="G13" s="18" t="s">
        <v>80</v>
      </c>
      <c r="H13" s="18" t="s">
        <v>79</v>
      </c>
      <c r="I13" s="18">
        <f>'MERCADO TUSD'!$U$10</f>
        <v>0</v>
      </c>
      <c r="J13" s="15"/>
      <c r="L13" s="13">
        <f>'TR TUSD'!$L$13*'TR TUSD'!$L$60</f>
        <v>0</v>
      </c>
      <c r="M13" s="13">
        <f>'TR TUSD'!$M$13*'TR TUSD'!$M$60</f>
        <v>0.78450638565974662</v>
      </c>
      <c r="N13" s="13">
        <f ca="1">'TR TUSD'!$N$13*'TR TUSD'!$N$60</f>
        <v>0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0.78450638565974662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465.38885101730489</v>
      </c>
      <c r="Z13" s="13">
        <f>'TR TUSD'!$Z$13</f>
        <v>0</v>
      </c>
      <c r="AA13" s="13">
        <f>'TR TUSD'!$AA$13</f>
        <v>0</v>
      </c>
      <c r="AB13" s="13">
        <f>SUM($U$13:$AA$13)</f>
        <v>465.38885101730489</v>
      </c>
      <c r="AC13" s="13">
        <f>'TR TUSD'!$AC$13*'TR TUSD'!$AC$60</f>
        <v>1629.7663512343549</v>
      </c>
      <c r="AD13" s="13">
        <f>SUM($AC$13:$AC$13)</f>
        <v>1629.7663512343549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17.860603199682593</v>
      </c>
      <c r="AI13" s="13">
        <f>'TR TUSD'!$AI$13*'TR TUSD'!$AI$60</f>
        <v>0</v>
      </c>
      <c r="AJ13" s="13">
        <f ca="1">'TR TUSD'!$AJ$13*'TR TUSD'!$AJ$60</f>
        <v>3.2965324514315024</v>
      </c>
      <c r="AK13" s="13">
        <f ca="1">'TR TUSD'!$AK$13*'TR TUSD'!$AK$60</f>
        <v>0</v>
      </c>
      <c r="AL13" s="13">
        <f ca="1">SUM($AH$13:$AK$13)</f>
        <v>21.157135651114096</v>
      </c>
      <c r="AM13" s="13">
        <f ca="1">SUMIF($L$4:$AL$4,"SUBTOTAL",$L$13:$AL$13)</f>
        <v>2117.0968442884337</v>
      </c>
      <c r="AP13" s="13">
        <v>1</v>
      </c>
    </row>
    <row r="14" spans="1:42" ht="11.25" customHeight="1" x14ac:dyDescent="0.3">
      <c r="A14" s="95"/>
      <c r="B14" s="95"/>
      <c r="C14" s="95"/>
      <c r="D14" s="95"/>
      <c r="E14" s="95"/>
      <c r="F14" s="95"/>
      <c r="G14" s="18" t="s">
        <v>81</v>
      </c>
      <c r="H14" s="18" t="s">
        <v>79</v>
      </c>
      <c r="I14" s="18">
        <f>'MERCADO TUSD'!$U$11</f>
        <v>0</v>
      </c>
      <c r="J14" s="15"/>
      <c r="L14" s="13">
        <f>'TR TUSD'!$L$14*'TR TUSD'!$L$60</f>
        <v>0</v>
      </c>
      <c r="M14" s="13">
        <f>'TR TUSD'!$M$14*'TR TUSD'!$M$60</f>
        <v>0.78450638565974662</v>
      </c>
      <c r="N14" s="13">
        <f ca="1">'TR TUSD'!$N$14*'TR TUSD'!$N$60</f>
        <v>0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0.78450638565974662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17.860603199682593</v>
      </c>
      <c r="AI14" s="13">
        <f>'TR TUSD'!$AI$14*'TR TUSD'!$AI$60</f>
        <v>0</v>
      </c>
      <c r="AJ14" s="13">
        <f ca="1">'TR TUSD'!$AJ$14*'TR TUSD'!$AJ$60</f>
        <v>3.2965324514315024</v>
      </c>
      <c r="AK14" s="13">
        <f ca="1">'TR TUSD'!$AK$14*'TR TUSD'!$AK$60</f>
        <v>0</v>
      </c>
      <c r="AL14" s="13">
        <f ca="1">SUM($AH$14:$AK$14)</f>
        <v>21.157135651114096</v>
      </c>
      <c r="AM14" s="13">
        <f ca="1">SUMIF($L$4:$AL$4,"SUBTOTAL",$L$14:$AL$14)</f>
        <v>21.941642036773843</v>
      </c>
      <c r="AP14" s="13">
        <v>1</v>
      </c>
    </row>
    <row r="15" spans="1:42" ht="11.25" customHeight="1" x14ac:dyDescent="0.3">
      <c r="A15" s="95" t="s">
        <v>88</v>
      </c>
      <c r="B15" s="95" t="s">
        <v>56</v>
      </c>
      <c r="C15" s="95" t="s">
        <v>25</v>
      </c>
      <c r="D15" s="95" t="s">
        <v>25</v>
      </c>
      <c r="E15" s="17" t="s">
        <v>89</v>
      </c>
      <c r="F15" s="17" t="s">
        <v>25</v>
      </c>
      <c r="G15" s="18" t="s">
        <v>9</v>
      </c>
      <c r="H15" s="18" t="s">
        <v>84</v>
      </c>
      <c r="I15" s="18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6.6390610466094662E-3</v>
      </c>
      <c r="N15" s="13">
        <f ca="1">'TR TUSD'!$N$15*'TR TUSD'!$N$60</f>
        <v>0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6.6390610466094662E-3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5.9463082197085679</v>
      </c>
      <c r="AD15" s="13">
        <f>SUM($AC$15:$AC$15)</f>
        <v>5.9463082197085679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5.9529472807551773</v>
      </c>
      <c r="AP15" s="13"/>
    </row>
    <row r="16" spans="1:42" ht="11.25" customHeight="1" x14ac:dyDescent="0.3">
      <c r="A16" s="95"/>
      <c r="B16" s="95"/>
      <c r="C16" s="95"/>
      <c r="D16" s="95"/>
      <c r="E16" s="17" t="s">
        <v>90</v>
      </c>
      <c r="F16" s="17" t="s">
        <v>25</v>
      </c>
      <c r="G16" s="18" t="s">
        <v>9</v>
      </c>
      <c r="H16" s="18" t="s">
        <v>84</v>
      </c>
      <c r="I16" s="18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6.6390610466094662E-3</v>
      </c>
      <c r="N16" s="13">
        <f ca="1">'TR TUSD'!$N$16*'TR TUSD'!$N$60</f>
        <v>0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6.6390610466094662E-3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17.699231095280545</v>
      </c>
      <c r="AD16" s="13">
        <f>SUM($AC$16:$AC$16)</f>
        <v>17.699231095280545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17.705870156327155</v>
      </c>
      <c r="AP16" s="13"/>
    </row>
    <row r="17" spans="1:42" ht="11.25" customHeight="1" x14ac:dyDescent="0.3">
      <c r="A17" s="95" t="s">
        <v>22</v>
      </c>
      <c r="B17" s="95" t="s">
        <v>92</v>
      </c>
      <c r="C17" s="95" t="s">
        <v>24</v>
      </c>
      <c r="D17" s="95" t="s">
        <v>24</v>
      </c>
      <c r="E17" s="95" t="s">
        <v>25</v>
      </c>
      <c r="F17" s="95" t="s">
        <v>25</v>
      </c>
      <c r="G17" s="18" t="s">
        <v>80</v>
      </c>
      <c r="H17" s="18" t="s">
        <v>79</v>
      </c>
      <c r="I17" s="18">
        <f>'MERCADO TUSD'!$U$14</f>
        <v>0</v>
      </c>
      <c r="J17" s="15"/>
      <c r="L17" s="13">
        <f>'TR TUSD'!$L$17*'TR TUSD'!$L$60</f>
        <v>0</v>
      </c>
      <c r="M17" s="13">
        <f>'TR TUSD'!$M$17*'TR TUSD'!$M$60</f>
        <v>1.4353441472565804</v>
      </c>
      <c r="N17" s="13">
        <f ca="1">'TR TUSD'!$N$17*'TR TUSD'!$N$60</f>
        <v>0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90.721544900230441</v>
      </c>
      <c r="R17" s="13">
        <f>'TR TUSD'!$R$17*'TR TUSD'!$R$60</f>
        <v>14.336884650921309</v>
      </c>
      <c r="S17" s="13">
        <f>'TR TUSD'!$S$17*'TR TUSD'!$S$60</f>
        <v>0</v>
      </c>
      <c r="T17" s="13">
        <f ca="1">SUM($L$17:$S$17)</f>
        <v>106.49377369840833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180.68004333752936</v>
      </c>
      <c r="Z17" s="13">
        <f>'TR TUSD'!$Z$17</f>
        <v>0</v>
      </c>
      <c r="AA17" s="13">
        <f>'TR TUSD'!$AA$17</f>
        <v>0</v>
      </c>
      <c r="AB17" s="13">
        <f>SUM($U$17:$AA$17)</f>
        <v>180.68004333752936</v>
      </c>
      <c r="AC17" s="13">
        <f>'TR TUSD'!$AC$17*'TR TUSD'!$AC$60</f>
        <v>899.00245461342763</v>
      </c>
      <c r="AD17" s="13">
        <f>SUM($AC$17:$AC$17)</f>
        <v>899.00245461342763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35.650605099110166</v>
      </c>
      <c r="AI17" s="13">
        <f>'TR TUSD'!$AI$17*'TR TUSD'!$AI$60</f>
        <v>0</v>
      </c>
      <c r="AJ17" s="13">
        <f ca="1">'TR TUSD'!$AJ$17*'TR TUSD'!$AJ$60</f>
        <v>4.7154671064063232</v>
      </c>
      <c r="AK17" s="13">
        <f ca="1">'TR TUSD'!$AK$17*'TR TUSD'!$AK$60</f>
        <v>0</v>
      </c>
      <c r="AL17" s="13">
        <f ca="1">SUM($AH$17:$AK$17)</f>
        <v>40.366072205516488</v>
      </c>
      <c r="AM17" s="13">
        <f ca="1">SUMIF($L$4:$AL$4,"SUBTOTAL",$L$17:$AL$17)</f>
        <v>1226.5423438548819</v>
      </c>
      <c r="AP17" s="13">
        <v>1</v>
      </c>
    </row>
    <row r="18" spans="1:42" ht="11.25" customHeight="1" x14ac:dyDescent="0.3">
      <c r="A18" s="95"/>
      <c r="B18" s="95"/>
      <c r="C18" s="95"/>
      <c r="D18" s="95"/>
      <c r="E18" s="95"/>
      <c r="F18" s="95"/>
      <c r="G18" s="18" t="s">
        <v>91</v>
      </c>
      <c r="H18" s="18" t="s">
        <v>79</v>
      </c>
      <c r="I18" s="18">
        <f>'MERCADO TUSD'!$U$15</f>
        <v>0</v>
      </c>
      <c r="J18" s="15"/>
      <c r="L18" s="13">
        <f>'TR TUSD'!$L$18*'TR TUSD'!$L$60</f>
        <v>0</v>
      </c>
      <c r="M18" s="13">
        <f>'TR TUSD'!$M$18*'TR TUSD'!$M$60</f>
        <v>1.4353441472565804</v>
      </c>
      <c r="N18" s="13">
        <f ca="1">'TR TUSD'!$N$18*'TR TUSD'!$N$60</f>
        <v>0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90.721544900230441</v>
      </c>
      <c r="R18" s="13">
        <f>'TR TUSD'!$R$18*'TR TUSD'!$R$60</f>
        <v>14.336884650921309</v>
      </c>
      <c r="S18" s="13">
        <f>'TR TUSD'!$S$18*'TR TUSD'!$S$60</f>
        <v>0</v>
      </c>
      <c r="T18" s="13">
        <f ca="1">SUM($L$18:$S$18)</f>
        <v>106.49377369840833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108.43074590736985</v>
      </c>
      <c r="Z18" s="13">
        <f>'TR TUSD'!$Z$18</f>
        <v>0</v>
      </c>
      <c r="AA18" s="13">
        <f>'TR TUSD'!$AA$18</f>
        <v>0</v>
      </c>
      <c r="AB18" s="13">
        <f>SUM($U$18:$AA$18)</f>
        <v>108.43074590736985</v>
      </c>
      <c r="AC18" s="13">
        <f>'TR TUSD'!$AC$18*'TR TUSD'!$AC$60</f>
        <v>539.40152932415526</v>
      </c>
      <c r="AD18" s="13">
        <f>SUM($AC$18:$AC$18)</f>
        <v>539.40152932415526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35.650605099110166</v>
      </c>
      <c r="AI18" s="13">
        <f>'TR TUSD'!$AI$18*'TR TUSD'!$AI$60</f>
        <v>0</v>
      </c>
      <c r="AJ18" s="13">
        <f ca="1">'TR TUSD'!$AJ$18*'TR TUSD'!$AJ$60</f>
        <v>4.7154671064063232</v>
      </c>
      <c r="AK18" s="13">
        <f ca="1">'TR TUSD'!$AK$18*'TR TUSD'!$AK$60</f>
        <v>0</v>
      </c>
      <c r="AL18" s="13">
        <f ca="1">SUM($AH$18:$AK$18)</f>
        <v>40.366072205516488</v>
      </c>
      <c r="AM18" s="13">
        <f ca="1">SUMIF($L$4:$AL$4,"SUBTOTAL",$L$18:$AL$18)</f>
        <v>794.69212113544995</v>
      </c>
      <c r="AP18" s="13">
        <v>1</v>
      </c>
    </row>
    <row r="19" spans="1:42" ht="11.25" customHeight="1" x14ac:dyDescent="0.3">
      <c r="A19" s="95"/>
      <c r="B19" s="95"/>
      <c r="C19" s="95"/>
      <c r="D19" s="95"/>
      <c r="E19" s="95"/>
      <c r="F19" s="95"/>
      <c r="G19" s="18" t="s">
        <v>81</v>
      </c>
      <c r="H19" s="18" t="s">
        <v>79</v>
      </c>
      <c r="I19" s="18">
        <f>'MERCADO TUSD'!$U$16</f>
        <v>0</v>
      </c>
      <c r="J19" s="15"/>
      <c r="L19" s="13">
        <f>'TR TUSD'!$L$19*'TR TUSD'!$L$60</f>
        <v>0</v>
      </c>
      <c r="M19" s="13">
        <f>'TR TUSD'!$M$19*'TR TUSD'!$M$60</f>
        <v>1.4353441472565804</v>
      </c>
      <c r="N19" s="13">
        <f ca="1">'TR TUSD'!$N$19*'TR TUSD'!$N$60</f>
        <v>0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90.721544900230441</v>
      </c>
      <c r="R19" s="13">
        <f>'TR TUSD'!$R$19*'TR TUSD'!$R$60</f>
        <v>14.336884650921309</v>
      </c>
      <c r="S19" s="13">
        <f>'TR TUSD'!$S$19*'TR TUSD'!$S$60</f>
        <v>0</v>
      </c>
      <c r="T19" s="13">
        <f ca="1">SUM($L$19:$S$19)</f>
        <v>106.49377369840833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36.153048596145055</v>
      </c>
      <c r="Z19" s="13">
        <f>'TR TUSD'!$Z$19</f>
        <v>0</v>
      </c>
      <c r="AA19" s="13">
        <f>'TR TUSD'!$AA$19</f>
        <v>0</v>
      </c>
      <c r="AB19" s="13">
        <f>SUM($U$19:$AA$19)</f>
        <v>36.153048596145055</v>
      </c>
      <c r="AC19" s="13">
        <f>'TR TUSD'!$AC$19*'TR TUSD'!$AC$60</f>
        <v>179.80032125438933</v>
      </c>
      <c r="AD19" s="13">
        <f>SUM($AC$19:$AC$19)</f>
        <v>179.80032125438933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35.650605099110166</v>
      </c>
      <c r="AI19" s="13">
        <f>'TR TUSD'!$AI$19*'TR TUSD'!$AI$60</f>
        <v>0</v>
      </c>
      <c r="AJ19" s="13">
        <f ca="1">'TR TUSD'!$AJ$19*'TR TUSD'!$AJ$60</f>
        <v>4.7154671064063232</v>
      </c>
      <c r="AK19" s="13">
        <f ca="1">'TR TUSD'!$AK$19*'TR TUSD'!$AK$60</f>
        <v>0</v>
      </c>
      <c r="AL19" s="13">
        <f ca="1">SUM($AH$19:$AK$19)</f>
        <v>40.366072205516488</v>
      </c>
      <c r="AM19" s="13">
        <f ca="1">SUMIF($L$4:$AL$4,"SUBTOTAL",$L$19:$AL$19)</f>
        <v>362.81321575445918</v>
      </c>
      <c r="AP19" s="13">
        <v>1</v>
      </c>
    </row>
    <row r="20" spans="1:42" ht="11.25" customHeight="1" x14ac:dyDescent="0.3">
      <c r="A20" s="95"/>
      <c r="B20" s="95" t="s">
        <v>23</v>
      </c>
      <c r="C20" s="95" t="s">
        <v>24</v>
      </c>
      <c r="D20" s="17" t="s">
        <v>24</v>
      </c>
      <c r="E20" s="17" t="s">
        <v>25</v>
      </c>
      <c r="F20" s="17" t="s">
        <v>25</v>
      </c>
      <c r="G20" s="18" t="s">
        <v>83</v>
      </c>
      <c r="H20" s="18" t="s">
        <v>79</v>
      </c>
      <c r="I20" s="18">
        <f>'MERCADO TUSD'!$U$17</f>
        <v>10969.981</v>
      </c>
      <c r="J20" s="15"/>
      <c r="L20" s="13">
        <f>'TR TUSD'!$L$20*'TR TUSD'!$L$60</f>
        <v>0</v>
      </c>
      <c r="M20" s="13">
        <f>'TR TUSD'!$M$20*'TR TUSD'!$M$60</f>
        <v>1.4353441472565804</v>
      </c>
      <c r="N20" s="13">
        <f ca="1">'TR TUSD'!$N$20*'TR TUSD'!$N$60</f>
        <v>0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90.721544900230441</v>
      </c>
      <c r="R20" s="13">
        <f>'TR TUSD'!$R$20*'TR TUSD'!$R$60</f>
        <v>14.336884650921309</v>
      </c>
      <c r="S20" s="13">
        <f>'TR TUSD'!$S$20*'TR TUSD'!$S$60</f>
        <v>0</v>
      </c>
      <c r="T20" s="13">
        <f ca="1">SUM($L$20:$S$20)</f>
        <v>106.49377369840833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66.938519670945723</v>
      </c>
      <c r="Z20" s="13">
        <f>'TR TUSD'!$Z$20</f>
        <v>0</v>
      </c>
      <c r="AA20" s="13">
        <f>'TR TUSD'!$AA$20</f>
        <v>0</v>
      </c>
      <c r="AB20" s="13">
        <f>SUM($U$20:$AA$20)</f>
        <v>66.938519670945723</v>
      </c>
      <c r="AC20" s="13">
        <f>'TR TUSD'!$AC$20*'TR TUSD'!$AC$60</f>
        <v>332.96385113234402</v>
      </c>
      <c r="AD20" s="13">
        <f>SUM($AC$20:$AC$20)</f>
        <v>332.96385113234402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35.650605099110166</v>
      </c>
      <c r="AI20" s="13">
        <f>'TR TUSD'!$AI$20*'TR TUSD'!$AI$60</f>
        <v>0</v>
      </c>
      <c r="AJ20" s="13">
        <f ca="1">'TR TUSD'!$AJ$20*'TR TUSD'!$AJ$60</f>
        <v>4.7154671064063232</v>
      </c>
      <c r="AK20" s="13">
        <f ca="1">'TR TUSD'!$AK$20*'TR TUSD'!$AK$60</f>
        <v>0</v>
      </c>
      <c r="AL20" s="13">
        <f ca="1">SUM($AH$20:$AK$20)</f>
        <v>40.366072205516488</v>
      </c>
      <c r="AM20" s="13">
        <f ca="1">SUMIF($L$4:$AL$4,"SUBTOTAL",$L$20:$AL$20)</f>
        <v>546.76221670721452</v>
      </c>
      <c r="AP20" s="13">
        <v>1</v>
      </c>
    </row>
    <row r="21" spans="1:42" ht="11.25" customHeight="1" x14ac:dyDescent="0.3">
      <c r="A21" s="95"/>
      <c r="B21" s="95"/>
      <c r="C21" s="95"/>
      <c r="D21" s="17" t="s">
        <v>28</v>
      </c>
      <c r="E21" s="17" t="s">
        <v>25</v>
      </c>
      <c r="F21" s="17" t="s">
        <v>25</v>
      </c>
      <c r="G21" s="18" t="s">
        <v>83</v>
      </c>
      <c r="H21" s="18" t="s">
        <v>79</v>
      </c>
      <c r="I21" s="18">
        <f>'MERCADO TUSD'!$U$18</f>
        <v>87.284999999999997</v>
      </c>
      <c r="J21" s="15"/>
      <c r="L21" s="13">
        <f>'TR TUSD'!$L$21*'TR TUSD'!$L$60</f>
        <v>0</v>
      </c>
      <c r="M21" s="13">
        <f>'TR TUSD'!$M$21*'TR TUSD'!$M$60</f>
        <v>1.4353441472565804</v>
      </c>
      <c r="N21" s="13">
        <f ca="1">'TR TUSD'!$N$21*'TR TUSD'!$N$60</f>
        <v>0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1.4353441472565804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66.938519670945723</v>
      </c>
      <c r="Z21" s="13">
        <f>'TR TUSD'!$Z$21</f>
        <v>0</v>
      </c>
      <c r="AA21" s="13">
        <f>'TR TUSD'!$AA$21</f>
        <v>0</v>
      </c>
      <c r="AB21" s="13">
        <f>SUM($U$21:$AA$21)</f>
        <v>66.938519670945723</v>
      </c>
      <c r="AC21" s="13">
        <f>'TR TUSD'!$AC$21*'TR TUSD'!$AC$60</f>
        <v>332.96385113234402</v>
      </c>
      <c r="AD21" s="13">
        <f>SUM($AC$21:$AC$21)</f>
        <v>332.96385113234402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35.650605099110166</v>
      </c>
      <c r="AI21" s="13">
        <f>'TR TUSD'!$AI$21*'TR TUSD'!$AI$60</f>
        <v>0</v>
      </c>
      <c r="AJ21" s="13">
        <f ca="1">'TR TUSD'!$AJ$21*'TR TUSD'!$AJ$60</f>
        <v>4.7154671064063232</v>
      </c>
      <c r="AK21" s="13">
        <f ca="1">'TR TUSD'!$AK$21*'TR TUSD'!$AK$60</f>
        <v>0</v>
      </c>
      <c r="AL21" s="13">
        <f ca="1">SUM($AH$21:$AK$21)</f>
        <v>40.366072205516488</v>
      </c>
      <c r="AM21" s="13">
        <f ca="1">SUMIF($L$4:$AL$4,"SUBTOTAL",$L$21:$AL$21)</f>
        <v>441.70378715606284</v>
      </c>
      <c r="AP21" s="13">
        <f>IF((1 - CUSTOS!$M$24)&lt;&gt;0,1/(1 - CUSTOS!$M$24),1)</f>
        <v>1</v>
      </c>
    </row>
    <row r="22" spans="1:42" ht="11.25" customHeight="1" x14ac:dyDescent="0.3">
      <c r="A22" s="95"/>
      <c r="B22" s="95"/>
      <c r="C22" s="95"/>
      <c r="D22" s="17" t="s">
        <v>29</v>
      </c>
      <c r="E22" s="17" t="s">
        <v>25</v>
      </c>
      <c r="F22" s="17" t="s">
        <v>25</v>
      </c>
      <c r="G22" s="18" t="s">
        <v>83</v>
      </c>
      <c r="H22" s="18" t="s">
        <v>79</v>
      </c>
      <c r="I22" s="18">
        <f>'MERCADO TUSD'!$U$19</f>
        <v>183.16699999999997</v>
      </c>
      <c r="J22" s="15"/>
      <c r="L22" s="13">
        <f>'TR TUSD'!$L$22*'TR TUSD'!$L$60</f>
        <v>0</v>
      </c>
      <c r="M22" s="13">
        <f>'TR TUSD'!$M$22*'TR TUSD'!$M$60</f>
        <v>1.4353441472565804</v>
      </c>
      <c r="N22" s="13">
        <f ca="1">'TR TUSD'!$N$22*'TR TUSD'!$N$60</f>
        <v>0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1.4353441472565804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66.938519670945723</v>
      </c>
      <c r="Z22" s="13">
        <f>'TR TUSD'!$Z$22</f>
        <v>0</v>
      </c>
      <c r="AA22" s="13">
        <f>'TR TUSD'!$AA$22</f>
        <v>0</v>
      </c>
      <c r="AB22" s="13">
        <f>SUM($U$22:$AA$22)</f>
        <v>66.938519670945723</v>
      </c>
      <c r="AC22" s="13">
        <f>'TR TUSD'!$AC$22*'TR TUSD'!$AC$60</f>
        <v>332.96385113234402</v>
      </c>
      <c r="AD22" s="13">
        <f>SUM($AC$22:$AC$22)</f>
        <v>332.96385113234402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35.650605099110166</v>
      </c>
      <c r="AI22" s="13">
        <f>'TR TUSD'!$AI$22*'TR TUSD'!$AI$60</f>
        <v>0</v>
      </c>
      <c r="AJ22" s="13">
        <f ca="1">'TR TUSD'!$AJ$22*'TR TUSD'!$AJ$60</f>
        <v>4.7154671064063232</v>
      </c>
      <c r="AK22" s="13">
        <f ca="1">'TR TUSD'!$AK$22*'TR TUSD'!$AK$60</f>
        <v>0</v>
      </c>
      <c r="AL22" s="13">
        <f ca="1">SUM($AH$22:$AK$22)</f>
        <v>40.366072205516488</v>
      </c>
      <c r="AM22" s="13">
        <f ca="1">SUMIF($L$4:$AL$4,"SUBTOTAL",$L$22:$AL$22)</f>
        <v>441.70378715606284</v>
      </c>
      <c r="AP22" s="13">
        <f>IF((1 - CUSTOS!$M$25)&lt;&gt;0,1/(1 - CUSTOS!$M$25),1)</f>
        <v>1</v>
      </c>
    </row>
    <row r="23" spans="1:42" ht="11.25" customHeight="1" x14ac:dyDescent="0.3">
      <c r="A23" s="95"/>
      <c r="B23" s="95"/>
      <c r="C23" s="95"/>
      <c r="D23" s="17" t="s">
        <v>30</v>
      </c>
      <c r="E23" s="17" t="s">
        <v>25</v>
      </c>
      <c r="F23" s="17" t="s">
        <v>25</v>
      </c>
      <c r="G23" s="18" t="s">
        <v>83</v>
      </c>
      <c r="H23" s="18" t="s">
        <v>79</v>
      </c>
      <c r="I23" s="18">
        <f>'MERCADO TUSD'!$U$20</f>
        <v>200.38</v>
      </c>
      <c r="J23" s="15"/>
      <c r="L23" s="13">
        <f>'TR TUSD'!$L$23*'TR TUSD'!$L$60</f>
        <v>0</v>
      </c>
      <c r="M23" s="13">
        <f>'TR TUSD'!$M$23*'TR TUSD'!$M$60</f>
        <v>1.4353441472565804</v>
      </c>
      <c r="N23" s="13">
        <f ca="1">'TR TUSD'!$N$23*'TR TUSD'!$N$60</f>
        <v>0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1.4353441472565804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66.938519670945723</v>
      </c>
      <c r="Z23" s="13">
        <f>'TR TUSD'!$Z$23</f>
        <v>0</v>
      </c>
      <c r="AA23" s="13">
        <f>'TR TUSD'!$AA$23</f>
        <v>0</v>
      </c>
      <c r="AB23" s="13">
        <f>SUM($U$23:$AA$23)</f>
        <v>66.938519670945723</v>
      </c>
      <c r="AC23" s="13">
        <f>'TR TUSD'!$AC$23*'TR TUSD'!$AC$60</f>
        <v>332.96385113234402</v>
      </c>
      <c r="AD23" s="13">
        <f>SUM($AC$23:$AC$23)</f>
        <v>332.96385113234402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35.650605099110166</v>
      </c>
      <c r="AI23" s="13">
        <f>'TR TUSD'!$AI$23*'TR TUSD'!$AI$60</f>
        <v>0</v>
      </c>
      <c r="AJ23" s="13">
        <f ca="1">'TR TUSD'!$AJ$23*'TR TUSD'!$AJ$60</f>
        <v>4.7154671064063232</v>
      </c>
      <c r="AK23" s="13">
        <f ca="1">'TR TUSD'!$AK$23*'TR TUSD'!$AK$60</f>
        <v>0</v>
      </c>
      <c r="AL23" s="13">
        <f ca="1">SUM($AH$23:$AK$23)</f>
        <v>40.366072205516488</v>
      </c>
      <c r="AM23" s="13">
        <f ca="1">SUMIF($L$4:$AL$4,"SUBTOTAL",$L$23:$AL$23)</f>
        <v>441.70378715606284</v>
      </c>
      <c r="AP23" s="13">
        <f>IF((1 - CUSTOS!$M$26)&lt;&gt;0,1/(1 - CUSTOS!$M$26),1)</f>
        <v>1</v>
      </c>
    </row>
    <row r="24" spans="1:42" ht="11.25" customHeight="1" x14ac:dyDescent="0.3">
      <c r="A24" s="95"/>
      <c r="B24" s="95"/>
      <c r="C24" s="95"/>
      <c r="D24" s="17" t="s">
        <v>31</v>
      </c>
      <c r="E24" s="17" t="s">
        <v>25</v>
      </c>
      <c r="F24" s="17" t="s">
        <v>25</v>
      </c>
      <c r="G24" s="18" t="s">
        <v>83</v>
      </c>
      <c r="H24" s="18" t="s">
        <v>79</v>
      </c>
      <c r="I24" s="18">
        <f>'MERCADO TUSD'!$U$21</f>
        <v>80.955999999999989</v>
      </c>
      <c r="J24" s="15"/>
      <c r="L24" s="13">
        <f>'TR TUSD'!$L$24*'TR TUSD'!$L$60</f>
        <v>0</v>
      </c>
      <c r="M24" s="13">
        <f>'TR TUSD'!$M$24*'TR TUSD'!$M$60</f>
        <v>1.4353441472565804</v>
      </c>
      <c r="N24" s="13">
        <f ca="1">'TR TUSD'!$N$24*'TR TUSD'!$N$60</f>
        <v>0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1.4353441472565804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66.938519670945723</v>
      </c>
      <c r="Z24" s="13">
        <f>'TR TUSD'!$Z$24</f>
        <v>0</v>
      </c>
      <c r="AA24" s="13">
        <f>'TR TUSD'!$AA$24</f>
        <v>0</v>
      </c>
      <c r="AB24" s="13">
        <f>SUM($U$24:$AA$24)</f>
        <v>66.938519670945723</v>
      </c>
      <c r="AC24" s="13">
        <f>'TR TUSD'!$AC$24*'TR TUSD'!$AC$60</f>
        <v>332.96385113234402</v>
      </c>
      <c r="AD24" s="13">
        <f>SUM($AC$24:$AC$24)</f>
        <v>332.96385113234402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35.650605099110166</v>
      </c>
      <c r="AI24" s="13">
        <f>'TR TUSD'!$AI$24*'TR TUSD'!$AI$60</f>
        <v>0</v>
      </c>
      <c r="AJ24" s="13">
        <f ca="1">'TR TUSD'!$AJ$24*'TR TUSD'!$AJ$60</f>
        <v>4.7154671064063232</v>
      </c>
      <c r="AK24" s="13">
        <f ca="1">'TR TUSD'!$AK$24*'TR TUSD'!$AK$60</f>
        <v>0</v>
      </c>
      <c r="AL24" s="13">
        <f ca="1">SUM($AH$24:$AK$24)</f>
        <v>40.366072205516488</v>
      </c>
      <c r="AM24" s="13">
        <f ca="1">SUMIF($L$4:$AL$4,"SUBTOTAL",$L$24:$AL$24)</f>
        <v>441.70378715606284</v>
      </c>
      <c r="AP24" s="13">
        <f>IF((1 - CUSTOS!$M$27)&lt;&gt;0,1/(1 - CUSTOS!$M$27),1)</f>
        <v>1</v>
      </c>
    </row>
    <row r="25" spans="1:42" ht="11.25" customHeight="1" x14ac:dyDescent="0.3">
      <c r="A25" s="95"/>
      <c r="B25" s="95" t="s">
        <v>94</v>
      </c>
      <c r="C25" s="95" t="s">
        <v>24</v>
      </c>
      <c r="D25" s="17" t="s">
        <v>24</v>
      </c>
      <c r="E25" s="17" t="s">
        <v>25</v>
      </c>
      <c r="F25" s="17" t="s">
        <v>25</v>
      </c>
      <c r="G25" s="18" t="s">
        <v>83</v>
      </c>
      <c r="H25" s="18" t="s">
        <v>79</v>
      </c>
      <c r="I25" s="18">
        <f>'MERCADO TUSD'!$U$22</f>
        <v>0</v>
      </c>
      <c r="J25" s="15"/>
      <c r="L25" s="13">
        <f>'TR TUSD'!$L$25*'TR TUSD'!$L$60</f>
        <v>0</v>
      </c>
      <c r="M25" s="13">
        <f>'TR TUSD'!$M$25*'TR TUSD'!$M$60</f>
        <v>1.4353441472565804</v>
      </c>
      <c r="N25" s="13">
        <f ca="1">'TR TUSD'!$N$25*'TR TUSD'!$N$60</f>
        <v>0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90.721544900230441</v>
      </c>
      <c r="R25" s="13">
        <f>'TR TUSD'!$R$25*'TR TUSD'!$R$60</f>
        <v>14.336884650921309</v>
      </c>
      <c r="S25" s="13">
        <f>'TR TUSD'!$S$25*'TR TUSD'!$S$60</f>
        <v>0</v>
      </c>
      <c r="T25" s="13">
        <f ca="1">SUM($L$25:$S$25)</f>
        <v>106.49377369840833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66.938519670945723</v>
      </c>
      <c r="Z25" s="13">
        <f>'TR TUSD'!$Z$25</f>
        <v>0</v>
      </c>
      <c r="AA25" s="13">
        <f>'TR TUSD'!$AA$25</f>
        <v>0</v>
      </c>
      <c r="AB25" s="13">
        <f>SUM($U$25:$AA$25)</f>
        <v>66.938519670945723</v>
      </c>
      <c r="AC25" s="13">
        <f>'TR TUSD'!$AC$25*'TR TUSD'!$AC$60</f>
        <v>332.96385113234402</v>
      </c>
      <c r="AD25" s="13">
        <f>SUM($AC$25:$AC$25)</f>
        <v>332.96385113234402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35.650605099110166</v>
      </c>
      <c r="AI25" s="13">
        <f>'TR TUSD'!$AI$25*'TR TUSD'!$AI$60</f>
        <v>0</v>
      </c>
      <c r="AJ25" s="13">
        <f ca="1">'TR TUSD'!$AJ$25*'TR TUSD'!$AJ$60</f>
        <v>4.7154671064063232</v>
      </c>
      <c r="AK25" s="13">
        <f ca="1">'TR TUSD'!$AK$25*'TR TUSD'!$AK$60</f>
        <v>0</v>
      </c>
      <c r="AL25" s="13">
        <f ca="1">SUM($AH$25:$AK$25)</f>
        <v>40.366072205516488</v>
      </c>
      <c r="AM25" s="13">
        <f ca="1">SUMIF($L$4:$AL$4,"SUBTOTAL",$L$25:$AL$25)</f>
        <v>546.76221670721452</v>
      </c>
      <c r="AP25" s="13">
        <v>1</v>
      </c>
    </row>
    <row r="26" spans="1:42" ht="11.25" customHeight="1" x14ac:dyDescent="0.3">
      <c r="A26" s="95"/>
      <c r="B26" s="95"/>
      <c r="C26" s="95"/>
      <c r="D26" s="17" t="s">
        <v>28</v>
      </c>
      <c r="E26" s="17" t="s">
        <v>25</v>
      </c>
      <c r="F26" s="17" t="s">
        <v>25</v>
      </c>
      <c r="G26" s="18" t="s">
        <v>83</v>
      </c>
      <c r="H26" s="18" t="s">
        <v>79</v>
      </c>
      <c r="I26" s="18">
        <f>'MERCADO TUSD'!$U$23</f>
        <v>0</v>
      </c>
      <c r="J26" s="15"/>
      <c r="L26" s="13">
        <f>'TR TUSD'!$L$26*'TR TUSD'!$L$60</f>
        <v>0</v>
      </c>
      <c r="M26" s="13">
        <f>'TR TUSD'!$M$26*'TR TUSD'!$M$60</f>
        <v>1.4353441472565804</v>
      </c>
      <c r="N26" s="13">
        <f ca="1">'TR TUSD'!$N$26*'TR TUSD'!$N$60</f>
        <v>0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1.4353441472565804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66.938519670945723</v>
      </c>
      <c r="Z26" s="13">
        <f>'TR TUSD'!$Z$26</f>
        <v>0</v>
      </c>
      <c r="AA26" s="13">
        <f>'TR TUSD'!$AA$26</f>
        <v>0</v>
      </c>
      <c r="AB26" s="13">
        <f>SUM($U$26:$AA$26)</f>
        <v>66.938519670945723</v>
      </c>
      <c r="AC26" s="13">
        <f>'TR TUSD'!$AC$26*'TR TUSD'!$AC$60</f>
        <v>332.96385113234402</v>
      </c>
      <c r="AD26" s="13">
        <f>SUM($AC$26:$AC$26)</f>
        <v>332.96385113234402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35.650605099110166</v>
      </c>
      <c r="AI26" s="13">
        <f>'TR TUSD'!$AI$26*'TR TUSD'!$AI$60</f>
        <v>0</v>
      </c>
      <c r="AJ26" s="13">
        <f ca="1">'TR TUSD'!$AJ$26*'TR TUSD'!$AJ$60</f>
        <v>4.7154671064063232</v>
      </c>
      <c r="AK26" s="13">
        <f ca="1">'TR TUSD'!$AK$26*'TR TUSD'!$AK$60</f>
        <v>0</v>
      </c>
      <c r="AL26" s="13">
        <f ca="1">SUM($AH$26:$AK$26)</f>
        <v>40.366072205516488</v>
      </c>
      <c r="AM26" s="13">
        <f ca="1">SUMIF($L$4:$AL$4,"SUBTOTAL",$L$26:$AL$26)</f>
        <v>441.70378715606284</v>
      </c>
      <c r="AP26" s="13">
        <f>IF((1 - CUSTOS!$M$24)&lt;&gt;0,1/(1 - CUSTOS!$M$24),1)</f>
        <v>1</v>
      </c>
    </row>
    <row r="27" spans="1:42" ht="11.25" customHeight="1" x14ac:dyDescent="0.3">
      <c r="A27" s="95"/>
      <c r="B27" s="95"/>
      <c r="C27" s="95"/>
      <c r="D27" s="17" t="s">
        <v>29</v>
      </c>
      <c r="E27" s="17" t="s">
        <v>25</v>
      </c>
      <c r="F27" s="17" t="s">
        <v>25</v>
      </c>
      <c r="G27" s="18" t="s">
        <v>83</v>
      </c>
      <c r="H27" s="18" t="s">
        <v>79</v>
      </c>
      <c r="I27" s="18">
        <f>'MERCADO TUSD'!$U$24</f>
        <v>0</v>
      </c>
      <c r="J27" s="15"/>
      <c r="L27" s="13">
        <f>'TR TUSD'!$L$27*'TR TUSD'!$L$60</f>
        <v>0</v>
      </c>
      <c r="M27" s="13">
        <f>'TR TUSD'!$M$27*'TR TUSD'!$M$60</f>
        <v>1.4353441472565804</v>
      </c>
      <c r="N27" s="13">
        <f ca="1">'TR TUSD'!$N$27*'TR TUSD'!$N$60</f>
        <v>0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1.4353441472565804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66.938519670945723</v>
      </c>
      <c r="Z27" s="13">
        <f>'TR TUSD'!$Z$27</f>
        <v>0</v>
      </c>
      <c r="AA27" s="13">
        <f>'TR TUSD'!$AA$27</f>
        <v>0</v>
      </c>
      <c r="AB27" s="13">
        <f>SUM($U$27:$AA$27)</f>
        <v>66.938519670945723</v>
      </c>
      <c r="AC27" s="13">
        <f>'TR TUSD'!$AC$27*'TR TUSD'!$AC$60</f>
        <v>332.96385113234402</v>
      </c>
      <c r="AD27" s="13">
        <f>SUM($AC$27:$AC$27)</f>
        <v>332.96385113234402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35.650605099110166</v>
      </c>
      <c r="AI27" s="13">
        <f>'TR TUSD'!$AI$27*'TR TUSD'!$AI$60</f>
        <v>0</v>
      </c>
      <c r="AJ27" s="13">
        <f ca="1">'TR TUSD'!$AJ$27*'TR TUSD'!$AJ$60</f>
        <v>4.7154671064063232</v>
      </c>
      <c r="AK27" s="13">
        <f ca="1">'TR TUSD'!$AK$27*'TR TUSD'!$AK$60</f>
        <v>0</v>
      </c>
      <c r="AL27" s="13">
        <f ca="1">SUM($AH$27:$AK$27)</f>
        <v>40.366072205516488</v>
      </c>
      <c r="AM27" s="13">
        <f ca="1">SUMIF($L$4:$AL$4,"SUBTOTAL",$L$27:$AL$27)</f>
        <v>441.70378715606284</v>
      </c>
      <c r="AP27" s="13">
        <f>IF((1 - CUSTOS!$M$25)&lt;&gt;0,1/(1 - CUSTOS!$M$25),1)</f>
        <v>1</v>
      </c>
    </row>
    <row r="28" spans="1:42" ht="11.25" customHeight="1" x14ac:dyDescent="0.3">
      <c r="A28" s="95"/>
      <c r="B28" s="95"/>
      <c r="C28" s="95"/>
      <c r="D28" s="17" t="s">
        <v>30</v>
      </c>
      <c r="E28" s="17" t="s">
        <v>25</v>
      </c>
      <c r="F28" s="17" t="s">
        <v>25</v>
      </c>
      <c r="G28" s="18" t="s">
        <v>83</v>
      </c>
      <c r="H28" s="18" t="s">
        <v>79</v>
      </c>
      <c r="I28" s="18">
        <f>'MERCADO TUSD'!$U$25</f>
        <v>0</v>
      </c>
      <c r="J28" s="15"/>
      <c r="L28" s="13">
        <f>'TR TUSD'!$L$28*'TR TUSD'!$L$60</f>
        <v>0</v>
      </c>
      <c r="M28" s="13">
        <f>'TR TUSD'!$M$28*'TR TUSD'!$M$60</f>
        <v>1.4353441472565804</v>
      </c>
      <c r="N28" s="13">
        <f ca="1">'TR TUSD'!$N$28*'TR TUSD'!$N$60</f>
        <v>0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1.4353441472565804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66.938519670945723</v>
      </c>
      <c r="Z28" s="13">
        <f>'TR TUSD'!$Z$28</f>
        <v>0</v>
      </c>
      <c r="AA28" s="13">
        <f>'TR TUSD'!$AA$28</f>
        <v>0</v>
      </c>
      <c r="AB28" s="13">
        <f>SUM($U$28:$AA$28)</f>
        <v>66.938519670945723</v>
      </c>
      <c r="AC28" s="13">
        <f>'TR TUSD'!$AC$28*'TR TUSD'!$AC$60</f>
        <v>332.96385113234402</v>
      </c>
      <c r="AD28" s="13">
        <f>SUM($AC$28:$AC$28)</f>
        <v>332.96385113234402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35.650605099110166</v>
      </c>
      <c r="AI28" s="13">
        <f>'TR TUSD'!$AI$28*'TR TUSD'!$AI$60</f>
        <v>0</v>
      </c>
      <c r="AJ28" s="13">
        <f ca="1">'TR TUSD'!$AJ$28*'TR TUSD'!$AJ$60</f>
        <v>4.7154671064063232</v>
      </c>
      <c r="AK28" s="13">
        <f ca="1">'TR TUSD'!$AK$28*'TR TUSD'!$AK$60</f>
        <v>0</v>
      </c>
      <c r="AL28" s="13">
        <f ca="1">SUM($AH$28:$AK$28)</f>
        <v>40.366072205516488</v>
      </c>
      <c r="AM28" s="13">
        <f ca="1">SUMIF($L$4:$AL$4,"SUBTOTAL",$L$28:$AL$28)</f>
        <v>441.70378715606284</v>
      </c>
      <c r="AP28" s="13">
        <f>IF((1 - CUSTOS!$M$26)&lt;&gt;0,1/(1 - CUSTOS!$M$26),1)</f>
        <v>1</v>
      </c>
    </row>
    <row r="29" spans="1:42" ht="11.25" customHeight="1" x14ac:dyDescent="0.3">
      <c r="A29" s="95"/>
      <c r="B29" s="95"/>
      <c r="C29" s="95"/>
      <c r="D29" s="17" t="s">
        <v>31</v>
      </c>
      <c r="E29" s="17" t="s">
        <v>25</v>
      </c>
      <c r="F29" s="17" t="s">
        <v>25</v>
      </c>
      <c r="G29" s="18" t="s">
        <v>83</v>
      </c>
      <c r="H29" s="18" t="s">
        <v>79</v>
      </c>
      <c r="I29" s="18">
        <f>'MERCADO TUSD'!$U$26</f>
        <v>0</v>
      </c>
      <c r="J29" s="15"/>
      <c r="L29" s="13">
        <f>'TR TUSD'!$L$29*'TR TUSD'!$L$60</f>
        <v>0</v>
      </c>
      <c r="M29" s="13">
        <f>'TR TUSD'!$M$29*'TR TUSD'!$M$60</f>
        <v>1.4353441472565804</v>
      </c>
      <c r="N29" s="13">
        <f ca="1">'TR TUSD'!$N$29*'TR TUSD'!$N$60</f>
        <v>0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1.4353441472565804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66.938519670945723</v>
      </c>
      <c r="Z29" s="13">
        <f>'TR TUSD'!$Z$29</f>
        <v>0</v>
      </c>
      <c r="AA29" s="13">
        <f>'TR TUSD'!$AA$29</f>
        <v>0</v>
      </c>
      <c r="AB29" s="13">
        <f>SUM($U$29:$AA$29)</f>
        <v>66.938519670945723</v>
      </c>
      <c r="AC29" s="13">
        <f>'TR TUSD'!$AC$29*'TR TUSD'!$AC$60</f>
        <v>332.96385113234402</v>
      </c>
      <c r="AD29" s="13">
        <f>SUM($AC$29:$AC$29)</f>
        <v>332.96385113234402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35.650605099110166</v>
      </c>
      <c r="AI29" s="13">
        <f>'TR TUSD'!$AI$29*'TR TUSD'!$AI$60</f>
        <v>0</v>
      </c>
      <c r="AJ29" s="13">
        <f ca="1">'TR TUSD'!$AJ$29*'TR TUSD'!$AJ$60</f>
        <v>4.7154671064063232</v>
      </c>
      <c r="AK29" s="13">
        <f ca="1">'TR TUSD'!$AK$29*'TR TUSD'!$AK$60</f>
        <v>0</v>
      </c>
      <c r="AL29" s="13">
        <f ca="1">SUM($AH$29:$AK$29)</f>
        <v>40.366072205516488</v>
      </c>
      <c r="AM29" s="13">
        <f ca="1">SUMIF($L$4:$AL$4,"SUBTOTAL",$L$29:$AL$29)</f>
        <v>441.70378715606284</v>
      </c>
      <c r="AP29" s="13">
        <f>IF((1 - CUSTOS!$M$27)&lt;&gt;0,1/(1 - CUSTOS!$M$27),1)</f>
        <v>1</v>
      </c>
    </row>
    <row r="30" spans="1:42" ht="11.25" customHeight="1" x14ac:dyDescent="0.3">
      <c r="A30" s="95" t="s">
        <v>40</v>
      </c>
      <c r="B30" s="95" t="s">
        <v>92</v>
      </c>
      <c r="C30" s="95" t="s">
        <v>41</v>
      </c>
      <c r="D30" s="95" t="s">
        <v>25</v>
      </c>
      <c r="E30" s="95" t="s">
        <v>25</v>
      </c>
      <c r="F30" s="95" t="s">
        <v>25</v>
      </c>
      <c r="G30" s="18" t="s">
        <v>80</v>
      </c>
      <c r="H30" s="18" t="s">
        <v>79</v>
      </c>
      <c r="I30" s="18">
        <f>'MERCADO TUSD'!$U$27</f>
        <v>0</v>
      </c>
      <c r="J30" s="15"/>
      <c r="L30" s="13">
        <f>'TR TUSD'!$L$30*'TR TUSD'!$L$60</f>
        <v>0</v>
      </c>
      <c r="M30" s="13">
        <f>'TR TUSD'!$M$30*'TR TUSD'!$M$60</f>
        <v>1.4353441472565804</v>
      </c>
      <c r="N30" s="13">
        <f ca="1">'TR TUSD'!$N$30*'TR TUSD'!$N$60</f>
        <v>0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90.721544900230441</v>
      </c>
      <c r="R30" s="13">
        <f>'TR TUSD'!$R$30*'TR TUSD'!$R$60</f>
        <v>14.336884650921309</v>
      </c>
      <c r="S30" s="13">
        <f>'TR TUSD'!$S$30*'TR TUSD'!$S$60</f>
        <v>0</v>
      </c>
      <c r="T30" s="13">
        <f ca="1">SUM($L$30:$S$30)</f>
        <v>106.49377369840833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197.43597316606477</v>
      </c>
      <c r="Z30" s="13">
        <f>'TR TUSD'!$Z$30</f>
        <v>0</v>
      </c>
      <c r="AA30" s="13">
        <f>'TR TUSD'!$AA$30</f>
        <v>0</v>
      </c>
      <c r="AB30" s="13">
        <f>SUM($U$30:$AA$30)</f>
        <v>197.43597316606477</v>
      </c>
      <c r="AC30" s="13">
        <f>'TR TUSD'!$AC$30*'TR TUSD'!$AC$60</f>
        <v>982.24341739651356</v>
      </c>
      <c r="AD30" s="13">
        <f>SUM($AC$30:$AC$30)</f>
        <v>982.24341739651356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35.650605099110166</v>
      </c>
      <c r="AI30" s="13">
        <f>'TR TUSD'!$AI$30*'TR TUSD'!$AI$60</f>
        <v>0</v>
      </c>
      <c r="AJ30" s="13">
        <f ca="1">'TR TUSD'!$AJ$30*'TR TUSD'!$AJ$60</f>
        <v>4.7154671064063232</v>
      </c>
      <c r="AK30" s="13">
        <f ca="1">'TR TUSD'!$AK$30*'TR TUSD'!$AK$60</f>
        <v>0</v>
      </c>
      <c r="AL30" s="13">
        <f ca="1">SUM($AH$30:$AK$30)</f>
        <v>40.366072205516488</v>
      </c>
      <c r="AM30" s="13">
        <f ca="1">SUMIF($L$4:$AL$4,"SUBTOTAL",$L$30:$AL$30)</f>
        <v>1326.5392364665031</v>
      </c>
      <c r="AP30" s="13">
        <f>IF((1 - CUSTOS!$M$28)&lt;&gt;0,1/(1 - CUSTOS!$M$28),1)</f>
        <v>1</v>
      </c>
    </row>
    <row r="31" spans="1:42" ht="11.25" customHeight="1" x14ac:dyDescent="0.3">
      <c r="A31" s="95"/>
      <c r="B31" s="95"/>
      <c r="C31" s="95"/>
      <c r="D31" s="95"/>
      <c r="E31" s="95"/>
      <c r="F31" s="95"/>
      <c r="G31" s="18" t="s">
        <v>91</v>
      </c>
      <c r="H31" s="18" t="s">
        <v>79</v>
      </c>
      <c r="I31" s="18">
        <f>'MERCADO TUSD'!$U$28</f>
        <v>0</v>
      </c>
      <c r="J31" s="15"/>
      <c r="L31" s="13">
        <f>'TR TUSD'!$L$31*'TR TUSD'!$L$60</f>
        <v>0</v>
      </c>
      <c r="M31" s="13">
        <f>'TR TUSD'!$M$31*'TR TUSD'!$M$60</f>
        <v>1.4353441472565804</v>
      </c>
      <c r="N31" s="13">
        <f ca="1">'TR TUSD'!$N$31*'TR TUSD'!$N$60</f>
        <v>0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90.721544900230441</v>
      </c>
      <c r="R31" s="13">
        <f>'TR TUSD'!$R$31*'TR TUSD'!$R$60</f>
        <v>14.336884650921309</v>
      </c>
      <c r="S31" s="13">
        <f>'TR TUSD'!$S$31*'TR TUSD'!$S$60</f>
        <v>0</v>
      </c>
      <c r="T31" s="13">
        <f ca="1">SUM($L$31:$S$31)</f>
        <v>106.49377369840833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118.42750404236048</v>
      </c>
      <c r="Z31" s="13">
        <f>'TR TUSD'!$Z$31</f>
        <v>0</v>
      </c>
      <c r="AA31" s="13">
        <f>'TR TUSD'!$AA$31</f>
        <v>0</v>
      </c>
      <c r="AB31" s="13">
        <f>SUM($U$31:$AA$31)</f>
        <v>118.42750404236048</v>
      </c>
      <c r="AC31" s="13">
        <f>'TR TUSD'!$AC$31*'TR TUSD'!$AC$60</f>
        <v>589.34622010620433</v>
      </c>
      <c r="AD31" s="13">
        <f>SUM($AC$31:$AC$31)</f>
        <v>589.34622010620433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35.650605099110166</v>
      </c>
      <c r="AI31" s="13">
        <f>'TR TUSD'!$AI$31*'TR TUSD'!$AI$60</f>
        <v>0</v>
      </c>
      <c r="AJ31" s="13">
        <f ca="1">'TR TUSD'!$AJ$31*'TR TUSD'!$AJ$60</f>
        <v>4.7154671064063232</v>
      </c>
      <c r="AK31" s="13">
        <f ca="1">'TR TUSD'!$AK$31*'TR TUSD'!$AK$60</f>
        <v>0</v>
      </c>
      <c r="AL31" s="13">
        <f ca="1">SUM($AH$31:$AK$31)</f>
        <v>40.366072205516488</v>
      </c>
      <c r="AM31" s="13">
        <f ca="1">SUMIF($L$4:$AL$4,"SUBTOTAL",$L$31:$AL$31)</f>
        <v>854.63357005248963</v>
      </c>
      <c r="AP31" s="13">
        <f>IF((1 - CUSTOS!$M$28)&lt;&gt;0,1/(1 - CUSTOS!$M$28),1)</f>
        <v>1</v>
      </c>
    </row>
    <row r="32" spans="1:42" ht="11.25" customHeight="1" x14ac:dyDescent="0.3">
      <c r="A32" s="95"/>
      <c r="B32" s="95"/>
      <c r="C32" s="95"/>
      <c r="D32" s="95"/>
      <c r="E32" s="95"/>
      <c r="F32" s="95"/>
      <c r="G32" s="18" t="s">
        <v>81</v>
      </c>
      <c r="H32" s="18" t="s">
        <v>79</v>
      </c>
      <c r="I32" s="18">
        <f>'MERCADO TUSD'!$U$29</f>
        <v>0</v>
      </c>
      <c r="J32" s="15"/>
      <c r="L32" s="13">
        <f>'TR TUSD'!$L$32*'TR TUSD'!$L$60</f>
        <v>0</v>
      </c>
      <c r="M32" s="13">
        <f>'TR TUSD'!$M$32*'TR TUSD'!$M$60</f>
        <v>1.4353441472565804</v>
      </c>
      <c r="N32" s="13">
        <f ca="1">'TR TUSD'!$N$32*'TR TUSD'!$N$60</f>
        <v>0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90.721544900230441</v>
      </c>
      <c r="R32" s="13">
        <f>'TR TUSD'!$R$32*'TR TUSD'!$R$60</f>
        <v>14.336884650921309</v>
      </c>
      <c r="S32" s="13">
        <f>'TR TUSD'!$S$32*'TR TUSD'!$S$60</f>
        <v>0</v>
      </c>
      <c r="T32" s="13">
        <f ca="1">SUM($L$32:$S$32)</f>
        <v>106.49377369840833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39.504234561852144</v>
      </c>
      <c r="Z32" s="13">
        <f>'TR TUSD'!$Z$32</f>
        <v>0</v>
      </c>
      <c r="AA32" s="13">
        <f>'TR TUSD'!$AA$32</f>
        <v>0</v>
      </c>
      <c r="AB32" s="13">
        <f>SUM($U$32:$AA$32)</f>
        <v>39.504234561852144</v>
      </c>
      <c r="AC32" s="13">
        <f>'TR TUSD'!$AC$32*'TR TUSD'!$AC$60</f>
        <v>196.44874003540144</v>
      </c>
      <c r="AD32" s="13">
        <f>SUM($AC$32:$AC$32)</f>
        <v>196.44874003540144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35.650605099110166</v>
      </c>
      <c r="AI32" s="13">
        <f>'TR TUSD'!$AI$32*'TR TUSD'!$AI$60</f>
        <v>0</v>
      </c>
      <c r="AJ32" s="13">
        <f ca="1">'TR TUSD'!$AJ$32*'TR TUSD'!$AJ$60</f>
        <v>4.7154671064063232</v>
      </c>
      <c r="AK32" s="13">
        <f ca="1">'TR TUSD'!$AK$32*'TR TUSD'!$AK$60</f>
        <v>0</v>
      </c>
      <c r="AL32" s="13">
        <f ca="1">SUM($AH$32:$AK$32)</f>
        <v>40.366072205516488</v>
      </c>
      <c r="AM32" s="13">
        <f ca="1">SUMIF($L$4:$AL$4,"SUBTOTAL",$L$32:$AL$32)</f>
        <v>382.81282050117841</v>
      </c>
      <c r="AP32" s="13">
        <f>IF((1 - CUSTOS!$M$28)&lt;&gt;0,1/(1 - CUSTOS!$M$28),1)</f>
        <v>1</v>
      </c>
    </row>
    <row r="33" spans="1:42" ht="11.25" customHeight="1" x14ac:dyDescent="0.3">
      <c r="A33" s="95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83</v>
      </c>
      <c r="H33" s="18" t="s">
        <v>79</v>
      </c>
      <c r="I33" s="18">
        <f>'MERCADO TUSD'!$U$30</f>
        <v>15119.107000000002</v>
      </c>
      <c r="J33" s="15"/>
      <c r="L33" s="13">
        <f>'TR TUSD'!$L$33*'TR TUSD'!$L$60</f>
        <v>0</v>
      </c>
      <c r="M33" s="13">
        <f>'TR TUSD'!$M$33*'TR TUSD'!$M$60</f>
        <v>1.4353441472565804</v>
      </c>
      <c r="N33" s="13">
        <f ca="1">'TR TUSD'!$N$33*'TR TUSD'!$N$60</f>
        <v>0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90.721544900230441</v>
      </c>
      <c r="R33" s="13">
        <f>'TR TUSD'!$R$33*'TR TUSD'!$R$60</f>
        <v>14.336884650921309</v>
      </c>
      <c r="S33" s="13">
        <f>'TR TUSD'!$S$33*'TR TUSD'!$S$60</f>
        <v>0</v>
      </c>
      <c r="T33" s="13">
        <f ca="1">SUM($L$33:$S$33)</f>
        <v>106.49377369840833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66.938519670945723</v>
      </c>
      <c r="Z33" s="13">
        <f>'TR TUSD'!$Z$33</f>
        <v>0</v>
      </c>
      <c r="AA33" s="13">
        <f>'TR TUSD'!$AA$33</f>
        <v>0</v>
      </c>
      <c r="AB33" s="13">
        <f>SUM($U$33:$AA$33)</f>
        <v>66.938519670945723</v>
      </c>
      <c r="AC33" s="13">
        <f>'TR TUSD'!$AC$33*'TR TUSD'!$AC$60</f>
        <v>332.96385113234402</v>
      </c>
      <c r="AD33" s="13">
        <f>SUM($AC$33:$AC$33)</f>
        <v>332.96385113234402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35.650605099110166</v>
      </c>
      <c r="AI33" s="13">
        <f>'TR TUSD'!$AI$33*'TR TUSD'!$AI$60</f>
        <v>0</v>
      </c>
      <c r="AJ33" s="13">
        <f ca="1">'TR TUSD'!$AJ$33*'TR TUSD'!$AJ$60</f>
        <v>4.7154671064063232</v>
      </c>
      <c r="AK33" s="13">
        <f ca="1">'TR TUSD'!$AK$33*'TR TUSD'!$AK$60</f>
        <v>0</v>
      </c>
      <c r="AL33" s="13">
        <f ca="1">SUM($AH$33:$AK$33)</f>
        <v>40.366072205516488</v>
      </c>
      <c r="AM33" s="13">
        <f ca="1">SUMIF($L$4:$AL$4,"SUBTOTAL",$L$33:$AL$33)</f>
        <v>546.76221670721452</v>
      </c>
      <c r="AP33" s="13">
        <f>IF((1 - CUSTOS!$M$28)&lt;&gt;0,1/(1 - CUSTOS!$M$28),1)</f>
        <v>1</v>
      </c>
    </row>
    <row r="34" spans="1:42" ht="11.25" customHeight="1" x14ac:dyDescent="0.3">
      <c r="A34" s="95"/>
      <c r="B34" s="95" t="s">
        <v>92</v>
      </c>
      <c r="C34" s="95" t="s">
        <v>41</v>
      </c>
      <c r="D34" s="95" t="s">
        <v>95</v>
      </c>
      <c r="E34" s="95" t="s">
        <v>25</v>
      </c>
      <c r="F34" s="95" t="s">
        <v>25</v>
      </c>
      <c r="G34" s="18" t="s">
        <v>80</v>
      </c>
      <c r="H34" s="18" t="s">
        <v>79</v>
      </c>
      <c r="I34" s="18">
        <f>'MERCADO TUSD'!$U$31</f>
        <v>0</v>
      </c>
      <c r="J34" s="15"/>
      <c r="L34" s="13">
        <f>'TR TUSD'!$L$34*'TR TUSD'!$L$60</f>
        <v>0</v>
      </c>
      <c r="M34" s="13">
        <f>'TR TUSD'!$M$34*'TR TUSD'!$M$60</f>
        <v>1.4353441472565804</v>
      </c>
      <c r="N34" s="13">
        <f ca="1">'TR TUSD'!$N$34*'TR TUSD'!$N$60</f>
        <v>0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90.721544900230441</v>
      </c>
      <c r="R34" s="13">
        <f>'TR TUSD'!$R$34*'TR TUSD'!$R$60</f>
        <v>14.336884650921309</v>
      </c>
      <c r="S34" s="13">
        <f>'TR TUSD'!$S$34*'TR TUSD'!$S$60</f>
        <v>0</v>
      </c>
      <c r="T34" s="13">
        <f ca="1">SUM($L$34:$S$34)</f>
        <v>106.49377369840833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197.43597316606477</v>
      </c>
      <c r="Z34" s="13">
        <f>'TR TUSD'!$Z$34</f>
        <v>0</v>
      </c>
      <c r="AA34" s="13">
        <f>'TR TUSD'!$AA$34</f>
        <v>0</v>
      </c>
      <c r="AB34" s="13">
        <f>SUM($U$34:$AA$34)</f>
        <v>197.43597316606477</v>
      </c>
      <c r="AC34" s="13">
        <f>'TR TUSD'!$AC$34*'TR TUSD'!$AC$60</f>
        <v>982.24341739651356</v>
      </c>
      <c r="AD34" s="13">
        <f>SUM($AC$34:$AC$34)</f>
        <v>982.24341739651356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35.650605099110166</v>
      </c>
      <c r="AI34" s="13">
        <f>'TR TUSD'!$AI$34*'TR TUSD'!$AI$60</f>
        <v>0</v>
      </c>
      <c r="AJ34" s="13">
        <f ca="1">'TR TUSD'!$AJ$34*'TR TUSD'!$AJ$60</f>
        <v>4.7154671064063232</v>
      </c>
      <c r="AK34" s="13">
        <f ca="1">'TR TUSD'!$AK$34*'TR TUSD'!$AK$60</f>
        <v>0</v>
      </c>
      <c r="AL34" s="13">
        <f ca="1">SUM($AH$34:$AK$34)</f>
        <v>40.366072205516488</v>
      </c>
      <c r="AM34" s="13">
        <f ca="1">SUMIF($L$4:$AL$4,"SUBTOTAL",$L$34:$AL$34)</f>
        <v>1326.5392364665031</v>
      </c>
      <c r="AP34" s="13">
        <f>IF((1 - CUSTOS!$M$29)&lt;&gt;0,1/(1 - CUSTOS!$M$29),1)</f>
        <v>1</v>
      </c>
    </row>
    <row r="35" spans="1:42" ht="11.25" customHeight="1" x14ac:dyDescent="0.3">
      <c r="A35" s="95"/>
      <c r="B35" s="95"/>
      <c r="C35" s="95"/>
      <c r="D35" s="95"/>
      <c r="E35" s="95"/>
      <c r="F35" s="95"/>
      <c r="G35" s="18" t="s">
        <v>91</v>
      </c>
      <c r="H35" s="18" t="s">
        <v>79</v>
      </c>
      <c r="I35" s="18">
        <f>'MERCADO TUSD'!$U$32</f>
        <v>0</v>
      </c>
      <c r="J35" s="15"/>
      <c r="L35" s="13">
        <f>'TR TUSD'!$L$35*'TR TUSD'!$L$60</f>
        <v>0</v>
      </c>
      <c r="M35" s="13">
        <f>'TR TUSD'!$M$35*'TR TUSD'!$M$60</f>
        <v>1.4353441472565804</v>
      </c>
      <c r="N35" s="13">
        <f ca="1">'TR TUSD'!$N$35*'TR TUSD'!$N$60</f>
        <v>0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90.721544900230441</v>
      </c>
      <c r="R35" s="13">
        <f>'TR TUSD'!$R$35*'TR TUSD'!$R$60</f>
        <v>14.336884650921309</v>
      </c>
      <c r="S35" s="13">
        <f>'TR TUSD'!$S$35*'TR TUSD'!$S$60</f>
        <v>0</v>
      </c>
      <c r="T35" s="13">
        <f ca="1">SUM($L$35:$S$35)</f>
        <v>106.49377369840833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118.42750404236048</v>
      </c>
      <c r="Z35" s="13">
        <f>'TR TUSD'!$Z$35</f>
        <v>0</v>
      </c>
      <c r="AA35" s="13">
        <f>'TR TUSD'!$AA$35</f>
        <v>0</v>
      </c>
      <c r="AB35" s="13">
        <f>SUM($U$35:$AA$35)</f>
        <v>118.42750404236048</v>
      </c>
      <c r="AC35" s="13">
        <f>'TR TUSD'!$AC$35*'TR TUSD'!$AC$60</f>
        <v>589.34622010620433</v>
      </c>
      <c r="AD35" s="13">
        <f>SUM($AC$35:$AC$35)</f>
        <v>589.34622010620433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35.650605099110166</v>
      </c>
      <c r="AI35" s="13">
        <f>'TR TUSD'!$AI$35*'TR TUSD'!$AI$60</f>
        <v>0</v>
      </c>
      <c r="AJ35" s="13">
        <f ca="1">'TR TUSD'!$AJ$35*'TR TUSD'!$AJ$60</f>
        <v>4.7154671064063232</v>
      </c>
      <c r="AK35" s="13">
        <f ca="1">'TR TUSD'!$AK$35*'TR TUSD'!$AK$60</f>
        <v>0</v>
      </c>
      <c r="AL35" s="13">
        <f ca="1">SUM($AH$35:$AK$35)</f>
        <v>40.366072205516488</v>
      </c>
      <c r="AM35" s="13">
        <f ca="1">SUMIF($L$4:$AL$4,"SUBTOTAL",$L$35:$AL$35)</f>
        <v>854.63357005248963</v>
      </c>
      <c r="AP35" s="13">
        <f>IF((1 - CUSTOS!$M$29)&lt;&gt;0,1/(1 - CUSTOS!$M$29),1)</f>
        <v>1</v>
      </c>
    </row>
    <row r="36" spans="1:42" ht="11.25" customHeight="1" x14ac:dyDescent="0.3">
      <c r="A36" s="95"/>
      <c r="B36" s="95"/>
      <c r="C36" s="95"/>
      <c r="D36" s="95"/>
      <c r="E36" s="95"/>
      <c r="F36" s="95"/>
      <c r="G36" s="18" t="s">
        <v>81</v>
      </c>
      <c r="H36" s="18" t="s">
        <v>79</v>
      </c>
      <c r="I36" s="18">
        <f>'MERCADO TUSD'!$U$33</f>
        <v>0</v>
      </c>
      <c r="J36" s="15"/>
      <c r="L36" s="13">
        <f>'TR TUSD'!$L$36*'TR TUSD'!$L$60</f>
        <v>0</v>
      </c>
      <c r="M36" s="13">
        <f>'TR TUSD'!$M$36*'TR TUSD'!$M$60</f>
        <v>1.4353441472565804</v>
      </c>
      <c r="N36" s="13">
        <f ca="1">'TR TUSD'!$N$36*'TR TUSD'!$N$60</f>
        <v>0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90.721544900230441</v>
      </c>
      <c r="R36" s="13">
        <f>'TR TUSD'!$R$36*'TR TUSD'!$R$60</f>
        <v>14.336884650921309</v>
      </c>
      <c r="S36" s="13">
        <f>'TR TUSD'!$S$36*'TR TUSD'!$S$60</f>
        <v>0</v>
      </c>
      <c r="T36" s="13">
        <f ca="1">SUM($L$36:$S$36)</f>
        <v>106.49377369840833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39.504234561852144</v>
      </c>
      <c r="Z36" s="13">
        <f>'TR TUSD'!$Z$36</f>
        <v>0</v>
      </c>
      <c r="AA36" s="13">
        <f>'TR TUSD'!$AA$36</f>
        <v>0</v>
      </c>
      <c r="AB36" s="13">
        <f>SUM($U$36:$AA$36)</f>
        <v>39.504234561852144</v>
      </c>
      <c r="AC36" s="13">
        <f>'TR TUSD'!$AC$36*'TR TUSD'!$AC$60</f>
        <v>196.44874003540144</v>
      </c>
      <c r="AD36" s="13">
        <f>SUM($AC$36:$AC$36)</f>
        <v>196.44874003540144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35.650605099110166</v>
      </c>
      <c r="AI36" s="13">
        <f>'TR TUSD'!$AI$36*'TR TUSD'!$AI$60</f>
        <v>0</v>
      </c>
      <c r="AJ36" s="13">
        <f ca="1">'TR TUSD'!$AJ$36*'TR TUSD'!$AJ$60</f>
        <v>4.7154671064063232</v>
      </c>
      <c r="AK36" s="13">
        <f ca="1">'TR TUSD'!$AK$36*'TR TUSD'!$AK$60</f>
        <v>0</v>
      </c>
      <c r="AL36" s="13">
        <f ca="1">SUM($AH$36:$AK$36)</f>
        <v>40.366072205516488</v>
      </c>
      <c r="AM36" s="13">
        <f ca="1">SUMIF($L$4:$AL$4,"SUBTOTAL",$L$36:$AL$36)</f>
        <v>382.81282050117841</v>
      </c>
      <c r="AP36" s="13">
        <f>IF((1 - CUSTOS!$M$29)&lt;&gt;0,1/(1 - CUSTOS!$M$29),1)</f>
        <v>1</v>
      </c>
    </row>
    <row r="37" spans="1:42" ht="11.25" customHeight="1" x14ac:dyDescent="0.3">
      <c r="A37" s="95"/>
      <c r="B37" s="17" t="s">
        <v>23</v>
      </c>
      <c r="C37" s="17" t="s">
        <v>41</v>
      </c>
      <c r="D37" s="17" t="s">
        <v>95</v>
      </c>
      <c r="E37" s="17" t="s">
        <v>25</v>
      </c>
      <c r="F37" s="17" t="s">
        <v>25</v>
      </c>
      <c r="G37" s="18" t="s">
        <v>83</v>
      </c>
      <c r="H37" s="18" t="s">
        <v>79</v>
      </c>
      <c r="I37" s="18">
        <f>'MERCADO TUSD'!$U$34</f>
        <v>0</v>
      </c>
      <c r="J37" s="15"/>
      <c r="L37" s="13">
        <f>'TR TUSD'!$L$37*'TR TUSD'!$L$60</f>
        <v>0</v>
      </c>
      <c r="M37" s="13">
        <f>'TR TUSD'!$M$37*'TR TUSD'!$M$60</f>
        <v>1.4353441472565804</v>
      </c>
      <c r="N37" s="13">
        <f ca="1">'TR TUSD'!$N$37*'TR TUSD'!$N$60</f>
        <v>0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90.721544900230441</v>
      </c>
      <c r="R37" s="13">
        <f>'TR TUSD'!$R$37*'TR TUSD'!$R$60</f>
        <v>14.336884650921309</v>
      </c>
      <c r="S37" s="13">
        <f>'TR TUSD'!$S$37*'TR TUSD'!$S$60</f>
        <v>0</v>
      </c>
      <c r="T37" s="13">
        <f ca="1">SUM($L$37:$S$37)</f>
        <v>106.49377369840833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66.938519670945723</v>
      </c>
      <c r="Z37" s="13">
        <f>'TR TUSD'!$Z$37</f>
        <v>0</v>
      </c>
      <c r="AA37" s="13">
        <f>'TR TUSD'!$AA$37</f>
        <v>0</v>
      </c>
      <c r="AB37" s="13">
        <f>SUM($U$37:$AA$37)</f>
        <v>66.938519670945723</v>
      </c>
      <c r="AC37" s="13">
        <f>'TR TUSD'!$AC$37*'TR TUSD'!$AC$60</f>
        <v>332.96385113234402</v>
      </c>
      <c r="AD37" s="13">
        <f>SUM($AC$37:$AC$37)</f>
        <v>332.96385113234402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35.650605099110166</v>
      </c>
      <c r="AI37" s="13">
        <f>'TR TUSD'!$AI$37*'TR TUSD'!$AI$60</f>
        <v>0</v>
      </c>
      <c r="AJ37" s="13">
        <f ca="1">'TR TUSD'!$AJ$37*'TR TUSD'!$AJ$60</f>
        <v>4.7154671064063232</v>
      </c>
      <c r="AK37" s="13">
        <f ca="1">'TR TUSD'!$AK$37*'TR TUSD'!$AK$60</f>
        <v>0</v>
      </c>
      <c r="AL37" s="13">
        <f ca="1">SUM($AH$37:$AK$37)</f>
        <v>40.366072205516488</v>
      </c>
      <c r="AM37" s="13">
        <f ca="1">SUMIF($L$4:$AL$4,"SUBTOTAL",$L$37:$AL$37)</f>
        <v>546.76221670721452</v>
      </c>
      <c r="AP37" s="13">
        <f>IF((1 - CUSTOS!$M$29)&lt;&gt;0,1/(1 - CUSTOS!$M$29),1)</f>
        <v>1</v>
      </c>
    </row>
    <row r="38" spans="1:42" ht="11.25" customHeight="1" x14ac:dyDescent="0.3">
      <c r="A38" s="95"/>
      <c r="B38" s="95" t="s">
        <v>92</v>
      </c>
      <c r="C38" s="95" t="s">
        <v>41</v>
      </c>
      <c r="D38" s="95" t="s">
        <v>96</v>
      </c>
      <c r="E38" s="95" t="s">
        <v>25</v>
      </c>
      <c r="F38" s="95" t="s">
        <v>25</v>
      </c>
      <c r="G38" s="18" t="s">
        <v>80</v>
      </c>
      <c r="H38" s="18" t="s">
        <v>79</v>
      </c>
      <c r="I38" s="18">
        <f>'MERCADO TUSD'!$U$35</f>
        <v>0</v>
      </c>
      <c r="J38" s="15"/>
      <c r="L38" s="13">
        <f>'TR TUSD'!$L$38*'TR TUSD'!$L$60</f>
        <v>0</v>
      </c>
      <c r="M38" s="13">
        <f>'TR TUSD'!$M$38*'TR TUSD'!$M$60</f>
        <v>1.4353441472565804</v>
      </c>
      <c r="N38" s="13">
        <f ca="1">'TR TUSD'!$N$38*'TR TUSD'!$N$60</f>
        <v>0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90.721544900230441</v>
      </c>
      <c r="R38" s="13">
        <f>'TR TUSD'!$R$38*'TR TUSD'!$R$60</f>
        <v>14.336884650921309</v>
      </c>
      <c r="S38" s="13">
        <f>'TR TUSD'!$S$38*'TR TUSD'!$S$60</f>
        <v>0</v>
      </c>
      <c r="T38" s="13">
        <f ca="1">SUM($L$38:$S$38)</f>
        <v>106.49377369840833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197.43597316606477</v>
      </c>
      <c r="Z38" s="13">
        <f>'TR TUSD'!$Z$38</f>
        <v>0</v>
      </c>
      <c r="AA38" s="13">
        <f>'TR TUSD'!$AA$38</f>
        <v>0</v>
      </c>
      <c r="AB38" s="13">
        <f>SUM($U$38:$AA$38)</f>
        <v>197.43597316606477</v>
      </c>
      <c r="AC38" s="13">
        <f>'TR TUSD'!$AC$38*'TR TUSD'!$AC$60</f>
        <v>982.24341739651356</v>
      </c>
      <c r="AD38" s="13">
        <f>SUM($AC$38:$AC$38)</f>
        <v>982.24341739651356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35.650605099110166</v>
      </c>
      <c r="AI38" s="13">
        <f>'TR TUSD'!$AI$38*'TR TUSD'!$AI$60</f>
        <v>0</v>
      </c>
      <c r="AJ38" s="13">
        <f ca="1">'TR TUSD'!$AJ$38*'TR TUSD'!$AJ$60</f>
        <v>4.7154671064063232</v>
      </c>
      <c r="AK38" s="13">
        <f ca="1">'TR TUSD'!$AK$38*'TR TUSD'!$AK$60</f>
        <v>0</v>
      </c>
      <c r="AL38" s="13">
        <f ca="1">SUM($AH$38:$AK$38)</f>
        <v>40.366072205516488</v>
      </c>
      <c r="AM38" s="13">
        <f ca="1">SUMIF($L$4:$AL$4,"SUBTOTAL",$L$38:$AL$38)</f>
        <v>1326.5392364665031</v>
      </c>
      <c r="AP38" s="13">
        <f>IF((1 - CUSTOS!$M$30)&lt;&gt;0,1/(1 - CUSTOS!$M$30),1)</f>
        <v>1</v>
      </c>
    </row>
    <row r="39" spans="1:42" ht="11.25" customHeight="1" x14ac:dyDescent="0.3">
      <c r="A39" s="95"/>
      <c r="B39" s="95"/>
      <c r="C39" s="95"/>
      <c r="D39" s="95"/>
      <c r="E39" s="95"/>
      <c r="F39" s="95"/>
      <c r="G39" s="18" t="s">
        <v>91</v>
      </c>
      <c r="H39" s="18" t="s">
        <v>79</v>
      </c>
      <c r="I39" s="18">
        <f>'MERCADO TUSD'!$U$36</f>
        <v>0</v>
      </c>
      <c r="J39" s="15"/>
      <c r="L39" s="13">
        <f>'TR TUSD'!$L$39*'TR TUSD'!$L$60</f>
        <v>0</v>
      </c>
      <c r="M39" s="13">
        <f>'TR TUSD'!$M$39*'TR TUSD'!$M$60</f>
        <v>1.4353441472565804</v>
      </c>
      <c r="N39" s="13">
        <f ca="1">'TR TUSD'!$N$39*'TR TUSD'!$N$60</f>
        <v>0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90.721544900230441</v>
      </c>
      <c r="R39" s="13">
        <f>'TR TUSD'!$R$39*'TR TUSD'!$R$60</f>
        <v>14.336884650921309</v>
      </c>
      <c r="S39" s="13">
        <f>'TR TUSD'!$S$39*'TR TUSD'!$S$60</f>
        <v>0</v>
      </c>
      <c r="T39" s="13">
        <f ca="1">SUM($L$39:$S$39)</f>
        <v>106.49377369840833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118.42750404236048</v>
      </c>
      <c r="Z39" s="13">
        <f>'TR TUSD'!$Z$39</f>
        <v>0</v>
      </c>
      <c r="AA39" s="13">
        <f>'TR TUSD'!$AA$39</f>
        <v>0</v>
      </c>
      <c r="AB39" s="13">
        <f>SUM($U$39:$AA$39)</f>
        <v>118.42750404236048</v>
      </c>
      <c r="AC39" s="13">
        <f>'TR TUSD'!$AC$39*'TR TUSD'!$AC$60</f>
        <v>589.34622010620433</v>
      </c>
      <c r="AD39" s="13">
        <f>SUM($AC$39:$AC$39)</f>
        <v>589.34622010620433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35.650605099110166</v>
      </c>
      <c r="AI39" s="13">
        <f>'TR TUSD'!$AI$39*'TR TUSD'!$AI$60</f>
        <v>0</v>
      </c>
      <c r="AJ39" s="13">
        <f ca="1">'TR TUSD'!$AJ$39*'TR TUSD'!$AJ$60</f>
        <v>4.7154671064063232</v>
      </c>
      <c r="AK39" s="13">
        <f ca="1">'TR TUSD'!$AK$39*'TR TUSD'!$AK$60</f>
        <v>0</v>
      </c>
      <c r="AL39" s="13">
        <f ca="1">SUM($AH$39:$AK$39)</f>
        <v>40.366072205516488</v>
      </c>
      <c r="AM39" s="13">
        <f ca="1">SUMIF($L$4:$AL$4,"SUBTOTAL",$L$39:$AL$39)</f>
        <v>854.63357005248963</v>
      </c>
      <c r="AP39" s="13">
        <f>IF((1 - CUSTOS!$M$30)&lt;&gt;0,1/(1 - CUSTOS!$M$30),1)</f>
        <v>1</v>
      </c>
    </row>
    <row r="40" spans="1:42" ht="11.25" customHeight="1" x14ac:dyDescent="0.3">
      <c r="A40" s="95"/>
      <c r="B40" s="95"/>
      <c r="C40" s="95"/>
      <c r="D40" s="95"/>
      <c r="E40" s="95"/>
      <c r="F40" s="95"/>
      <c r="G40" s="18" t="s">
        <v>81</v>
      </c>
      <c r="H40" s="18" t="s">
        <v>79</v>
      </c>
      <c r="I40" s="18">
        <f>'MERCADO TUSD'!$U$37</f>
        <v>0</v>
      </c>
      <c r="J40" s="15"/>
      <c r="L40" s="13">
        <f>'TR TUSD'!$L$40*'TR TUSD'!$L$60</f>
        <v>0</v>
      </c>
      <c r="M40" s="13">
        <f>'TR TUSD'!$M$40*'TR TUSD'!$M$60</f>
        <v>1.4353441472565804</v>
      </c>
      <c r="N40" s="13">
        <f ca="1">'TR TUSD'!$N$40*'TR TUSD'!$N$60</f>
        <v>0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90.721544900230441</v>
      </c>
      <c r="R40" s="13">
        <f>'TR TUSD'!$R$40*'TR TUSD'!$R$60</f>
        <v>14.336884650921309</v>
      </c>
      <c r="S40" s="13">
        <f>'TR TUSD'!$S$40*'TR TUSD'!$S$60</f>
        <v>0</v>
      </c>
      <c r="T40" s="13">
        <f ca="1">SUM($L$40:$S$40)</f>
        <v>106.49377369840833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39.504234561852144</v>
      </c>
      <c r="Z40" s="13">
        <f>'TR TUSD'!$Z$40</f>
        <v>0</v>
      </c>
      <c r="AA40" s="13">
        <f>'TR TUSD'!$AA$40</f>
        <v>0</v>
      </c>
      <c r="AB40" s="13">
        <f>SUM($U$40:$AA$40)</f>
        <v>39.504234561852144</v>
      </c>
      <c r="AC40" s="13">
        <f>'TR TUSD'!$AC$40*'TR TUSD'!$AC$60</f>
        <v>196.44874003540144</v>
      </c>
      <c r="AD40" s="13">
        <f>SUM($AC$40:$AC$40)</f>
        <v>196.44874003540144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35.650605099110166</v>
      </c>
      <c r="AI40" s="13">
        <f>'TR TUSD'!$AI$40*'TR TUSD'!$AI$60</f>
        <v>0</v>
      </c>
      <c r="AJ40" s="13">
        <f ca="1">'TR TUSD'!$AJ$40*'TR TUSD'!$AJ$60</f>
        <v>4.7154671064063232</v>
      </c>
      <c r="AK40" s="13">
        <f ca="1">'TR TUSD'!$AK$40*'TR TUSD'!$AK$60</f>
        <v>0</v>
      </c>
      <c r="AL40" s="13">
        <f ca="1">SUM($AH$40:$AK$40)</f>
        <v>40.366072205516488</v>
      </c>
      <c r="AM40" s="13">
        <f ca="1">SUMIF($L$4:$AL$4,"SUBTOTAL",$L$40:$AL$40)</f>
        <v>382.81282050117841</v>
      </c>
      <c r="AP40" s="13">
        <f>IF((1 - CUSTOS!$M$30)&lt;&gt;0,1/(1 - CUSTOS!$M$30),1)</f>
        <v>1</v>
      </c>
    </row>
    <row r="41" spans="1:42" ht="11.25" customHeight="1" x14ac:dyDescent="0.3">
      <c r="A41" s="95"/>
      <c r="B41" s="17" t="s">
        <v>23</v>
      </c>
      <c r="C41" s="17" t="s">
        <v>41</v>
      </c>
      <c r="D41" s="17" t="s">
        <v>96</v>
      </c>
      <c r="E41" s="17" t="s">
        <v>25</v>
      </c>
      <c r="F41" s="17" t="s">
        <v>25</v>
      </c>
      <c r="G41" s="18" t="s">
        <v>83</v>
      </c>
      <c r="H41" s="18" t="s">
        <v>79</v>
      </c>
      <c r="I41" s="18">
        <f>'MERCADO TUSD'!$U$38</f>
        <v>0</v>
      </c>
      <c r="J41" s="15"/>
      <c r="L41" s="13">
        <f>'TR TUSD'!$L$41*'TR TUSD'!$L$60</f>
        <v>0</v>
      </c>
      <c r="M41" s="13">
        <f>'TR TUSD'!$M$41*'TR TUSD'!$M$60</f>
        <v>1.4353441472565804</v>
      </c>
      <c r="N41" s="13">
        <f ca="1">'TR TUSD'!$N$41*'TR TUSD'!$N$60</f>
        <v>0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90.721544900230441</v>
      </c>
      <c r="R41" s="13">
        <f>'TR TUSD'!$R$41*'TR TUSD'!$R$60</f>
        <v>14.336884650921309</v>
      </c>
      <c r="S41" s="13">
        <f>'TR TUSD'!$S$41*'TR TUSD'!$S$60</f>
        <v>0</v>
      </c>
      <c r="T41" s="13">
        <f ca="1">SUM($L$41:$S$41)</f>
        <v>106.49377369840833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66.938519670945723</v>
      </c>
      <c r="Z41" s="13">
        <f>'TR TUSD'!$Z$41</f>
        <v>0</v>
      </c>
      <c r="AA41" s="13">
        <f>'TR TUSD'!$AA$41</f>
        <v>0</v>
      </c>
      <c r="AB41" s="13">
        <f>SUM($U$41:$AA$41)</f>
        <v>66.938519670945723</v>
      </c>
      <c r="AC41" s="13">
        <f>'TR TUSD'!$AC$41*'TR TUSD'!$AC$60</f>
        <v>332.96385113234402</v>
      </c>
      <c r="AD41" s="13">
        <f>SUM($AC$41:$AC$41)</f>
        <v>332.96385113234402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35.650605099110166</v>
      </c>
      <c r="AI41" s="13">
        <f>'TR TUSD'!$AI$41*'TR TUSD'!$AI$60</f>
        <v>0</v>
      </c>
      <c r="AJ41" s="13">
        <f ca="1">'TR TUSD'!$AJ$41*'TR TUSD'!$AJ$60</f>
        <v>4.7154671064063232</v>
      </c>
      <c r="AK41" s="13">
        <f ca="1">'TR TUSD'!$AK$41*'TR TUSD'!$AK$60</f>
        <v>0</v>
      </c>
      <c r="AL41" s="13">
        <f ca="1">SUM($AH$41:$AK$41)</f>
        <v>40.366072205516488</v>
      </c>
      <c r="AM41" s="13">
        <f ca="1">SUMIF($L$4:$AL$4,"SUBTOTAL",$L$41:$AL$41)</f>
        <v>546.76221670721452</v>
      </c>
      <c r="AP41" s="13">
        <f>IF((1 - CUSTOS!$M$30)&lt;&gt;0,1/(1 - CUSTOS!$M$30),1)</f>
        <v>1</v>
      </c>
    </row>
    <row r="42" spans="1:42" ht="11.25" customHeight="1" x14ac:dyDescent="0.3">
      <c r="A42" s="95"/>
      <c r="B42" s="95" t="s">
        <v>94</v>
      </c>
      <c r="C42" s="95" t="s">
        <v>41</v>
      </c>
      <c r="D42" s="17" t="s">
        <v>25</v>
      </c>
      <c r="E42" s="17" t="s">
        <v>25</v>
      </c>
      <c r="F42" s="17" t="s">
        <v>25</v>
      </c>
      <c r="G42" s="18" t="s">
        <v>83</v>
      </c>
      <c r="H42" s="18" t="s">
        <v>79</v>
      </c>
      <c r="I42" s="18">
        <f>'MERCADO TUSD'!$U$39</f>
        <v>0</v>
      </c>
      <c r="J42" s="15"/>
      <c r="L42" s="13">
        <f>'TR TUSD'!$L$42*'TR TUSD'!$L$60</f>
        <v>0</v>
      </c>
      <c r="M42" s="13">
        <f>'TR TUSD'!$M$42*'TR TUSD'!$M$60</f>
        <v>1.4353441472565804</v>
      </c>
      <c r="N42" s="13">
        <f ca="1">'TR TUSD'!$N$42*'TR TUSD'!$N$60</f>
        <v>0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90.721544900230441</v>
      </c>
      <c r="R42" s="13">
        <f>'TR TUSD'!$R$42*'TR TUSD'!$R$60</f>
        <v>14.336884650921309</v>
      </c>
      <c r="S42" s="13">
        <f>'TR TUSD'!$S$42*'TR TUSD'!$S$60</f>
        <v>0</v>
      </c>
      <c r="T42" s="13">
        <f ca="1">SUM($L$42:$S$42)</f>
        <v>106.49377369840833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66.938519670945723</v>
      </c>
      <c r="Z42" s="13">
        <f>'TR TUSD'!$Z$42</f>
        <v>0</v>
      </c>
      <c r="AA42" s="13">
        <f>'TR TUSD'!$AA$42</f>
        <v>0</v>
      </c>
      <c r="AB42" s="13">
        <f>SUM($U$42:$AA$42)</f>
        <v>66.938519670945723</v>
      </c>
      <c r="AC42" s="13">
        <f>'TR TUSD'!$AC$42*'TR TUSD'!$AC$60</f>
        <v>332.96385113234402</v>
      </c>
      <c r="AD42" s="13">
        <f>SUM($AC$42:$AC$42)</f>
        <v>332.96385113234402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35.650605099110166</v>
      </c>
      <c r="AI42" s="13">
        <f>'TR TUSD'!$AI$42*'TR TUSD'!$AI$60</f>
        <v>0</v>
      </c>
      <c r="AJ42" s="13">
        <f ca="1">'TR TUSD'!$AJ$42*'TR TUSD'!$AJ$60</f>
        <v>4.7154671064063232</v>
      </c>
      <c r="AK42" s="13">
        <f ca="1">'TR TUSD'!$AK$42*'TR TUSD'!$AK$60</f>
        <v>0</v>
      </c>
      <c r="AL42" s="13">
        <f ca="1">SUM($AH$42:$AK$42)</f>
        <v>40.366072205516488</v>
      </c>
      <c r="AM42" s="13">
        <f ca="1">SUMIF($L$4:$AL$4,"SUBTOTAL",$L$42:$AL$42)</f>
        <v>546.76221670721452</v>
      </c>
      <c r="AP42" s="13">
        <f>IF((1 - CUSTOS!$M$28)&lt;&gt;0,1/(1 - CUSTOS!$M$28),1)</f>
        <v>1</v>
      </c>
    </row>
    <row r="43" spans="1:42" ht="11.25" customHeight="1" x14ac:dyDescent="0.3">
      <c r="A43" s="95"/>
      <c r="B43" s="95"/>
      <c r="C43" s="95"/>
      <c r="D43" s="17" t="s">
        <v>95</v>
      </c>
      <c r="E43" s="17" t="s">
        <v>25</v>
      </c>
      <c r="F43" s="17" t="s">
        <v>25</v>
      </c>
      <c r="G43" s="18" t="s">
        <v>83</v>
      </c>
      <c r="H43" s="18" t="s">
        <v>79</v>
      </c>
      <c r="I43" s="18">
        <f>'MERCADO TUSD'!$U$40</f>
        <v>0</v>
      </c>
      <c r="J43" s="15"/>
      <c r="L43" s="13">
        <f>'TR TUSD'!$L$43*'TR TUSD'!$L$60</f>
        <v>0</v>
      </c>
      <c r="M43" s="13">
        <f>'TR TUSD'!$M$43*'TR TUSD'!$M$60</f>
        <v>1.4353441472565804</v>
      </c>
      <c r="N43" s="13">
        <f ca="1">'TR TUSD'!$N$43*'TR TUSD'!$N$60</f>
        <v>0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90.721544900230441</v>
      </c>
      <c r="R43" s="13">
        <f>'TR TUSD'!$R$43*'TR TUSD'!$R$60</f>
        <v>14.336884650921309</v>
      </c>
      <c r="S43" s="13">
        <f>'TR TUSD'!$S$43*'TR TUSD'!$S$60</f>
        <v>0</v>
      </c>
      <c r="T43" s="13">
        <f ca="1">SUM($L$43:$S$43)</f>
        <v>106.49377369840833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66.938519670945723</v>
      </c>
      <c r="Z43" s="13">
        <f>'TR TUSD'!$Z$43</f>
        <v>0</v>
      </c>
      <c r="AA43" s="13">
        <f>'TR TUSD'!$AA$43</f>
        <v>0</v>
      </c>
      <c r="AB43" s="13">
        <f>SUM($U$43:$AA$43)</f>
        <v>66.938519670945723</v>
      </c>
      <c r="AC43" s="13">
        <f>'TR TUSD'!$AC$43*'TR TUSD'!$AC$60</f>
        <v>332.96385113234402</v>
      </c>
      <c r="AD43" s="13">
        <f>SUM($AC$43:$AC$43)</f>
        <v>332.96385113234402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35.650605099110166</v>
      </c>
      <c r="AI43" s="13">
        <f>'TR TUSD'!$AI$43*'TR TUSD'!$AI$60</f>
        <v>0</v>
      </c>
      <c r="AJ43" s="13">
        <f ca="1">'TR TUSD'!$AJ$43*'TR TUSD'!$AJ$60</f>
        <v>4.7154671064063232</v>
      </c>
      <c r="AK43" s="13">
        <f ca="1">'TR TUSD'!$AK$43*'TR TUSD'!$AK$60</f>
        <v>0</v>
      </c>
      <c r="AL43" s="13">
        <f ca="1">SUM($AH$43:$AK$43)</f>
        <v>40.366072205516488</v>
      </c>
      <c r="AM43" s="13">
        <f ca="1">SUMIF($L$4:$AL$4,"SUBTOTAL",$L$43:$AL$43)</f>
        <v>546.76221670721452</v>
      </c>
      <c r="AP43" s="13">
        <f>IF((1 - CUSTOS!$M$29)&lt;&gt;0,1/(1 - CUSTOS!$M$29),1)</f>
        <v>1</v>
      </c>
    </row>
    <row r="44" spans="1:42" ht="11.25" customHeight="1" x14ac:dyDescent="0.3">
      <c r="A44" s="95"/>
      <c r="B44" s="95"/>
      <c r="C44" s="95"/>
      <c r="D44" s="17" t="s">
        <v>96</v>
      </c>
      <c r="E44" s="17" t="s">
        <v>25</v>
      </c>
      <c r="F44" s="17" t="s">
        <v>25</v>
      </c>
      <c r="G44" s="18" t="s">
        <v>83</v>
      </c>
      <c r="H44" s="18" t="s">
        <v>79</v>
      </c>
      <c r="I44" s="18">
        <f>'MERCADO TUSD'!$U$41</f>
        <v>0</v>
      </c>
      <c r="J44" s="15"/>
      <c r="L44" s="13">
        <f>'TR TUSD'!$L$44*'TR TUSD'!$L$60</f>
        <v>0</v>
      </c>
      <c r="M44" s="13">
        <f>'TR TUSD'!$M$44*'TR TUSD'!$M$60</f>
        <v>1.4353441472565804</v>
      </c>
      <c r="N44" s="13">
        <f ca="1">'TR TUSD'!$N$44*'TR TUSD'!$N$60</f>
        <v>0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90.721544900230441</v>
      </c>
      <c r="R44" s="13">
        <f>'TR TUSD'!$R$44*'TR TUSD'!$R$60</f>
        <v>14.336884650921309</v>
      </c>
      <c r="S44" s="13">
        <f>'TR TUSD'!$S$44*'TR TUSD'!$S$60</f>
        <v>0</v>
      </c>
      <c r="T44" s="13">
        <f ca="1">SUM($L$44:$S$44)</f>
        <v>106.49377369840833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66.938519670945723</v>
      </c>
      <c r="Z44" s="13">
        <f>'TR TUSD'!$Z$44</f>
        <v>0</v>
      </c>
      <c r="AA44" s="13">
        <f>'TR TUSD'!$AA$44</f>
        <v>0</v>
      </c>
      <c r="AB44" s="13">
        <f>SUM($U$44:$AA$44)</f>
        <v>66.938519670945723</v>
      </c>
      <c r="AC44" s="13">
        <f>'TR TUSD'!$AC$44*'TR TUSD'!$AC$60</f>
        <v>332.96385113234402</v>
      </c>
      <c r="AD44" s="13">
        <f>SUM($AC$44:$AC$44)</f>
        <v>332.96385113234402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35.650605099110166</v>
      </c>
      <c r="AI44" s="13">
        <f>'TR TUSD'!$AI$44*'TR TUSD'!$AI$60</f>
        <v>0</v>
      </c>
      <c r="AJ44" s="13">
        <f ca="1">'TR TUSD'!$AJ$44*'TR TUSD'!$AJ$60</f>
        <v>4.7154671064063232</v>
      </c>
      <c r="AK44" s="13">
        <f ca="1">'TR TUSD'!$AK$44*'TR TUSD'!$AK$60</f>
        <v>0</v>
      </c>
      <c r="AL44" s="13">
        <f ca="1">SUM($AH$44:$AK$44)</f>
        <v>40.366072205516488</v>
      </c>
      <c r="AM44" s="13">
        <f ca="1">SUMIF($L$4:$AL$4,"SUBTOTAL",$L$44:$AL$44)</f>
        <v>546.76221670721452</v>
      </c>
      <c r="AP44" s="13">
        <f>IF((1 - CUSTOS!$M$30)&lt;&gt;0,1/(1 - CUSTOS!$M$30),1)</f>
        <v>1</v>
      </c>
    </row>
    <row r="45" spans="1:42" ht="11.25" customHeight="1" x14ac:dyDescent="0.3">
      <c r="A45" s="95" t="s">
        <v>32</v>
      </c>
      <c r="B45" s="95" t="s">
        <v>92</v>
      </c>
      <c r="C45" s="95" t="s">
        <v>25</v>
      </c>
      <c r="D45" s="95" t="s">
        <v>25</v>
      </c>
      <c r="E45" s="95" t="s">
        <v>25</v>
      </c>
      <c r="F45" s="95" t="s">
        <v>25</v>
      </c>
      <c r="G45" s="18" t="s">
        <v>80</v>
      </c>
      <c r="H45" s="18" t="s">
        <v>79</v>
      </c>
      <c r="I45" s="18">
        <f>'MERCADO TUSD'!$U$42</f>
        <v>0</v>
      </c>
      <c r="J45" s="15"/>
      <c r="L45" s="13">
        <f>'TR TUSD'!$L$45*'TR TUSD'!$L$60</f>
        <v>0</v>
      </c>
      <c r="M45" s="13">
        <f>'TR TUSD'!$M$45*'TR TUSD'!$M$60</f>
        <v>1.4353441472565804</v>
      </c>
      <c r="N45" s="13">
        <f ca="1">'TR TUSD'!$N$45*'TR TUSD'!$N$60</f>
        <v>0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90.721544900230441</v>
      </c>
      <c r="R45" s="13">
        <f>'TR TUSD'!$R$45*'TR TUSD'!$R$60</f>
        <v>14.336884650921309</v>
      </c>
      <c r="S45" s="13">
        <f>'TR TUSD'!$S$45*'TR TUSD'!$S$60</f>
        <v>0</v>
      </c>
      <c r="T45" s="13">
        <f ca="1">SUM($L$45:$S$45)</f>
        <v>106.49377369840833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227.53984709529789</v>
      </c>
      <c r="Z45" s="13">
        <f>'TR TUSD'!$Z$45</f>
        <v>0</v>
      </c>
      <c r="AA45" s="13">
        <f>'TR TUSD'!$AA$45</f>
        <v>0</v>
      </c>
      <c r="AB45" s="13">
        <f>SUM($U$45:$AA$45)</f>
        <v>227.53984709529789</v>
      </c>
      <c r="AC45" s="13">
        <f>'TR TUSD'!$AC$45*'TR TUSD'!$AC$60</f>
        <v>1132.0772069621671</v>
      </c>
      <c r="AD45" s="13">
        <f>SUM($AC$45:$AC$45)</f>
        <v>1132.0772069621671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35.650605099110166</v>
      </c>
      <c r="AI45" s="13">
        <f>'TR TUSD'!$AI$45*'TR TUSD'!$AI$60</f>
        <v>0</v>
      </c>
      <c r="AJ45" s="13">
        <f ca="1">'TR TUSD'!$AJ$45*'TR TUSD'!$AJ$60</f>
        <v>4.7154671064063232</v>
      </c>
      <c r="AK45" s="13">
        <f ca="1">'TR TUSD'!$AK$45*'TR TUSD'!$AK$60</f>
        <v>0</v>
      </c>
      <c r="AL45" s="13">
        <f ca="1">SUM($AH$45:$AK$45)</f>
        <v>40.366072205516488</v>
      </c>
      <c r="AM45" s="13">
        <f ca="1">SUMIF($L$4:$AL$4,"SUBTOTAL",$L$45:$AL$45)</f>
        <v>1506.4768999613898</v>
      </c>
      <c r="AP45" s="13">
        <f>IF((1 - CUSTOS!$M$31)&lt;&gt;0,1/(1 - CUSTOS!$M$31),1)</f>
        <v>1</v>
      </c>
    </row>
    <row r="46" spans="1:42" ht="11.25" customHeight="1" x14ac:dyDescent="0.3">
      <c r="A46" s="95"/>
      <c r="B46" s="95"/>
      <c r="C46" s="95"/>
      <c r="D46" s="95"/>
      <c r="E46" s="95"/>
      <c r="F46" s="95"/>
      <c r="G46" s="18" t="s">
        <v>91</v>
      </c>
      <c r="H46" s="18" t="s">
        <v>79</v>
      </c>
      <c r="I46" s="18">
        <f>'MERCADO TUSD'!$U$43</f>
        <v>0</v>
      </c>
      <c r="J46" s="15"/>
      <c r="L46" s="13">
        <f>'TR TUSD'!$L$46*'TR TUSD'!$L$60</f>
        <v>0</v>
      </c>
      <c r="M46" s="13">
        <f>'TR TUSD'!$M$46*'TR TUSD'!$M$60</f>
        <v>1.4353441472565804</v>
      </c>
      <c r="N46" s="13">
        <f ca="1">'TR TUSD'!$N$46*'TR TUSD'!$N$60</f>
        <v>0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90.721544900230441</v>
      </c>
      <c r="R46" s="13">
        <f>'TR TUSD'!$R$46*'TR TUSD'!$R$60</f>
        <v>14.336884650921309</v>
      </c>
      <c r="S46" s="13">
        <f>'TR TUSD'!$S$46*'TR TUSD'!$S$60</f>
        <v>0</v>
      </c>
      <c r="T46" s="13">
        <f ca="1">SUM($L$46:$S$46)</f>
        <v>106.49377369840833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136.51822828096567</v>
      </c>
      <c r="Z46" s="13">
        <f>'TR TUSD'!$Z$46</f>
        <v>0</v>
      </c>
      <c r="AA46" s="13">
        <f>'TR TUSD'!$AA$46</f>
        <v>0</v>
      </c>
      <c r="AB46" s="13">
        <f>SUM($U$46:$AA$46)</f>
        <v>136.51822828096567</v>
      </c>
      <c r="AC46" s="13">
        <f>'TR TUSD'!$AC$46*'TR TUSD'!$AC$60</f>
        <v>679.24638073339895</v>
      </c>
      <c r="AD46" s="13">
        <f>SUM($AC$46:$AC$46)</f>
        <v>679.24638073339895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35.650605099110166</v>
      </c>
      <c r="AI46" s="13">
        <f>'TR TUSD'!$AI$46*'TR TUSD'!$AI$60</f>
        <v>0</v>
      </c>
      <c r="AJ46" s="13">
        <f ca="1">'TR TUSD'!$AJ$46*'TR TUSD'!$AJ$60</f>
        <v>4.7154671064063232</v>
      </c>
      <c r="AK46" s="13">
        <f ca="1">'TR TUSD'!$AK$46*'TR TUSD'!$AK$60</f>
        <v>0</v>
      </c>
      <c r="AL46" s="13">
        <f ca="1">SUM($AH$46:$AK$46)</f>
        <v>40.366072205516488</v>
      </c>
      <c r="AM46" s="13">
        <f ca="1">SUMIF($L$4:$AL$4,"SUBTOTAL",$L$46:$AL$46)</f>
        <v>962.62445491828953</v>
      </c>
      <c r="AP46" s="13">
        <f>IF((1 - CUSTOS!$M$31)&lt;&gt;0,1/(1 - CUSTOS!$M$31),1)</f>
        <v>1</v>
      </c>
    </row>
    <row r="47" spans="1:42" ht="11.25" customHeight="1" x14ac:dyDescent="0.3">
      <c r="A47" s="95"/>
      <c r="B47" s="95"/>
      <c r="C47" s="95"/>
      <c r="D47" s="95"/>
      <c r="E47" s="95"/>
      <c r="F47" s="95"/>
      <c r="G47" s="18" t="s">
        <v>81</v>
      </c>
      <c r="H47" s="18" t="s">
        <v>79</v>
      </c>
      <c r="I47" s="18">
        <f>'MERCADO TUSD'!$U$44</f>
        <v>0</v>
      </c>
      <c r="J47" s="15"/>
      <c r="L47" s="13">
        <f>'TR TUSD'!$L$47*'TR TUSD'!$L$60</f>
        <v>0</v>
      </c>
      <c r="M47" s="13">
        <f>'TR TUSD'!$M$47*'TR TUSD'!$M$60</f>
        <v>1.4353441472565804</v>
      </c>
      <c r="N47" s="13">
        <f ca="1">'TR TUSD'!$N$47*'TR TUSD'!$N$60</f>
        <v>0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90.721544900230441</v>
      </c>
      <c r="R47" s="13">
        <f>'TR TUSD'!$R$47*'TR TUSD'!$R$60</f>
        <v>14.336884650921309</v>
      </c>
      <c r="S47" s="13">
        <f>'TR TUSD'!$S$47*'TR TUSD'!$S$60</f>
        <v>0</v>
      </c>
      <c r="T47" s="13">
        <f ca="1">SUM($L$47:$S$47)</f>
        <v>106.49377369840833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45.525009347698763</v>
      </c>
      <c r="Z47" s="13">
        <f>'TR TUSD'!$Z$47</f>
        <v>0</v>
      </c>
      <c r="AA47" s="13">
        <f>'TR TUSD'!$AA$47</f>
        <v>0</v>
      </c>
      <c r="AB47" s="13">
        <f>SUM($U$47:$AA$47)</f>
        <v>45.525009347698763</v>
      </c>
      <c r="AC47" s="13">
        <f>'TR TUSD'!$AC$47*'TR TUSD'!$AC$60</f>
        <v>226.41555450463088</v>
      </c>
      <c r="AD47" s="13">
        <f>SUM($AC$47:$AC$47)</f>
        <v>226.41555450463088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35.650605099110166</v>
      </c>
      <c r="AI47" s="13">
        <f>'TR TUSD'!$AI$47*'TR TUSD'!$AI$60</f>
        <v>0</v>
      </c>
      <c r="AJ47" s="13">
        <f ca="1">'TR TUSD'!$AJ$47*'TR TUSD'!$AJ$60</f>
        <v>4.7154671064063232</v>
      </c>
      <c r="AK47" s="13">
        <f ca="1">'TR TUSD'!$AK$47*'TR TUSD'!$AK$60</f>
        <v>0</v>
      </c>
      <c r="AL47" s="13">
        <f ca="1">SUM($AH$47:$AK$47)</f>
        <v>40.366072205516488</v>
      </c>
      <c r="AM47" s="13">
        <f ca="1">SUMIF($L$4:$AL$4,"SUBTOTAL",$L$47:$AL$47)</f>
        <v>418.80040975625445</v>
      </c>
      <c r="AP47" s="13">
        <f>IF((1 - CUSTOS!$M$31)&lt;&gt;0,1/(1 - CUSTOS!$M$31),1)</f>
        <v>1</v>
      </c>
    </row>
    <row r="48" spans="1:42" ht="11.25" customHeight="1" x14ac:dyDescent="0.3">
      <c r="A48" s="95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83</v>
      </c>
      <c r="H48" s="18" t="s">
        <v>79</v>
      </c>
      <c r="I48" s="18">
        <f>'MERCADO TUSD'!$U$45</f>
        <v>7750.1880000000001</v>
      </c>
      <c r="J48" s="15"/>
      <c r="L48" s="13">
        <f>'TR TUSD'!$L$48*'TR TUSD'!$L$60</f>
        <v>0</v>
      </c>
      <c r="M48" s="13">
        <f>'TR TUSD'!$M$48*'TR TUSD'!$M$60</f>
        <v>1.4353441472565804</v>
      </c>
      <c r="N48" s="13">
        <f ca="1">'TR TUSD'!$N$48*'TR TUSD'!$N$60</f>
        <v>0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90.721544900230441</v>
      </c>
      <c r="R48" s="13">
        <f>'TR TUSD'!$R$48*'TR TUSD'!$R$60</f>
        <v>14.336884650921309</v>
      </c>
      <c r="S48" s="13">
        <f>'TR TUSD'!$S$48*'TR TUSD'!$S$60</f>
        <v>0</v>
      </c>
      <c r="T48" s="13">
        <f ca="1">SUM($L$48:$S$48)</f>
        <v>106.49377369840833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66.938519670945723</v>
      </c>
      <c r="Z48" s="13">
        <f>'TR TUSD'!$Z$48</f>
        <v>0</v>
      </c>
      <c r="AA48" s="13">
        <f>'TR TUSD'!$AA$48</f>
        <v>0</v>
      </c>
      <c r="AB48" s="13">
        <f>SUM($U$48:$AA$48)</f>
        <v>66.938519670945723</v>
      </c>
      <c r="AC48" s="13">
        <f>'TR TUSD'!$AC$48*'TR TUSD'!$AC$60</f>
        <v>332.96385113234402</v>
      </c>
      <c r="AD48" s="13">
        <f>SUM($AC$48:$AC$48)</f>
        <v>332.96385113234402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35.650605099110166</v>
      </c>
      <c r="AI48" s="13">
        <f>'TR TUSD'!$AI$48*'TR TUSD'!$AI$60</f>
        <v>0</v>
      </c>
      <c r="AJ48" s="13">
        <f ca="1">'TR TUSD'!$AJ$48*'TR TUSD'!$AJ$60</f>
        <v>4.7154671064063232</v>
      </c>
      <c r="AK48" s="13">
        <f ca="1">'TR TUSD'!$AK$48*'TR TUSD'!$AK$60</f>
        <v>0</v>
      </c>
      <c r="AL48" s="13">
        <f ca="1">SUM($AH$48:$AK$48)</f>
        <v>40.366072205516488</v>
      </c>
      <c r="AM48" s="13">
        <f ca="1">SUMIF($L$4:$AL$4,"SUBTOTAL",$L$48:$AL$48)</f>
        <v>546.76221670721452</v>
      </c>
      <c r="AP48" s="13">
        <f>IF((1 - CUSTOS!$M$31)&lt;&gt;0,1/(1 - CUSTOS!$M$31),1)</f>
        <v>1</v>
      </c>
    </row>
    <row r="49" spans="1:42" ht="11.25" customHeight="1" x14ac:dyDescent="0.3">
      <c r="A49" s="95"/>
      <c r="B49" s="17" t="s">
        <v>94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83</v>
      </c>
      <c r="H49" s="18" t="s">
        <v>79</v>
      </c>
      <c r="I49" s="18">
        <f>'MERCADO TUSD'!$U$46</f>
        <v>0</v>
      </c>
      <c r="J49" s="15"/>
      <c r="L49" s="13">
        <f>'TR TUSD'!$L$49*'TR TUSD'!$L$60</f>
        <v>0</v>
      </c>
      <c r="M49" s="13">
        <f>'TR TUSD'!$M$49*'TR TUSD'!$M$60</f>
        <v>1.4353441472565804</v>
      </c>
      <c r="N49" s="13">
        <f ca="1">'TR TUSD'!$N$49*'TR TUSD'!$N$60</f>
        <v>0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90.721544900230441</v>
      </c>
      <c r="R49" s="13">
        <f>'TR TUSD'!$R$49*'TR TUSD'!$R$60</f>
        <v>14.336884650921309</v>
      </c>
      <c r="S49" s="13">
        <f>'TR TUSD'!$S$49*'TR TUSD'!$S$60</f>
        <v>0</v>
      </c>
      <c r="T49" s="13">
        <f ca="1">SUM($L$49:$S$49)</f>
        <v>106.49377369840833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66.938519670945723</v>
      </c>
      <c r="Z49" s="13">
        <f>'TR TUSD'!$Z$49</f>
        <v>0</v>
      </c>
      <c r="AA49" s="13">
        <f>'TR TUSD'!$AA$49</f>
        <v>0</v>
      </c>
      <c r="AB49" s="13">
        <f>SUM($U$49:$AA$49)</f>
        <v>66.938519670945723</v>
      </c>
      <c r="AC49" s="13">
        <f>'TR TUSD'!$AC$49*'TR TUSD'!$AC$60</f>
        <v>332.96385113234402</v>
      </c>
      <c r="AD49" s="13">
        <f>SUM($AC$49:$AC$49)</f>
        <v>332.96385113234402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35.650605099110166</v>
      </c>
      <c r="AI49" s="13">
        <f>'TR TUSD'!$AI$49*'TR TUSD'!$AI$60</f>
        <v>0</v>
      </c>
      <c r="AJ49" s="13">
        <f ca="1">'TR TUSD'!$AJ$49*'TR TUSD'!$AJ$60</f>
        <v>4.7154671064063232</v>
      </c>
      <c r="AK49" s="13">
        <f ca="1">'TR TUSD'!$AK$49*'TR TUSD'!$AK$60</f>
        <v>0</v>
      </c>
      <c r="AL49" s="13">
        <f ca="1">SUM($AH$49:$AK$49)</f>
        <v>40.366072205516488</v>
      </c>
      <c r="AM49" s="13">
        <f ca="1">SUMIF($L$4:$AL$4,"SUBTOTAL",$L$49:$AL$49)</f>
        <v>546.76221670721452</v>
      </c>
      <c r="AP49" s="13">
        <f>IF((1 - CUSTOS!$M$31)&lt;&gt;0,1/(1 - CUSTOS!$M$31),1)</f>
        <v>1</v>
      </c>
    </row>
    <row r="50" spans="1:42" ht="11.25" customHeight="1" x14ac:dyDescent="0.3">
      <c r="A50" s="95" t="s">
        <v>43</v>
      </c>
      <c r="B50" s="95" t="s">
        <v>23</v>
      </c>
      <c r="C50" s="95" t="s">
        <v>44</v>
      </c>
      <c r="D50" s="17" t="s">
        <v>97</v>
      </c>
      <c r="E50" s="17" t="s">
        <v>25</v>
      </c>
      <c r="F50" s="17" t="s">
        <v>25</v>
      </c>
      <c r="G50" s="18" t="s">
        <v>83</v>
      </c>
      <c r="H50" s="18" t="s">
        <v>79</v>
      </c>
      <c r="I50" s="18">
        <f>'MERCADO TUSD'!$U$47</f>
        <v>0</v>
      </c>
      <c r="J50" s="15"/>
      <c r="L50" s="13">
        <f>'TR TUSD'!$L$50*'TR TUSD'!$L$60</f>
        <v>0</v>
      </c>
      <c r="M50" s="13">
        <f>'TR TUSD'!$M$50*'TR TUSD'!$M$60</f>
        <v>0.78943928099111937</v>
      </c>
      <c r="N50" s="13">
        <f ca="1">'TR TUSD'!$N$50*'TR TUSD'!$N$60</f>
        <v>0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49.896849695126747</v>
      </c>
      <c r="R50" s="13">
        <f>'TR TUSD'!$R$50*'TR TUSD'!$R$60</f>
        <v>7.8852865580067206</v>
      </c>
      <c r="S50" s="13">
        <f>'TR TUSD'!$S$50*'TR TUSD'!$S$60</f>
        <v>0</v>
      </c>
      <c r="T50" s="13">
        <f ca="1">SUM($L$50:$S$50)</f>
        <v>58.571575534124584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36.816185819020149</v>
      </c>
      <c r="Z50" s="13">
        <f>'TR TUSD'!$Z$50</f>
        <v>0</v>
      </c>
      <c r="AA50" s="13">
        <f>'TR TUSD'!$AA$50</f>
        <v>0</v>
      </c>
      <c r="AB50" s="13">
        <f>SUM($U$50:$AA$50)</f>
        <v>36.816185819020149</v>
      </c>
      <c r="AC50" s="13">
        <f>'TR TUSD'!$AC$50*'TR TUSD'!$AC$60</f>
        <v>183.13011812278921</v>
      </c>
      <c r="AD50" s="13">
        <f>SUM($AC$50:$AC$50)</f>
        <v>183.13011812278921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19.60783280451059</v>
      </c>
      <c r="AI50" s="13">
        <f>'TR TUSD'!$AI$50*'TR TUSD'!$AI$60</f>
        <v>0</v>
      </c>
      <c r="AJ50" s="13">
        <f ca="1">'TR TUSD'!$AJ$50*'TR TUSD'!$AJ$60</f>
        <v>2.5935069085234779</v>
      </c>
      <c r="AK50" s="13">
        <f ca="1">'TR TUSD'!$AK$50*'TR TUSD'!$AK$60</f>
        <v>0</v>
      </c>
      <c r="AL50" s="13">
        <f ca="1">SUM($AH$50:$AK$50)</f>
        <v>22.201339713034066</v>
      </c>
      <c r="AM50" s="13">
        <f ca="1">SUMIF($L$4:$AL$4,"SUBTOTAL",$L$50:$AL$50)</f>
        <v>300.719219188968</v>
      </c>
      <c r="AP50" s="13">
        <f>IF((1 - CUSTOS!$M$32)&lt;&gt;0,1/(1 - CUSTOS!$M$32),1)</f>
        <v>1.8181818181818181</v>
      </c>
    </row>
    <row r="51" spans="1:42" ht="11.25" customHeight="1" x14ac:dyDescent="0.3">
      <c r="A51" s="95"/>
      <c r="B51" s="95"/>
      <c r="C51" s="95"/>
      <c r="D51" s="18" t="s">
        <v>45</v>
      </c>
      <c r="E51" s="18" t="s">
        <v>25</v>
      </c>
      <c r="F51" s="18" t="s">
        <v>25</v>
      </c>
      <c r="G51" s="18" t="s">
        <v>83</v>
      </c>
      <c r="H51" s="18" t="s">
        <v>79</v>
      </c>
      <c r="I51" s="18">
        <f>'MERCADO TUSD'!$U$48</f>
        <v>1776.7269999999999</v>
      </c>
      <c r="J51" s="15"/>
      <c r="L51" s="13">
        <f>'TR TUSD'!$L$51*'TR TUSD'!$L$60</f>
        <v>0</v>
      </c>
      <c r="M51" s="13">
        <f>'TR TUSD'!$M$51*'TR TUSD'!$M$60</f>
        <v>0.86120648835394831</v>
      </c>
      <c r="N51" s="13">
        <f ca="1">'TR TUSD'!$N$51*'TR TUSD'!$N$60</f>
        <v>0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54.432926940138266</v>
      </c>
      <c r="R51" s="13">
        <f>'TR TUSD'!$R$51*'TR TUSD'!$R$60</f>
        <v>8.6021307905527848</v>
      </c>
      <c r="S51" s="13">
        <f>'TR TUSD'!$S$51*'TR TUSD'!$S$60</f>
        <v>0</v>
      </c>
      <c r="T51" s="13">
        <f ca="1">SUM($L$51:$S$51)</f>
        <v>63.896264219045001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40.163111802567428</v>
      </c>
      <c r="Z51" s="13">
        <f>'TR TUSD'!$Z$51</f>
        <v>0</v>
      </c>
      <c r="AA51" s="13">
        <f>'TR TUSD'!$AA$51</f>
        <v>0</v>
      </c>
      <c r="AB51" s="13">
        <f>SUM($U$51:$AA$51)</f>
        <v>40.163111802567428</v>
      </c>
      <c r="AC51" s="13">
        <f>'TR TUSD'!$AC$51*'TR TUSD'!$AC$60</f>
        <v>199.77831067940639</v>
      </c>
      <c r="AD51" s="13">
        <f>SUM($AC$51:$AC$51)</f>
        <v>199.77831067940639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21.390363059466097</v>
      </c>
      <c r="AI51" s="13">
        <f>'TR TUSD'!$AI$51*'TR TUSD'!$AI$60</f>
        <v>0</v>
      </c>
      <c r="AJ51" s="13">
        <f ca="1">'TR TUSD'!$AJ$51*'TR TUSD'!$AJ$60</f>
        <v>2.8292802638437937</v>
      </c>
      <c r="AK51" s="13">
        <f ca="1">'TR TUSD'!$AK$51*'TR TUSD'!$AK$60</f>
        <v>0</v>
      </c>
      <c r="AL51" s="13">
        <f ca="1">SUM($AH$51:$AK$51)</f>
        <v>24.219643323309889</v>
      </c>
      <c r="AM51" s="13">
        <f ca="1">SUMIF($L$4:$AL$4,"SUBTOTAL",$L$51:$AL$51)</f>
        <v>328.05733002432868</v>
      </c>
      <c r="AP51" s="13">
        <f>IF((1 - CUSTOS!$M$33)&lt;&gt;0,1/(1 - CUSTOS!$M$33),1)</f>
        <v>1.6666666666666667</v>
      </c>
    </row>
    <row r="53" spans="1:42" ht="11.25" customHeight="1" x14ac:dyDescent="0.3">
      <c r="K53" s="16" t="s">
        <v>503</v>
      </c>
      <c r="L53" s="13">
        <f>SUMPRODUCT($I$5:$I51,$L$5:$L51)</f>
        <v>0</v>
      </c>
      <c r="M53" s="13">
        <f>SUMPRODUCT($I$5:$I51,$M$5:$M51)</f>
        <v>63183.953109912618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4205666.0145299975</v>
      </c>
      <c r="R53" s="13">
        <f>SUMPRODUCT($I$5:$I51,$R$5:$R51)</f>
        <v>695904.06842999987</v>
      </c>
      <c r="S53" s="13">
        <f>SUMPRODUCT($I$5:$I51,$S$5:$S51)</f>
        <v>0</v>
      </c>
      <c r="T53" s="13">
        <f ca="1">SUMPRODUCT($I$5:$I51,$T$5:$T51)</f>
        <v>4964754.036069911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3453247.6839800002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3453247.6839800002</v>
      </c>
      <c r="AC53" s="13">
        <f>SUMPRODUCT($I$5:$I51,$AC$5:$AC51)</f>
        <v>15711091.530000003</v>
      </c>
      <c r="AD53" s="13">
        <f>SUMPRODUCT($I$5:$I51,$AD$5:$AD51)</f>
        <v>15711091.530000003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1507694.9491274676</v>
      </c>
      <c r="AI53" s="13">
        <f>SUMPRODUCT($I$5:$I51,$AI$5:$AI51)</f>
        <v>0</v>
      </c>
      <c r="AJ53" s="13">
        <f ca="1">SUMPRODUCT($I$5:$I51,$AJ$5:$AJ51)</f>
        <v>212142.06914997494</v>
      </c>
      <c r="AK53" s="13">
        <f ca="1">SUMPRODUCT($I$5:$I51,$AK$5:$AK51)</f>
        <v>0</v>
      </c>
      <c r="AL53" s="13">
        <f ca="1">SUMPRODUCT($I$5:$I51,$AL$5:$AL51)</f>
        <v>1719837.0182774425</v>
      </c>
      <c r="AM53" s="13">
        <f ca="1">SUMPRODUCT($I$5:$I51,$AM$5:$AM51)</f>
        <v>25848930.268327352</v>
      </c>
    </row>
    <row r="54" spans="1:42" ht="11.25" customHeight="1" x14ac:dyDescent="0.3">
      <c r="K54" s="16" t="s">
        <v>435</v>
      </c>
      <c r="L54" s="13">
        <f>'TR TUSD'!$L$56</f>
        <v>0</v>
      </c>
      <c r="M54" s="13">
        <f>'TR TUSD'!$M$56</f>
        <v>63183.953109912625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4205666.0145299984</v>
      </c>
      <c r="R54" s="13">
        <f>'TR TUSD'!$R$56</f>
        <v>695904.06842999987</v>
      </c>
      <c r="S54" s="13">
        <f>'TR TUSD'!$S$56</f>
        <v>0</v>
      </c>
      <c r="T54" s="13">
        <f>'TR TUSD'!$T$56</f>
        <v>4964754.036069911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3453247.6839800002</v>
      </c>
      <c r="Z54" s="13">
        <f>'TR TUSD'!$Z$56</f>
        <v>0</v>
      </c>
      <c r="AA54" s="13">
        <f>'TR TUSD'!$AA$56</f>
        <v>0</v>
      </c>
      <c r="AB54" s="13">
        <f>'TR TUSD'!$AB$56</f>
        <v>3453247.6839800002</v>
      </c>
      <c r="AC54" s="13">
        <f>'TR TUSD'!$AC$56</f>
        <v>15711091.529999999</v>
      </c>
      <c r="AD54" s="13">
        <f>'TR TUSD'!$AD$56</f>
        <v>15711091.529999999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1507694.9491274673</v>
      </c>
      <c r="AI54" s="13">
        <f>'TR TUSD'!$AI$56</f>
        <v>0</v>
      </c>
      <c r="AJ54" s="13">
        <f>'TR TUSD'!$AJ$56</f>
        <v>212142.06914997494</v>
      </c>
      <c r="AK54" s="13">
        <f>'TR TUSD'!$AK$56</f>
        <v>0</v>
      </c>
      <c r="AL54" s="13">
        <f>'TR TUSD'!$AL$56</f>
        <v>1719837.0182774423</v>
      </c>
      <c r="AM54" s="13">
        <f>CUSTOS!$D$29</f>
        <v>25848930.268327355</v>
      </c>
    </row>
    <row r="55" spans="1:42" ht="11.25" customHeight="1" x14ac:dyDescent="0.3">
      <c r="K55" s="16" t="s">
        <v>436</v>
      </c>
      <c r="L55" s="13">
        <f>CUSTOS!$E$2</f>
        <v>0</v>
      </c>
      <c r="M55" s="13">
        <f>CUSTOS!$E$3</f>
        <v>646.82343797031069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30266.250366454064</v>
      </c>
      <c r="R55" s="13">
        <f>CUSTOS!$E$8</f>
        <v>3917.4244702807418</v>
      </c>
      <c r="S55" s="13">
        <f>CUSTOS!$E$9</f>
        <v>0</v>
      </c>
      <c r="T55" s="13">
        <f>CUSTOS!$E$10</f>
        <v>34830.498274705118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0</v>
      </c>
      <c r="Z55" s="13">
        <f>CUSTOS!$E$16</f>
        <v>0</v>
      </c>
      <c r="AA55" s="13">
        <f>CUSTOS!$E$17</f>
        <v>0</v>
      </c>
      <c r="AB55" s="13">
        <f>CUSTOS!$E$18</f>
        <v>0</v>
      </c>
      <c r="AC55" s="13">
        <f>CUSTOS!$E$19</f>
        <v>-5458141.5687437197</v>
      </c>
      <c r="AD55" s="13">
        <f>CUSTOS!$E$20</f>
        <v>-5458141.5687437197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-98071.409230408986</v>
      </c>
      <c r="AI55" s="13">
        <f>CUSTOS!$E$25</f>
        <v>0</v>
      </c>
      <c r="AJ55" s="13">
        <f>CUSTOS!$E$26</f>
        <v>-13799.258059883545</v>
      </c>
      <c r="AK55" s="13">
        <f>CUSTOS!$E$27</f>
        <v>0</v>
      </c>
      <c r="AL55" s="13">
        <f>CUSTOS!$E$28</f>
        <v>-111870.66729029253</v>
      </c>
      <c r="AM55" s="13">
        <f>CUSTOS!$E$29</f>
        <v>-5535181.737759307</v>
      </c>
    </row>
    <row r="56" spans="1:42" ht="11.25" customHeight="1" x14ac:dyDescent="0.3">
      <c r="K56" s="16" t="s">
        <v>437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500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3">
      <c r="K58" s="16" t="s">
        <v>504</v>
      </c>
      <c r="L58" s="13">
        <f t="shared" ref="L58:R58" si="0">IF((L53-(0))&lt;&gt;0,(L55)/(L53-(0)),0)</f>
        <v>0</v>
      </c>
      <c r="M58" s="13">
        <f t="shared" si="0"/>
        <v>1.023714734728799E-2</v>
      </c>
      <c r="N58" s="13">
        <f t="shared" ca="1" si="0"/>
        <v>0</v>
      </c>
      <c r="O58" s="13">
        <f t="shared" si="0"/>
        <v>0</v>
      </c>
      <c r="P58" s="13">
        <f t="shared" si="0"/>
        <v>0</v>
      </c>
      <c r="Q58" s="13">
        <f t="shared" si="0"/>
        <v>7.196541585063658E-3</v>
      </c>
      <c r="R58" s="13">
        <f t="shared" si="0"/>
        <v>5.6292593304112732E-3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-0.34740689775255346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IF((AH53-(0))&lt;&gt;0,(AH55)/(AH53-(0)),0)</f>
        <v>-6.5047249304088214E-2</v>
      </c>
      <c r="AI58" s="13">
        <f>IF((AI53-(0))&lt;&gt;0,(AI55)/(AI53-(0)),0)</f>
        <v>0</v>
      </c>
      <c r="AJ58" s="13">
        <f ca="1">IF((AJ53-(0))&lt;&gt;0,(AJ55)/(AJ53-(0)),0)</f>
        <v>-6.5047249304088228E-2</v>
      </c>
      <c r="AK58" s="13">
        <f ca="1">IF((AK53-(0))&lt;&gt;0,(AK55)/(AK53-(0)),0)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944" priority="55" operator="notEqual">
      <formula>$L$54-$L$57</formula>
    </cfRule>
    <cfRule type="cellIs" dxfId="943" priority="56" operator="equal">
      <formula>$L$54-$L$57</formula>
    </cfRule>
  </conditionalFormatting>
  <conditionalFormatting sqref="M53">
    <cfRule type="cellIs" dxfId="942" priority="53" operator="notEqual">
      <formula>$M$54-$M$57</formula>
    </cfRule>
    <cfRule type="cellIs" dxfId="941" priority="54" operator="equal">
      <formula>$M$54-$M$57</formula>
    </cfRule>
  </conditionalFormatting>
  <conditionalFormatting sqref="N53">
    <cfRule type="cellIs" dxfId="940" priority="51" operator="notEqual">
      <formula>$N$54-$N$57</formula>
    </cfRule>
    <cfRule type="cellIs" dxfId="939" priority="52" operator="equal">
      <formula>$N$54-$N$57</formula>
    </cfRule>
  </conditionalFormatting>
  <conditionalFormatting sqref="O53">
    <cfRule type="cellIs" dxfId="938" priority="49" operator="notEqual">
      <formula>$O$54-$O$57</formula>
    </cfRule>
    <cfRule type="cellIs" dxfId="937" priority="50" operator="equal">
      <formula>$O$54-$O$57</formula>
    </cfRule>
  </conditionalFormatting>
  <conditionalFormatting sqref="P53">
    <cfRule type="cellIs" dxfId="936" priority="47" operator="notEqual">
      <formula>$P$54-$P$57</formula>
    </cfRule>
    <cfRule type="cellIs" dxfId="935" priority="48" operator="equal">
      <formula>$P$54-$P$57</formula>
    </cfRule>
  </conditionalFormatting>
  <conditionalFormatting sqref="Q53">
    <cfRule type="cellIs" dxfId="934" priority="45" operator="notEqual">
      <formula>$Q$54-$Q$57</formula>
    </cfRule>
    <cfRule type="cellIs" dxfId="933" priority="46" operator="equal">
      <formula>$Q$54-$Q$57</formula>
    </cfRule>
  </conditionalFormatting>
  <conditionalFormatting sqref="R53">
    <cfRule type="cellIs" dxfId="932" priority="43" operator="notEqual">
      <formula>$R$54-$R$57</formula>
    </cfRule>
    <cfRule type="cellIs" dxfId="931" priority="44" operator="equal">
      <formula>$R$54-$R$57</formula>
    </cfRule>
  </conditionalFormatting>
  <conditionalFormatting sqref="S53">
    <cfRule type="cellIs" dxfId="930" priority="41" operator="notEqual">
      <formula>$S$54-$S$57</formula>
    </cfRule>
    <cfRule type="cellIs" dxfId="929" priority="42" operator="equal">
      <formula>$S$54-$S$57</formula>
    </cfRule>
  </conditionalFormatting>
  <conditionalFormatting sqref="T53">
    <cfRule type="cellIs" dxfId="928" priority="39" operator="notEqual">
      <formula>$T$54-$T$57</formula>
    </cfRule>
    <cfRule type="cellIs" dxfId="927" priority="40" operator="equal">
      <formula>$T$54-$T$57</formula>
    </cfRule>
  </conditionalFormatting>
  <conditionalFormatting sqref="U53">
    <cfRule type="cellIs" dxfId="926" priority="37" operator="notEqual">
      <formula>$U$54-$U$57</formula>
    </cfRule>
    <cfRule type="cellIs" dxfId="925" priority="38" operator="equal">
      <formula>$U$54-$U$57</formula>
    </cfRule>
  </conditionalFormatting>
  <conditionalFormatting sqref="V53">
    <cfRule type="cellIs" dxfId="924" priority="35" operator="notEqual">
      <formula>$V$54-$V$57</formula>
    </cfRule>
    <cfRule type="cellIs" dxfId="923" priority="36" operator="equal">
      <formula>$V$54-$V$57</formula>
    </cfRule>
  </conditionalFormatting>
  <conditionalFormatting sqref="W53">
    <cfRule type="cellIs" dxfId="922" priority="33" operator="notEqual">
      <formula>$W$54-$W$57</formula>
    </cfRule>
    <cfRule type="cellIs" dxfId="921" priority="34" operator="equal">
      <formula>$W$54-$W$57</formula>
    </cfRule>
  </conditionalFormatting>
  <conditionalFormatting sqref="X53">
    <cfRule type="cellIs" dxfId="920" priority="31" operator="notEqual">
      <formula>$X$54-$X$57</formula>
    </cfRule>
    <cfRule type="cellIs" dxfId="919" priority="32" operator="equal">
      <formula>$X$54-$X$57</formula>
    </cfRule>
  </conditionalFormatting>
  <conditionalFormatting sqref="Y53">
    <cfRule type="cellIs" dxfId="918" priority="29" operator="notEqual">
      <formula>$Y$54-$Y$57</formula>
    </cfRule>
    <cfRule type="cellIs" dxfId="917" priority="30" operator="equal">
      <formula>$Y$54-$Y$57</formula>
    </cfRule>
  </conditionalFormatting>
  <conditionalFormatting sqref="Z53">
    <cfRule type="cellIs" dxfId="916" priority="27" operator="notEqual">
      <formula>$Z$54-$Z$57</formula>
    </cfRule>
    <cfRule type="cellIs" dxfId="915" priority="28" operator="equal">
      <formula>$Z$54-$Z$57</formula>
    </cfRule>
  </conditionalFormatting>
  <conditionalFormatting sqref="AA53">
    <cfRule type="cellIs" dxfId="914" priority="25" operator="notEqual">
      <formula>$AA$54-$AA$57</formula>
    </cfRule>
    <cfRule type="cellIs" dxfId="913" priority="26" operator="equal">
      <formula>$AA$54-$AA$57</formula>
    </cfRule>
  </conditionalFormatting>
  <conditionalFormatting sqref="AB53">
    <cfRule type="cellIs" dxfId="912" priority="23" operator="notEqual">
      <formula>$AB$54-$AB$57</formula>
    </cfRule>
    <cfRule type="cellIs" dxfId="911" priority="24" operator="equal">
      <formula>$AB$54-$AB$57</formula>
    </cfRule>
  </conditionalFormatting>
  <conditionalFormatting sqref="AC53">
    <cfRule type="cellIs" dxfId="910" priority="21" operator="notEqual">
      <formula>$AC$54-$AC$57</formula>
    </cfRule>
    <cfRule type="cellIs" dxfId="909" priority="22" operator="equal">
      <formula>$AC$54-$AC$57</formula>
    </cfRule>
  </conditionalFormatting>
  <conditionalFormatting sqref="AD53">
    <cfRule type="cellIs" dxfId="908" priority="19" operator="notEqual">
      <formula>$AD$54-$AD$57</formula>
    </cfRule>
    <cfRule type="cellIs" dxfId="907" priority="20" operator="equal">
      <formula>$AD$54-$AD$57</formula>
    </cfRule>
  </conditionalFormatting>
  <conditionalFormatting sqref="AE53">
    <cfRule type="cellIs" dxfId="906" priority="17" operator="notEqual">
      <formula>$AE$54-$AE$57</formula>
    </cfRule>
    <cfRule type="cellIs" dxfId="905" priority="18" operator="equal">
      <formula>$AE$54-$AE$57</formula>
    </cfRule>
  </conditionalFormatting>
  <conditionalFormatting sqref="AF53">
    <cfRule type="cellIs" dxfId="904" priority="16" operator="equal">
      <formula>$AF$54-$AF$57</formula>
    </cfRule>
  </conditionalFormatting>
  <conditionalFormatting sqref="AF53">
    <cfRule type="cellIs" dxfId="903" priority="15" operator="notEqual">
      <formula>$AF$54-$AF$57</formula>
    </cfRule>
  </conditionalFormatting>
  <conditionalFormatting sqref="AG53">
    <cfRule type="cellIs" dxfId="902" priority="14" operator="equal">
      <formula>$AG$54-$AG$57</formula>
    </cfRule>
  </conditionalFormatting>
  <conditionalFormatting sqref="AG53">
    <cfRule type="cellIs" dxfId="901" priority="13" operator="notEqual">
      <formula>$AG$54-$AG$57</formula>
    </cfRule>
  </conditionalFormatting>
  <conditionalFormatting sqref="AH53">
    <cfRule type="cellIs" dxfId="900" priority="12" operator="equal">
      <formula>$AH$54-$AH$57</formula>
    </cfRule>
  </conditionalFormatting>
  <conditionalFormatting sqref="AH53">
    <cfRule type="cellIs" dxfId="899" priority="11" operator="notEqual">
      <formula>$AH$54-$AH$57</formula>
    </cfRule>
  </conditionalFormatting>
  <conditionalFormatting sqref="AI53">
    <cfRule type="cellIs" dxfId="898" priority="10" operator="equal">
      <formula>$AI$54-$AI$57</formula>
    </cfRule>
  </conditionalFormatting>
  <conditionalFormatting sqref="AI53">
    <cfRule type="cellIs" dxfId="897" priority="9" operator="notEqual">
      <formula>$AI$54-$AI$57</formula>
    </cfRule>
  </conditionalFormatting>
  <conditionalFormatting sqref="AJ53">
    <cfRule type="cellIs" dxfId="896" priority="8" operator="equal">
      <formula>$AJ$54-$AJ$57</formula>
    </cfRule>
  </conditionalFormatting>
  <conditionalFormatting sqref="AJ53">
    <cfRule type="cellIs" dxfId="895" priority="7" operator="notEqual">
      <formula>$AJ$54-$AJ$57</formula>
    </cfRule>
  </conditionalFormatting>
  <conditionalFormatting sqref="AK53">
    <cfRule type="cellIs" dxfId="894" priority="6" operator="equal">
      <formula>$AK$54-$AK$57</formula>
    </cfRule>
  </conditionalFormatting>
  <conditionalFormatting sqref="AK53">
    <cfRule type="cellIs" dxfId="893" priority="5" operator="notEqual">
      <formula>$AK$54-$AK$57</formula>
    </cfRule>
  </conditionalFormatting>
  <conditionalFormatting sqref="AL53">
    <cfRule type="cellIs" dxfId="892" priority="4" operator="equal">
      <formula>$AL$54-$AL$57</formula>
    </cfRule>
  </conditionalFormatting>
  <conditionalFormatting sqref="AL53">
    <cfRule type="cellIs" dxfId="891" priority="3" operator="notEqual">
      <formula>$AL$54-$AL$57</formula>
    </cfRule>
  </conditionalFormatting>
  <conditionalFormatting sqref="AM53">
    <cfRule type="cellIs" dxfId="890" priority="2" operator="equal">
      <formula>$AM$54-$AM$57</formula>
    </cfRule>
  </conditionalFormatting>
  <conditionalFormatting sqref="AM53">
    <cfRule type="cellIs" dxfId="889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36AE-2A62-4404-BE1E-8C698FB7FA65}">
  <dimension ref="A1:AP58"/>
  <sheetViews>
    <sheetView showGridLines="0" topLeftCell="AH41" workbookViewId="0">
      <selection activeCell="AO53" sqref="AO53:AP55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8" width="7.109375" style="9" bestFit="1" customWidth="1"/>
    <col min="9" max="9" width="7.886718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109375" style="9" bestFit="1" customWidth="1"/>
    <col min="14" max="14" width="3.77734375" style="9" bestFit="1" customWidth="1"/>
    <col min="15" max="15" width="3.88671875" style="9" bestFit="1" customWidth="1"/>
    <col min="16" max="16" width="3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9.109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88671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9.109375" style="9" bestFit="1" customWidth="1"/>
    <col min="39" max="39" width="9.88671875" style="9" bestFit="1" customWidth="1"/>
    <col min="40" max="40" width="8.88671875" style="9"/>
    <col min="41" max="42" width="9.88671875" style="9" bestFit="1" customWidth="1"/>
    <col min="43" max="16384" width="8.88671875" style="9"/>
  </cols>
  <sheetData>
    <row r="1" spans="1:42" ht="11.25" customHeight="1" x14ac:dyDescent="0.3">
      <c r="A1" s="91" t="s">
        <v>69</v>
      </c>
      <c r="B1" s="91" t="s">
        <v>70</v>
      </c>
      <c r="C1" s="91" t="s">
        <v>71</v>
      </c>
      <c r="D1" s="91" t="s">
        <v>72</v>
      </c>
      <c r="E1" s="91" t="s">
        <v>73</v>
      </c>
      <c r="F1" s="91" t="s">
        <v>15</v>
      </c>
      <c r="G1" s="91" t="s">
        <v>75</v>
      </c>
      <c r="H1" s="91" t="s">
        <v>76</v>
      </c>
      <c r="I1" s="91" t="s">
        <v>494</v>
      </c>
      <c r="J1" s="84"/>
      <c r="L1" s="92" t="s">
        <v>511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0"/>
      <c r="AP1" s="96" t="s">
        <v>496</v>
      </c>
    </row>
    <row r="2" spans="1:42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393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0"/>
      <c r="AP2" s="97"/>
    </row>
    <row r="3" spans="1:42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394</v>
      </c>
      <c r="M3" s="92"/>
      <c r="N3" s="92"/>
      <c r="O3" s="92"/>
      <c r="P3" s="92"/>
      <c r="Q3" s="92"/>
      <c r="R3" s="92"/>
      <c r="S3" s="92"/>
      <c r="T3" s="92"/>
      <c r="U3" s="92" t="s">
        <v>403</v>
      </c>
      <c r="V3" s="92"/>
      <c r="W3" s="92"/>
      <c r="X3" s="92"/>
      <c r="Y3" s="92"/>
      <c r="Z3" s="92"/>
      <c r="AA3" s="92"/>
      <c r="AB3" s="92"/>
      <c r="AC3" s="92" t="s">
        <v>411</v>
      </c>
      <c r="AD3" s="92"/>
      <c r="AE3" s="92" t="s">
        <v>413</v>
      </c>
      <c r="AF3" s="92"/>
      <c r="AG3" s="92"/>
      <c r="AH3" s="92" t="s">
        <v>416</v>
      </c>
      <c r="AI3" s="92"/>
      <c r="AJ3" s="92"/>
      <c r="AK3" s="92"/>
      <c r="AL3" s="92"/>
      <c r="AM3" s="92" t="s">
        <v>402</v>
      </c>
      <c r="AO3" s="20"/>
      <c r="AP3" s="97"/>
    </row>
    <row r="4" spans="1:42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479</v>
      </c>
      <c r="M4" s="10" t="s">
        <v>395</v>
      </c>
      <c r="N4" s="10" t="s">
        <v>396</v>
      </c>
      <c r="O4" s="10" t="s">
        <v>397</v>
      </c>
      <c r="P4" s="10" t="s">
        <v>398</v>
      </c>
      <c r="Q4" s="10" t="s">
        <v>399</v>
      </c>
      <c r="R4" s="10" t="s">
        <v>400</v>
      </c>
      <c r="S4" s="10" t="s">
        <v>401</v>
      </c>
      <c r="T4" s="10" t="s">
        <v>402</v>
      </c>
      <c r="U4" s="10" t="s">
        <v>404</v>
      </c>
      <c r="V4" s="10" t="s">
        <v>405</v>
      </c>
      <c r="W4" s="10" t="s">
        <v>406</v>
      </c>
      <c r="X4" s="10" t="s">
        <v>407</v>
      </c>
      <c r="Y4" s="10" t="s">
        <v>408</v>
      </c>
      <c r="Z4" s="10" t="s">
        <v>409</v>
      </c>
      <c r="AA4" s="10" t="s">
        <v>410</v>
      </c>
      <c r="AB4" s="10" t="s">
        <v>402</v>
      </c>
      <c r="AC4" s="10" t="s">
        <v>412</v>
      </c>
      <c r="AD4" s="10" t="s">
        <v>402</v>
      </c>
      <c r="AE4" s="10" t="s">
        <v>414</v>
      </c>
      <c r="AF4" s="10" t="s">
        <v>415</v>
      </c>
      <c r="AG4" s="10" t="s">
        <v>402</v>
      </c>
      <c r="AH4" s="10" t="s">
        <v>417</v>
      </c>
      <c r="AI4" s="10" t="s">
        <v>418</v>
      </c>
      <c r="AJ4" s="10" t="s">
        <v>419</v>
      </c>
      <c r="AK4" s="10" t="s">
        <v>420</v>
      </c>
      <c r="AL4" s="10" t="s">
        <v>402</v>
      </c>
      <c r="AM4" s="94"/>
      <c r="AO4" s="21" t="s">
        <v>513</v>
      </c>
      <c r="AP4" s="98"/>
    </row>
    <row r="5" spans="1:42" ht="11.25" customHeight="1" x14ac:dyDescent="0.3">
      <c r="A5" s="95" t="s">
        <v>34</v>
      </c>
      <c r="B5" s="95" t="s">
        <v>35</v>
      </c>
      <c r="C5" s="95" t="s">
        <v>25</v>
      </c>
      <c r="D5" s="95" t="s">
        <v>25</v>
      </c>
      <c r="E5" s="95" t="s">
        <v>25</v>
      </c>
      <c r="F5" s="95" t="s">
        <v>25</v>
      </c>
      <c r="G5" s="18" t="s">
        <v>85</v>
      </c>
      <c r="H5" s="18" t="s">
        <v>84</v>
      </c>
      <c r="I5" s="18">
        <f>'MERCADO TUSD'!$U$2</f>
        <v>372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0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0</v>
      </c>
      <c r="AC5" s="13">
        <f>'TUSD BE'!$AC$5*'TUSD BE'!$AC$58</f>
        <v>-23.542306445546632</v>
      </c>
      <c r="AD5" s="13">
        <f>SUM($AC$5:$AC$5)</f>
        <v>-23.542306445546632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-23.542306445546632</v>
      </c>
      <c r="AO5" s="20">
        <f ca="1">+'TUSD BE'!$T$5+'TUSD BE'!$AB$5+'TUSD BE'!$AD$5+'TUSD BE'!$AL$5</f>
        <v>87.106119275556111</v>
      </c>
      <c r="AP5" s="20">
        <f ca="1">+'TUSD BE'!$T$5+'TUSD BE'!$AB$5+'TUSD BE'!$AD$5+'TUSD BE'!$AL$5</f>
        <v>87.106119275556111</v>
      </c>
    </row>
    <row r="6" spans="1:42" ht="11.25" customHeight="1" x14ac:dyDescent="0.3">
      <c r="A6" s="95"/>
      <c r="B6" s="95"/>
      <c r="C6" s="95"/>
      <c r="D6" s="95"/>
      <c r="E6" s="95"/>
      <c r="F6" s="95"/>
      <c r="G6" s="18" t="s">
        <v>86</v>
      </c>
      <c r="H6" s="18" t="s">
        <v>84</v>
      </c>
      <c r="I6" s="18">
        <f>'MERCADO TUSD'!$U$3</f>
        <v>457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0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0</v>
      </c>
      <c r="AC6" s="13">
        <f>'TUSD BE'!$AC$6*'TUSD BE'!$AC$58</f>
        <v>-6.4434564096167106</v>
      </c>
      <c r="AD6" s="13">
        <f>SUM($AC$6:$AC$6)</f>
        <v>-6.4434564096167106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-6.4434564096167106</v>
      </c>
      <c r="AO6" s="20">
        <f ca="1">+'TUSD BE'!$T$6+'TUSD BE'!$AB$6+'TUSD BE'!$AD$6+'TUSD BE'!$AL$6</f>
        <v>29.68004317323118</v>
      </c>
      <c r="AP6" s="20">
        <f ca="1">+'TUSD BE'!$T$6+'TUSD BE'!$AB$6+'TUSD BE'!$AD$6+'TUSD BE'!$AL$6</f>
        <v>29.68004317323118</v>
      </c>
    </row>
    <row r="7" spans="1:42" ht="11.25" customHeight="1" x14ac:dyDescent="0.3">
      <c r="A7" s="95"/>
      <c r="B7" s="95"/>
      <c r="C7" s="95"/>
      <c r="D7" s="95"/>
      <c r="E7" s="95"/>
      <c r="F7" s="95"/>
      <c r="G7" s="18" t="s">
        <v>83</v>
      </c>
      <c r="H7" s="18" t="s">
        <v>79</v>
      </c>
      <c r="I7" s="18">
        <f>'MERCADO TUSD'!$U$4</f>
        <v>166.83199999999999</v>
      </c>
      <c r="J7" s="15"/>
      <c r="L7" s="13">
        <f>'TUSD BE'!$L$7*'TUSD BE'!$L$58</f>
        <v>0</v>
      </c>
      <c r="M7" s="13">
        <f>'TUSD BE'!$M$7*'TUSD BE'!$M$58</f>
        <v>8.0311074648871644E-3</v>
      </c>
      <c r="N7" s="13">
        <f ca="1">'TUSD BE'!$N$7*'TUSD BE'!$N$58</f>
        <v>0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0.54842035125001165</v>
      </c>
      <c r="R7" s="13">
        <f>'TUSD BE'!$R$7*'TUSD BE'!$R$58</f>
        <v>8.070604169022895E-2</v>
      </c>
      <c r="S7" s="13">
        <f>'TUSD BE'!$R$7*'TUSD BE'!$S$58</f>
        <v>0</v>
      </c>
      <c r="T7" s="13">
        <f ca="1">SUM($L$7:$S$7)</f>
        <v>0.63715750040512775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BE'!$AH$58</f>
        <v>-1.1617831090511492</v>
      </c>
      <c r="AI7" s="13">
        <f>'TUSD BE'!$AI$7*'TUSD BE'!$AI$58</f>
        <v>0</v>
      </c>
      <c r="AJ7" s="13">
        <f ca="1">'TUSD BE'!$AJ$7*'TUSD BE'!$AJ$58</f>
        <v>-0.21443036820728206</v>
      </c>
      <c r="AK7" s="13">
        <f ca="1">'TUSD BE'!$AK$7*'TUSD BE'!$AK$58</f>
        <v>0</v>
      </c>
      <c r="AL7" s="13">
        <f ca="1">SUM($AH$7:$AK$7)</f>
        <v>-1.3762134772584314</v>
      </c>
      <c r="AM7" s="13">
        <f ca="1">SUMIF($L$4:$AL$4,"SUBTOTAL",$L$7:$AL$7)</f>
        <v>-0.7390559768533036</v>
      </c>
      <c r="AO7" s="20">
        <f ca="1">+'TUSD BE'!$T$7+'TUSD BE'!$AB$7+'TUSD BE'!$AD$7+'TUSD BE'!$AL$7</f>
        <v>112.48462440388872</v>
      </c>
      <c r="AP7" s="20">
        <f ca="1">+'TUSD BE'!$T$7+'TUSD BE'!$AB$7+'TUSD BE'!$AD$7+'TUSD BE'!$AL$7</f>
        <v>112.48462440388872</v>
      </c>
    </row>
    <row r="8" spans="1:42" ht="11.25" customHeight="1" x14ac:dyDescent="0.3">
      <c r="A8" s="95"/>
      <c r="B8" s="95"/>
      <c r="C8" s="95"/>
      <c r="D8" s="95"/>
      <c r="E8" s="17" t="s">
        <v>87</v>
      </c>
      <c r="F8" s="17" t="s">
        <v>25</v>
      </c>
      <c r="G8" s="18" t="s">
        <v>83</v>
      </c>
      <c r="H8" s="18" t="s">
        <v>79</v>
      </c>
      <c r="I8" s="18">
        <f>'MERCADO TUSD'!$U$5</f>
        <v>0</v>
      </c>
      <c r="J8" s="15"/>
      <c r="L8" s="13">
        <f>'TUSD BE'!$L$8*'TUSD BE'!$L$58</f>
        <v>0</v>
      </c>
      <c r="M8" s="13">
        <f>'TUSD BE'!$M$8*'TUSD BE'!$M$58</f>
        <v>8.0311074648871644E-3</v>
      </c>
      <c r="N8" s="13">
        <f ca="1">'TUSD BE'!$N$8*'TUSD BE'!$N$58</f>
        <v>0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8.0311074648871644E-3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BE'!$AH$58</f>
        <v>-1.1617831090511492</v>
      </c>
      <c r="AI8" s="13">
        <f>'TUSD BE'!$AI$8*'TUSD BE'!$AI$58</f>
        <v>0</v>
      </c>
      <c r="AJ8" s="13">
        <f ca="1">'TUSD BE'!$AJ$8*'TUSD BE'!$AJ$58</f>
        <v>-0.21443036820728206</v>
      </c>
      <c r="AK8" s="13">
        <f ca="1">'TUSD BE'!$AK$8*'TUSD BE'!$AK$58</f>
        <v>0</v>
      </c>
      <c r="AL8" s="13">
        <f ca="1">SUM($AH$8:$AK$8)</f>
        <v>-1.3762134772584314</v>
      </c>
      <c r="AM8" s="13">
        <f ca="1">SUMIF($L$4:$AL$4,"SUBTOTAL",$L$8:$AL$8)</f>
        <v>-1.3681823697935442</v>
      </c>
      <c r="AO8" s="20">
        <f ca="1">+'TUSD BE'!$T$8+'TUSD BE'!$AB$8+'TUSD BE'!$AD$8+'TUSD BE'!$AL$8</f>
        <v>21.941642036773843</v>
      </c>
      <c r="AP8" s="20">
        <f ca="1">+'TUSD BE'!$T$8+'TUSD BE'!$AB$8+'TUSD BE'!$AD$8+'TUSD BE'!$AL$8</f>
        <v>21.941642036773843</v>
      </c>
    </row>
    <row r="9" spans="1:42" ht="11.25" customHeight="1" x14ac:dyDescent="0.3">
      <c r="A9" s="95"/>
      <c r="B9" s="17" t="s">
        <v>56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84</v>
      </c>
      <c r="I9" s="18">
        <f>'MERCADO TUSD'!$U$6</f>
        <v>137556</v>
      </c>
      <c r="J9" s="15"/>
      <c r="L9" s="13">
        <f>'TUSD BE'!$L$9*'TUSD BE'!$L$58</f>
        <v>0</v>
      </c>
      <c r="M9" s="13">
        <f>'TUSD BE'!$M$9*'TUSD BE'!$M$58</f>
        <v>1.1868522989952823E-4</v>
      </c>
      <c r="N9" s="13">
        <f ca="1">'TUSD BE'!$N$9*'TUSD BE'!$N$58</f>
        <v>0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1.1868522989952823E-4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-3.5962678008025568</v>
      </c>
      <c r="AD9" s="13">
        <f>SUM($AC$9:$AC$9)</f>
        <v>-3.5962678008025568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BE'!$AH$58</f>
        <v>-5.4134621362059042E-5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-5.4134621362059042E-5</v>
      </c>
      <c r="AM9" s="13">
        <f ca="1">SUMIF($L$4:$AL$4,"SUBTOTAL",$L$9:$AL$9)</f>
        <v>-3.5962032501940193</v>
      </c>
      <c r="AO9" s="20">
        <f ca="1">+'TUSD BE'!$T$9+'TUSD BE'!$AB$9+'TUSD BE'!$AD$9+'TUSD BE'!$AL$9</f>
        <v>10.364171349298351</v>
      </c>
      <c r="AP9" s="20">
        <f ca="1">+'TUSD BE'!$T$9+'TUSD BE'!$AB$9+'TUSD BE'!$AD$9+'TUSD BE'!$AL$9</f>
        <v>10.364171349298351</v>
      </c>
    </row>
    <row r="10" spans="1:42" ht="11.25" customHeight="1" x14ac:dyDescent="0.3">
      <c r="A10" s="95"/>
      <c r="B10" s="95" t="s">
        <v>38</v>
      </c>
      <c r="C10" s="95" t="s">
        <v>25</v>
      </c>
      <c r="D10" s="95" t="s">
        <v>25</v>
      </c>
      <c r="E10" s="95" t="s">
        <v>25</v>
      </c>
      <c r="F10" s="95" t="s">
        <v>25</v>
      </c>
      <c r="G10" s="18" t="s">
        <v>9</v>
      </c>
      <c r="H10" s="18" t="s">
        <v>84</v>
      </c>
      <c r="I10" s="18">
        <f>'MERCADO TUSD'!$U$7</f>
        <v>63157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0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0</v>
      </c>
      <c r="AC10" s="13">
        <f>'TUSD BE'!$AC$10*'TUSD BE'!$AC$58</f>
        <v>-6.4434564096167106</v>
      </c>
      <c r="AD10" s="13">
        <f>SUM($AC$10:$AC$10)</f>
        <v>-6.4434564096167106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-6.4434564096167106</v>
      </c>
      <c r="AO10" s="20">
        <f ca="1">+'TUSD BE'!$T$10+'TUSD BE'!$AB$10+'TUSD BE'!$AD$10+'TUSD BE'!$AL$10</f>
        <v>29.68004317323118</v>
      </c>
      <c r="AP10" s="20">
        <f ca="1">+'TUSD BE'!$T$10+'TUSD BE'!$AB$10+'TUSD BE'!$AD$10+'TUSD BE'!$AL$10</f>
        <v>29.68004317323118</v>
      </c>
    </row>
    <row r="11" spans="1:42" ht="11.25" customHeight="1" x14ac:dyDescent="0.3">
      <c r="A11" s="95"/>
      <c r="B11" s="95"/>
      <c r="C11" s="95"/>
      <c r="D11" s="95"/>
      <c r="E11" s="95"/>
      <c r="F11" s="95"/>
      <c r="G11" s="18" t="s">
        <v>80</v>
      </c>
      <c r="H11" s="18" t="s">
        <v>79</v>
      </c>
      <c r="I11" s="18">
        <f>'MERCADO TUSD'!$U$8</f>
        <v>783.01900000000001</v>
      </c>
      <c r="J11" s="15"/>
      <c r="L11" s="13">
        <f>'TUSD BE'!$L$11*'TUSD BE'!$L$58</f>
        <v>0</v>
      </c>
      <c r="M11" s="13">
        <f>'TUSD BE'!$M$11*'TUSD BE'!$M$58</f>
        <v>8.0311074648871644E-3</v>
      </c>
      <c r="N11" s="13">
        <f ca="1">'TUSD BE'!$N$11*'TUSD BE'!$N$58</f>
        <v>0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0.54842035125001165</v>
      </c>
      <c r="R11" s="13">
        <f>'TUSD BE'!$R$11*'TUSD BE'!$R$58</f>
        <v>8.070604169022895E-2</v>
      </c>
      <c r="S11" s="13">
        <f>'TUSD BE'!$R$11*'TUSD BE'!$S$58</f>
        <v>0</v>
      </c>
      <c r="T11" s="13">
        <f ca="1">SUM($L$11:$S$11)</f>
        <v>0.63715750040512775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0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0</v>
      </c>
      <c r="AC11" s="13">
        <f>'TUSD BE'!$AC$11*'TUSD BE'!$AC$58</f>
        <v>-566.19207214382573</v>
      </c>
      <c r="AD11" s="13">
        <f>SUM($AC$11:$AC$11)</f>
        <v>-566.19207214382573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BE'!$AH$58</f>
        <v>-1.1617831090511492</v>
      </c>
      <c r="AI11" s="13">
        <f>'TUSD BE'!$AI$11*'TUSD BE'!$AI$58</f>
        <v>0</v>
      </c>
      <c r="AJ11" s="13">
        <f ca="1">'TUSD BE'!$AJ$11*'TUSD BE'!$AJ$58</f>
        <v>-0.21443036820728206</v>
      </c>
      <c r="AK11" s="13">
        <f ca="1">'TUSD BE'!$AK$11*'TUSD BE'!$AK$58</f>
        <v>0</v>
      </c>
      <c r="AL11" s="13">
        <f ca="1">SUM($AH$11:$AK$11)</f>
        <v>-1.3762134772584314</v>
      </c>
      <c r="AM11" s="13">
        <f ca="1">SUMIF($L$4:$AL$4,"SUBTOTAL",$L$11:$AL$11)</f>
        <v>-566.93112812067898</v>
      </c>
      <c r="AO11" s="20">
        <f ca="1">+'TUSD BE'!$T$11+'TUSD BE'!$AB$11+'TUSD BE'!$AD$11+'TUSD BE'!$AL$11</f>
        <v>2207.6398266555484</v>
      </c>
      <c r="AP11" s="20">
        <f ca="1">+'TUSD BE'!$T$11+'TUSD BE'!$AB$11+'TUSD BE'!$AD$11+'TUSD BE'!$AL$11</f>
        <v>2207.6398266555484</v>
      </c>
    </row>
    <row r="12" spans="1:42" ht="11.25" customHeight="1" x14ac:dyDescent="0.3">
      <c r="A12" s="95"/>
      <c r="B12" s="95"/>
      <c r="C12" s="95"/>
      <c r="D12" s="95"/>
      <c r="E12" s="95"/>
      <c r="F12" s="95"/>
      <c r="G12" s="18" t="s">
        <v>81</v>
      </c>
      <c r="H12" s="18" t="s">
        <v>79</v>
      </c>
      <c r="I12" s="18">
        <f>'MERCADO TUSD'!$U$9</f>
        <v>12684.257000000001</v>
      </c>
      <c r="J12" s="15"/>
      <c r="L12" s="13">
        <f>'TUSD BE'!$L$12*'TUSD BE'!$L$58</f>
        <v>0</v>
      </c>
      <c r="M12" s="13">
        <f>'TUSD BE'!$M$12*'TUSD BE'!$M$58</f>
        <v>8.0311074648871644E-3</v>
      </c>
      <c r="N12" s="13">
        <f ca="1">'TUSD BE'!$N$12*'TUSD BE'!$N$58</f>
        <v>0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0.54842035125001165</v>
      </c>
      <c r="R12" s="13">
        <f>'TUSD BE'!$R$12*'TUSD BE'!$R$58</f>
        <v>8.070604169022895E-2</v>
      </c>
      <c r="S12" s="13">
        <f>'TUSD BE'!$R$12*'TUSD BE'!$S$58</f>
        <v>0</v>
      </c>
      <c r="T12" s="13">
        <f ca="1">SUM($L$12:$S$12)</f>
        <v>0.63715750040512775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BE'!$AH$58</f>
        <v>-1.1617831090511492</v>
      </c>
      <c r="AI12" s="13">
        <f>'TUSD BE'!$AI$12*'TUSD BE'!$AI$58</f>
        <v>0</v>
      </c>
      <c r="AJ12" s="13">
        <f ca="1">'TUSD BE'!$AJ$12*'TUSD BE'!$AJ$58</f>
        <v>-0.21443036820728206</v>
      </c>
      <c r="AK12" s="13">
        <f ca="1">'TUSD BE'!$AK$12*'TUSD BE'!$AK$58</f>
        <v>0</v>
      </c>
      <c r="AL12" s="13">
        <f ca="1">SUM($AH$12:$AK$12)</f>
        <v>-1.3762134772584314</v>
      </c>
      <c r="AM12" s="13">
        <f ca="1">SUMIF($L$4:$AL$4,"SUBTOTAL",$L$12:$AL$12)</f>
        <v>-0.7390559768533036</v>
      </c>
      <c r="AO12" s="20">
        <f ca="1">+'TUSD BE'!$T$12+'TUSD BE'!$AB$12+'TUSD BE'!$AD$12+'TUSD BE'!$AL$12</f>
        <v>112.48462440388872</v>
      </c>
      <c r="AP12" s="20">
        <f ca="1">+'TUSD BE'!$T$12+'TUSD BE'!$AB$12+'TUSD BE'!$AD$12+'TUSD BE'!$AL$12</f>
        <v>112.48462440388872</v>
      </c>
    </row>
    <row r="13" spans="1:42" ht="11.25" customHeight="1" x14ac:dyDescent="0.3">
      <c r="A13" s="95"/>
      <c r="B13" s="95"/>
      <c r="C13" s="95"/>
      <c r="D13" s="95"/>
      <c r="E13" s="95" t="s">
        <v>87</v>
      </c>
      <c r="F13" s="95" t="s">
        <v>25</v>
      </c>
      <c r="G13" s="18" t="s">
        <v>80</v>
      </c>
      <c r="H13" s="18" t="s">
        <v>79</v>
      </c>
      <c r="I13" s="18">
        <f>'MERCADO TUSD'!$U$10</f>
        <v>0</v>
      </c>
      <c r="J13" s="15"/>
      <c r="L13" s="13">
        <f>'TUSD BE'!$L$13*'TUSD BE'!$L$58</f>
        <v>0</v>
      </c>
      <c r="M13" s="13">
        <f>'TUSD BE'!$M$13*'TUSD BE'!$M$58</f>
        <v>8.0311074648871644E-3</v>
      </c>
      <c r="N13" s="13">
        <f ca="1">'TUSD BE'!$N$13*'TUSD BE'!$N$58</f>
        <v>0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8.0311074648871644E-3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0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0</v>
      </c>
      <c r="AC13" s="13">
        <f>'TUSD BE'!$AC$13*'TUSD BE'!$AC$58</f>
        <v>-566.19207214382573</v>
      </c>
      <c r="AD13" s="13">
        <f>SUM($AC$13:$AC$13)</f>
        <v>-566.19207214382573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BE'!$AH$58</f>
        <v>-1.1617831090511492</v>
      </c>
      <c r="AI13" s="13">
        <f>'TUSD BE'!$AI$13*'TUSD BE'!$AI$58</f>
        <v>0</v>
      </c>
      <c r="AJ13" s="13">
        <f ca="1">'TUSD BE'!$AJ$13*'TUSD BE'!$AJ$58</f>
        <v>-0.21443036820728206</v>
      </c>
      <c r="AK13" s="13">
        <f ca="1">'TUSD BE'!$AK$13*'TUSD BE'!$AK$58</f>
        <v>0</v>
      </c>
      <c r="AL13" s="13">
        <f ca="1">SUM($AH$13:$AK$13)</f>
        <v>-1.3762134772584314</v>
      </c>
      <c r="AM13" s="13">
        <f ca="1">SUMIF($L$4:$AL$4,"SUBTOTAL",$L$13:$AL$13)</f>
        <v>-567.56025451361927</v>
      </c>
      <c r="AO13" s="20">
        <f ca="1">+'TUSD BE'!$T$13+'TUSD BE'!$AB$13+'TUSD BE'!$AD$13+'TUSD BE'!$AL$13</f>
        <v>2117.0968442884337</v>
      </c>
      <c r="AP13" s="20">
        <f ca="1">+'TUSD BE'!$T$13+'TUSD BE'!$AB$13+'TUSD BE'!$AD$13+'TUSD BE'!$AL$13</f>
        <v>2117.0968442884337</v>
      </c>
    </row>
    <row r="14" spans="1:42" ht="11.25" customHeight="1" x14ac:dyDescent="0.3">
      <c r="A14" s="95"/>
      <c r="B14" s="95"/>
      <c r="C14" s="95"/>
      <c r="D14" s="95"/>
      <c r="E14" s="95"/>
      <c r="F14" s="95"/>
      <c r="G14" s="18" t="s">
        <v>81</v>
      </c>
      <c r="H14" s="18" t="s">
        <v>79</v>
      </c>
      <c r="I14" s="18">
        <f>'MERCADO TUSD'!$U$11</f>
        <v>0</v>
      </c>
      <c r="J14" s="15"/>
      <c r="L14" s="13">
        <f>'TUSD BE'!$L$14*'TUSD BE'!$L$58</f>
        <v>0</v>
      </c>
      <c r="M14" s="13">
        <f>'TUSD BE'!$M$14*'TUSD BE'!$M$58</f>
        <v>8.0311074648871644E-3</v>
      </c>
      <c r="N14" s="13">
        <f ca="1">'TUSD BE'!$N$14*'TUSD BE'!$N$58</f>
        <v>0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8.0311074648871644E-3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BE'!$AH$58</f>
        <v>-1.1617831090511492</v>
      </c>
      <c r="AI14" s="13">
        <f>'TUSD BE'!$AI$14*'TUSD BE'!$AI$58</f>
        <v>0</v>
      </c>
      <c r="AJ14" s="13">
        <f ca="1">'TUSD BE'!$AJ$14*'TUSD BE'!$AJ$58</f>
        <v>-0.21443036820728206</v>
      </c>
      <c r="AK14" s="13">
        <f ca="1">'TUSD BE'!$AK$14*'TUSD BE'!$AK$58</f>
        <v>0</v>
      </c>
      <c r="AL14" s="13">
        <f ca="1">SUM($AH$14:$AK$14)</f>
        <v>-1.3762134772584314</v>
      </c>
      <c r="AM14" s="13">
        <f ca="1">SUMIF($L$4:$AL$4,"SUBTOTAL",$L$14:$AL$14)</f>
        <v>-1.3681823697935442</v>
      </c>
      <c r="AO14" s="20">
        <f ca="1">+'TUSD BE'!$T$14+'TUSD BE'!$AB$14+'TUSD BE'!$AD$14+'TUSD BE'!$AL$14</f>
        <v>21.941642036773843</v>
      </c>
      <c r="AP14" s="20">
        <f ca="1">+'TUSD BE'!$T$14+'TUSD BE'!$AB$14+'TUSD BE'!$AD$14+'TUSD BE'!$AL$14</f>
        <v>21.941642036773843</v>
      </c>
    </row>
    <row r="15" spans="1:42" ht="11.25" customHeight="1" x14ac:dyDescent="0.3">
      <c r="A15" s="95" t="s">
        <v>88</v>
      </c>
      <c r="B15" s="95" t="s">
        <v>56</v>
      </c>
      <c r="C15" s="95" t="s">
        <v>25</v>
      </c>
      <c r="D15" s="95" t="s">
        <v>25</v>
      </c>
      <c r="E15" s="17" t="s">
        <v>89</v>
      </c>
      <c r="F15" s="17" t="s">
        <v>25</v>
      </c>
      <c r="G15" s="18" t="s">
        <v>9</v>
      </c>
      <c r="H15" s="18" t="s">
        <v>84</v>
      </c>
      <c r="I15" s="18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6.7965046181781127E-5</v>
      </c>
      <c r="N15" s="13">
        <f ca="1">'TUSD BE'!$N$15*'TUSD BE'!$N$58</f>
        <v>0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6.7965046181781127E-5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-2.0657884916894624</v>
      </c>
      <c r="AD15" s="13">
        <f>SUM($AC$15:$AC$15)</f>
        <v>-2.0657884916894624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-2.0657205266432808</v>
      </c>
      <c r="AO15" s="20">
        <f ca="1">+'TUSD BE'!$T$15+'TUSD BE'!$AB$15+'TUSD BE'!$AD$15+'TUSD BE'!$AL$15</f>
        <v>5.9529472807551773</v>
      </c>
      <c r="AP15" s="20">
        <f ca="1">+'TUSD BE'!$T$15+'TUSD BE'!$AB$15+'TUSD BE'!$AD$15+'TUSD BE'!$AL$15</f>
        <v>5.9529472807551773</v>
      </c>
    </row>
    <row r="16" spans="1:42" ht="11.25" customHeight="1" x14ac:dyDescent="0.3">
      <c r="A16" s="95"/>
      <c r="B16" s="95"/>
      <c r="C16" s="95"/>
      <c r="D16" s="95"/>
      <c r="E16" s="17" t="s">
        <v>90</v>
      </c>
      <c r="F16" s="17" t="s">
        <v>25</v>
      </c>
      <c r="G16" s="18" t="s">
        <v>9</v>
      </c>
      <c r="H16" s="18" t="s">
        <v>84</v>
      </c>
      <c r="I16" s="18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6.7965046181781127E-5</v>
      </c>
      <c r="N16" s="13">
        <f ca="1">'TUSD BE'!$N$16*'TUSD BE'!$N$58</f>
        <v>0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6.7965046181781127E-5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-6.1488349674169429</v>
      </c>
      <c r="AD16" s="13">
        <f>SUM($AC$16:$AC$16)</f>
        <v>-6.1488349674169429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-6.1487670023707608</v>
      </c>
      <c r="AO16" s="20">
        <f ca="1">+'TUSD BE'!$T$16+'TUSD BE'!$AB$16+'TUSD BE'!$AD$16+'TUSD BE'!$AL$16</f>
        <v>17.705870156327155</v>
      </c>
      <c r="AP16" s="20">
        <f ca="1">+'TUSD BE'!$T$16+'TUSD BE'!$AB$16+'TUSD BE'!$AD$16+'TUSD BE'!$AL$16</f>
        <v>17.705870156327155</v>
      </c>
    </row>
    <row r="17" spans="1:42" ht="11.25" customHeight="1" x14ac:dyDescent="0.3">
      <c r="A17" s="95" t="s">
        <v>22</v>
      </c>
      <c r="B17" s="95" t="s">
        <v>92</v>
      </c>
      <c r="C17" s="95" t="s">
        <v>24</v>
      </c>
      <c r="D17" s="95" t="s">
        <v>24</v>
      </c>
      <c r="E17" s="95" t="s">
        <v>25</v>
      </c>
      <c r="F17" s="95" t="s">
        <v>25</v>
      </c>
      <c r="G17" s="18" t="s">
        <v>80</v>
      </c>
      <c r="H17" s="18" t="s">
        <v>79</v>
      </c>
      <c r="I17" s="18">
        <f>'MERCADO TUSD'!$U$14</f>
        <v>0</v>
      </c>
      <c r="J17" s="15"/>
      <c r="L17" s="13">
        <f>'TUSD BE'!$L$17*'TUSD BE'!$L$58</f>
        <v>0</v>
      </c>
      <c r="M17" s="13">
        <f>'TUSD BE'!$M$17*'TUSD BE'!$M$58</f>
        <v>1.4693829529533044E-2</v>
      </c>
      <c r="N17" s="13">
        <f ca="1">'TUSD BE'!$N$17*'TUSD BE'!$N$58</f>
        <v>0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0.65288137053572814</v>
      </c>
      <c r="R17" s="13">
        <f>'TUSD BE'!$R$17*'TUSD BE'!$R$58</f>
        <v>8.070604169022895E-2</v>
      </c>
      <c r="S17" s="13">
        <f>'TUSD BE'!$R$17*'TUSD BE'!$S$58</f>
        <v>0</v>
      </c>
      <c r="T17" s="13">
        <f ca="1">SUM($L$17:$S$17)</f>
        <v>0.74828124175549016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0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0</v>
      </c>
      <c r="AC17" s="13">
        <f>'TUSD BE'!$AC$17*'TUSD BE'!$AC$58</f>
        <v>-312.31965382918162</v>
      </c>
      <c r="AD17" s="13">
        <f>SUM($AC$17:$AC$17)</f>
        <v>-312.31965382918162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BE'!$AH$58</f>
        <v>-2.3189737977234173</v>
      </c>
      <c r="AI17" s="13">
        <f>'TUSD BE'!$AI$17*'TUSD BE'!$AI$58</f>
        <v>0</v>
      </c>
      <c r="AJ17" s="13">
        <f ca="1">'TUSD BE'!$AJ$17*'TUSD BE'!$AJ$58</f>
        <v>-0.30672816445563966</v>
      </c>
      <c r="AK17" s="13">
        <f ca="1">'TUSD BE'!$AK$17*'TUSD BE'!$AK$58</f>
        <v>0</v>
      </c>
      <c r="AL17" s="13">
        <f ca="1">SUM($AH$17:$AK$17)</f>
        <v>-2.6257019621790567</v>
      </c>
      <c r="AM17" s="13">
        <f ca="1">SUMIF($L$4:$AL$4,"SUBTOTAL",$L$17:$AL$17)</f>
        <v>-314.19707454960519</v>
      </c>
      <c r="AO17" s="20">
        <f ca="1">+'TUSD BE'!$T$17+'TUSD BE'!$AB$17+'TUSD BE'!$AD$17+'TUSD BE'!$AL$17</f>
        <v>1226.5423438548819</v>
      </c>
      <c r="AP17" s="20">
        <f ca="1">+'TUSD BE'!$T$17+'TUSD BE'!$AB$17+'TUSD BE'!$AD$17+'TUSD BE'!$AL$17</f>
        <v>1226.5423438548819</v>
      </c>
    </row>
    <row r="18" spans="1:42" ht="11.25" customHeight="1" x14ac:dyDescent="0.3">
      <c r="A18" s="95"/>
      <c r="B18" s="95"/>
      <c r="C18" s="95"/>
      <c r="D18" s="95"/>
      <c r="E18" s="95"/>
      <c r="F18" s="95"/>
      <c r="G18" s="18" t="s">
        <v>91</v>
      </c>
      <c r="H18" s="18" t="s">
        <v>79</v>
      </c>
      <c r="I18" s="18">
        <f>'MERCADO TUSD'!$U$15</f>
        <v>0</v>
      </c>
      <c r="J18" s="15"/>
      <c r="L18" s="13">
        <f>'TUSD BE'!$L$18*'TUSD BE'!$L$58</f>
        <v>0</v>
      </c>
      <c r="M18" s="13">
        <f>'TUSD BE'!$M$18*'TUSD BE'!$M$58</f>
        <v>1.4693829529533044E-2</v>
      </c>
      <c r="N18" s="13">
        <f ca="1">'TUSD BE'!$N$18*'TUSD BE'!$N$58</f>
        <v>0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0.65288137053572814</v>
      </c>
      <c r="R18" s="13">
        <f>'TUSD BE'!$R$18*'TUSD BE'!$R$58</f>
        <v>8.070604169022895E-2</v>
      </c>
      <c r="S18" s="13">
        <f>'TUSD BE'!$R$18*'TUSD BE'!$S$58</f>
        <v>0</v>
      </c>
      <c r="T18" s="13">
        <f ca="1">SUM($L$18:$S$18)</f>
        <v>0.74828124175549016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0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0</v>
      </c>
      <c r="AC18" s="13">
        <f>'TUSD BE'!$AC$18*'TUSD BE'!$AC$58</f>
        <v>-187.39181194548777</v>
      </c>
      <c r="AD18" s="13">
        <f>SUM($AC$18:$AC$18)</f>
        <v>-187.39181194548777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BE'!$AH$58</f>
        <v>-2.3189737977234173</v>
      </c>
      <c r="AI18" s="13">
        <f>'TUSD BE'!$AI$18*'TUSD BE'!$AI$58</f>
        <v>0</v>
      </c>
      <c r="AJ18" s="13">
        <f ca="1">'TUSD BE'!$AJ$18*'TUSD BE'!$AJ$58</f>
        <v>-0.30672816445563966</v>
      </c>
      <c r="AK18" s="13">
        <f ca="1">'TUSD BE'!$AK$18*'TUSD BE'!$AK$58</f>
        <v>0</v>
      </c>
      <c r="AL18" s="13">
        <f ca="1">SUM($AH$18:$AK$18)</f>
        <v>-2.6257019621790567</v>
      </c>
      <c r="AM18" s="13">
        <f ca="1">SUMIF($L$4:$AL$4,"SUBTOTAL",$L$18:$AL$18)</f>
        <v>-189.26923266591135</v>
      </c>
      <c r="AO18" s="20">
        <f ca="1">+'TUSD BE'!$T$18+'TUSD BE'!$AB$18+'TUSD BE'!$AD$18+'TUSD BE'!$AL$18</f>
        <v>794.69212113544995</v>
      </c>
      <c r="AP18" s="20">
        <f ca="1">+'TUSD BE'!$T$18+'TUSD BE'!$AB$18+'TUSD BE'!$AD$18+'TUSD BE'!$AL$18</f>
        <v>794.69212113544995</v>
      </c>
    </row>
    <row r="19" spans="1:42" ht="11.25" customHeight="1" x14ac:dyDescent="0.3">
      <c r="A19" s="95"/>
      <c r="B19" s="95"/>
      <c r="C19" s="95"/>
      <c r="D19" s="95"/>
      <c r="E19" s="95"/>
      <c r="F19" s="95"/>
      <c r="G19" s="18" t="s">
        <v>81</v>
      </c>
      <c r="H19" s="18" t="s">
        <v>79</v>
      </c>
      <c r="I19" s="18">
        <f>'MERCADO TUSD'!$U$16</f>
        <v>0</v>
      </c>
      <c r="J19" s="15"/>
      <c r="L19" s="13">
        <f>'TUSD BE'!$L$19*'TUSD BE'!$L$58</f>
        <v>0</v>
      </c>
      <c r="M19" s="13">
        <f>'TUSD BE'!$M$19*'TUSD BE'!$M$58</f>
        <v>1.4693829529533044E-2</v>
      </c>
      <c r="N19" s="13">
        <f ca="1">'TUSD BE'!$N$19*'TUSD BE'!$N$58</f>
        <v>0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0.65288137053572814</v>
      </c>
      <c r="R19" s="13">
        <f>'TUSD BE'!$R$19*'TUSD BE'!$R$58</f>
        <v>8.070604169022895E-2</v>
      </c>
      <c r="S19" s="13">
        <f>'TUSD BE'!$R$19*'TUSD BE'!$S$58</f>
        <v>0</v>
      </c>
      <c r="T19" s="13">
        <f ca="1">SUM($L$19:$S$19)</f>
        <v>0.74828124175549016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0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0</v>
      </c>
      <c r="AC19" s="13">
        <f>'TUSD BE'!$AC$19*'TUSD BE'!$AC$58</f>
        <v>-62.4638718218999</v>
      </c>
      <c r="AD19" s="13">
        <f>SUM($AC$19:$AC$19)</f>
        <v>-62.4638718218999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BE'!$AH$58</f>
        <v>-2.3189737977234173</v>
      </c>
      <c r="AI19" s="13">
        <f>'TUSD BE'!$AI$19*'TUSD BE'!$AI$58</f>
        <v>0</v>
      </c>
      <c r="AJ19" s="13">
        <f ca="1">'TUSD BE'!$AJ$19*'TUSD BE'!$AJ$58</f>
        <v>-0.30672816445563966</v>
      </c>
      <c r="AK19" s="13">
        <f ca="1">'TUSD BE'!$AK$19*'TUSD BE'!$AK$58</f>
        <v>0</v>
      </c>
      <c r="AL19" s="13">
        <f ca="1">SUM($AH$19:$AK$19)</f>
        <v>-2.6257019621790567</v>
      </c>
      <c r="AM19" s="13">
        <f ca="1">SUMIF($L$4:$AL$4,"SUBTOTAL",$L$19:$AL$19)</f>
        <v>-64.341292542323458</v>
      </c>
      <c r="AO19" s="20">
        <f ca="1">+'TUSD BE'!$T$19+'TUSD BE'!$AB$19+'TUSD BE'!$AD$19+'TUSD BE'!$AL$19</f>
        <v>362.81321575445918</v>
      </c>
      <c r="AP19" s="20">
        <f ca="1">+'TUSD BE'!$T$19+'TUSD BE'!$AB$19+'TUSD BE'!$AD$19+'TUSD BE'!$AL$19</f>
        <v>362.81321575445918</v>
      </c>
    </row>
    <row r="20" spans="1:42" ht="11.25" customHeight="1" x14ac:dyDescent="0.3">
      <c r="A20" s="95"/>
      <c r="B20" s="95" t="s">
        <v>23</v>
      </c>
      <c r="C20" s="95" t="s">
        <v>24</v>
      </c>
      <c r="D20" s="17" t="s">
        <v>24</v>
      </c>
      <c r="E20" s="17" t="s">
        <v>25</v>
      </c>
      <c r="F20" s="17" t="s">
        <v>25</v>
      </c>
      <c r="G20" s="18" t="s">
        <v>83</v>
      </c>
      <c r="H20" s="18" t="s">
        <v>79</v>
      </c>
      <c r="I20" s="18">
        <f>'MERCADO TUSD'!$U$17</f>
        <v>10969.981</v>
      </c>
      <c r="J20" s="15"/>
      <c r="L20" s="13">
        <f>'TUSD BE'!$L$20*'TUSD BE'!$L$58</f>
        <v>0</v>
      </c>
      <c r="M20" s="13">
        <f>'TUSD BE'!$M$20*'TUSD BE'!$M$58</f>
        <v>1.4693829529533044E-2</v>
      </c>
      <c r="N20" s="13">
        <f ca="1">'TUSD BE'!$N$20*'TUSD BE'!$N$58</f>
        <v>0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0.65288137053572814</v>
      </c>
      <c r="R20" s="13">
        <f>'TUSD BE'!$R$20*'TUSD BE'!$R$58</f>
        <v>8.070604169022895E-2</v>
      </c>
      <c r="S20" s="13">
        <f>'TUSD BE'!$R$20*'TUSD BE'!$S$58</f>
        <v>0</v>
      </c>
      <c r="T20" s="13">
        <f ca="1">SUM($L$20:$S$20)</f>
        <v>0.74828124175549016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0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0</v>
      </c>
      <c r="AC20" s="13">
        <f>'TUSD BE'!$AC$20*'TUSD BE'!$AC$58</f>
        <v>-115.67393858563067</v>
      </c>
      <c r="AD20" s="13">
        <f>SUM($AC$20:$AC$20)</f>
        <v>-115.67393858563067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BE'!$AH$58</f>
        <v>-2.3189737977234173</v>
      </c>
      <c r="AI20" s="13">
        <f>'TUSD BE'!$AI$20*'TUSD BE'!$AI$58</f>
        <v>0</v>
      </c>
      <c r="AJ20" s="13">
        <f ca="1">'TUSD BE'!$AJ$20*'TUSD BE'!$AJ$58</f>
        <v>-0.30672816445563966</v>
      </c>
      <c r="AK20" s="13">
        <f ca="1">'TUSD BE'!$AK$20*'TUSD BE'!$AK$58</f>
        <v>0</v>
      </c>
      <c r="AL20" s="13">
        <f ca="1">SUM($AH$20:$AK$20)</f>
        <v>-2.6257019621790567</v>
      </c>
      <c r="AM20" s="13">
        <f ca="1">SUMIF($L$4:$AL$4,"SUBTOTAL",$L$20:$AL$20)</f>
        <v>-117.55135930605422</v>
      </c>
      <c r="AO20" s="20">
        <f ca="1">+'TUSD BE'!$T$20+'TUSD BE'!$AB$20+'TUSD BE'!$AD$20+'TUSD BE'!$AL$20</f>
        <v>546.76221670721452</v>
      </c>
      <c r="AP20" s="20">
        <f ca="1">+'TUSD BE'!$T$20+'TUSD BE'!$AB$20+'TUSD BE'!$AD$20+'TUSD BE'!$AL$20</f>
        <v>546.76221670721452</v>
      </c>
    </row>
    <row r="21" spans="1:42" ht="11.25" customHeight="1" x14ac:dyDescent="0.3">
      <c r="A21" s="95"/>
      <c r="B21" s="95"/>
      <c r="C21" s="95"/>
      <c r="D21" s="17" t="s">
        <v>28</v>
      </c>
      <c r="E21" s="17" t="s">
        <v>25</v>
      </c>
      <c r="F21" s="17" t="s">
        <v>25</v>
      </c>
      <c r="G21" s="18" t="s">
        <v>83</v>
      </c>
      <c r="H21" s="18" t="s">
        <v>79</v>
      </c>
      <c r="I21" s="18">
        <f>'MERCADO TUSD'!$U$18</f>
        <v>87.284999999999997</v>
      </c>
      <c r="J21" s="15"/>
      <c r="L21" s="13">
        <f>'TUSD BE'!$L$21*'TUSD BE'!$L$58</f>
        <v>0</v>
      </c>
      <c r="M21" s="13">
        <f>'TUSD BE'!$M$21*'TUSD BE'!$M$58</f>
        <v>1.4693829529533044E-2</v>
      </c>
      <c r="N21" s="13">
        <f ca="1">'TUSD BE'!$N$21*'TUSD BE'!$N$58</f>
        <v>0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1.4693829529533044E-2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0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0</v>
      </c>
      <c r="AC21" s="13">
        <f>'TUSD BE'!$AC$21*'TUSD BE'!$AC$58</f>
        <v>-115.67393858563067</v>
      </c>
      <c r="AD21" s="13">
        <f>SUM($AC$21:$AC$21)</f>
        <v>-115.67393858563067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BE'!$AH$58</f>
        <v>-2.3189737977234173</v>
      </c>
      <c r="AI21" s="13">
        <f>'TUSD BE'!$AI$21*'TUSD BE'!$AI$58</f>
        <v>0</v>
      </c>
      <c r="AJ21" s="13">
        <f ca="1">'TUSD BE'!$AJ$21*'TUSD BE'!$AJ$58</f>
        <v>-0.30672816445563966</v>
      </c>
      <c r="AK21" s="13">
        <f ca="1">'TUSD BE'!$AK$21*'TUSD BE'!$AK$58</f>
        <v>0</v>
      </c>
      <c r="AL21" s="13">
        <f ca="1">SUM($AH$21:$AK$21)</f>
        <v>-2.6257019621790567</v>
      </c>
      <c r="AM21" s="13">
        <f ca="1">SUMIF($L$4:$AL$4,"SUBTOTAL",$L$21:$AL$21)</f>
        <v>-118.28494671828018</v>
      </c>
      <c r="AO21" s="20">
        <f ca="1">+'TUSD BE'!$T$21+'TUSD BE'!$AB$21+'TUSD BE'!$AD$21+'TUSD BE'!$AL$21</f>
        <v>441.70378715606284</v>
      </c>
      <c r="AP21" s="20">
        <f ca="1">+'TUSD BE'!$T$21+'TUSD BE'!$AB$21+'TUSD BE'!$AD$21+'TUSD BE'!$AL$21</f>
        <v>441.70378715606284</v>
      </c>
    </row>
    <row r="22" spans="1:42" ht="11.25" customHeight="1" x14ac:dyDescent="0.3">
      <c r="A22" s="95"/>
      <c r="B22" s="95"/>
      <c r="C22" s="95"/>
      <c r="D22" s="17" t="s">
        <v>29</v>
      </c>
      <c r="E22" s="17" t="s">
        <v>25</v>
      </c>
      <c r="F22" s="17" t="s">
        <v>25</v>
      </c>
      <c r="G22" s="18" t="s">
        <v>83</v>
      </c>
      <c r="H22" s="18" t="s">
        <v>79</v>
      </c>
      <c r="I22" s="18">
        <f>'MERCADO TUSD'!$U$19</f>
        <v>183.16699999999997</v>
      </c>
      <c r="J22" s="15"/>
      <c r="L22" s="13">
        <f>'TUSD BE'!$L$22*'TUSD BE'!$L$58</f>
        <v>0</v>
      </c>
      <c r="M22" s="13">
        <f>'TUSD BE'!$M$22*'TUSD BE'!$M$58</f>
        <v>1.4693829529533044E-2</v>
      </c>
      <c r="N22" s="13">
        <f ca="1">'TUSD BE'!$N$22*'TUSD BE'!$N$58</f>
        <v>0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1.4693829529533044E-2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0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0</v>
      </c>
      <c r="AC22" s="13">
        <f>'TUSD BE'!$AC$22*'TUSD BE'!$AC$58</f>
        <v>-115.67393858563067</v>
      </c>
      <c r="AD22" s="13">
        <f>SUM($AC$22:$AC$22)</f>
        <v>-115.67393858563067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BE'!$AH$58</f>
        <v>-2.3189737977234173</v>
      </c>
      <c r="AI22" s="13">
        <f>'TUSD BE'!$AI$22*'TUSD BE'!$AI$58</f>
        <v>0</v>
      </c>
      <c r="AJ22" s="13">
        <f ca="1">'TUSD BE'!$AJ$22*'TUSD BE'!$AJ$58</f>
        <v>-0.30672816445563966</v>
      </c>
      <c r="AK22" s="13">
        <f ca="1">'TUSD BE'!$AK$22*'TUSD BE'!$AK$58</f>
        <v>0</v>
      </c>
      <c r="AL22" s="13">
        <f ca="1">SUM($AH$22:$AK$22)</f>
        <v>-2.6257019621790567</v>
      </c>
      <c r="AM22" s="13">
        <f ca="1">SUMIF($L$4:$AL$4,"SUBTOTAL",$L$22:$AL$22)</f>
        <v>-118.28494671828018</v>
      </c>
      <c r="AO22" s="20">
        <f ca="1">+'TUSD BE'!$T$22+'TUSD BE'!$AB$22+'TUSD BE'!$AD$22+'TUSD BE'!$AL$22</f>
        <v>441.70378715606284</v>
      </c>
      <c r="AP22" s="20">
        <f ca="1">+'TUSD BE'!$T$22+'TUSD BE'!$AB$22+'TUSD BE'!$AD$22+'TUSD BE'!$AL$22</f>
        <v>441.70378715606284</v>
      </c>
    </row>
    <row r="23" spans="1:42" ht="11.25" customHeight="1" x14ac:dyDescent="0.3">
      <c r="A23" s="95"/>
      <c r="B23" s="95"/>
      <c r="C23" s="95"/>
      <c r="D23" s="17" t="s">
        <v>30</v>
      </c>
      <c r="E23" s="17" t="s">
        <v>25</v>
      </c>
      <c r="F23" s="17" t="s">
        <v>25</v>
      </c>
      <c r="G23" s="18" t="s">
        <v>83</v>
      </c>
      <c r="H23" s="18" t="s">
        <v>79</v>
      </c>
      <c r="I23" s="18">
        <f>'MERCADO TUSD'!$U$20</f>
        <v>200.38</v>
      </c>
      <c r="J23" s="15"/>
      <c r="L23" s="13">
        <f>'TUSD BE'!$L$23*'TUSD BE'!$L$58</f>
        <v>0</v>
      </c>
      <c r="M23" s="13">
        <f>'TUSD BE'!$M$23*'TUSD BE'!$M$58</f>
        <v>1.4693829529533044E-2</v>
      </c>
      <c r="N23" s="13">
        <f ca="1">'TUSD BE'!$N$23*'TUSD BE'!$N$58</f>
        <v>0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1.4693829529533044E-2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0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0</v>
      </c>
      <c r="AC23" s="13">
        <f>'TUSD BE'!$AC$23*'TUSD BE'!$AC$58</f>
        <v>-115.67393858563067</v>
      </c>
      <c r="AD23" s="13">
        <f>SUM($AC$23:$AC$23)</f>
        <v>-115.67393858563067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BE'!$AH$58</f>
        <v>-2.3189737977234173</v>
      </c>
      <c r="AI23" s="13">
        <f>'TUSD BE'!$AI$23*'TUSD BE'!$AI$58</f>
        <v>0</v>
      </c>
      <c r="AJ23" s="13">
        <f ca="1">'TUSD BE'!$AJ$23*'TUSD BE'!$AJ$58</f>
        <v>-0.30672816445563966</v>
      </c>
      <c r="AK23" s="13">
        <f ca="1">'TUSD BE'!$AK$23*'TUSD BE'!$AK$58</f>
        <v>0</v>
      </c>
      <c r="AL23" s="13">
        <f ca="1">SUM($AH$23:$AK$23)</f>
        <v>-2.6257019621790567</v>
      </c>
      <c r="AM23" s="13">
        <f ca="1">SUMIF($L$4:$AL$4,"SUBTOTAL",$L$23:$AL$23)</f>
        <v>-118.28494671828018</v>
      </c>
      <c r="AO23" s="20">
        <f ca="1">+'TUSD BE'!$T$23+'TUSD BE'!$AB$23+'TUSD BE'!$AD$23+'TUSD BE'!$AL$23</f>
        <v>441.70378715606284</v>
      </c>
      <c r="AP23" s="20">
        <f ca="1">+'TUSD BE'!$T$23+'TUSD BE'!$AB$23+'TUSD BE'!$AD$23+'TUSD BE'!$AL$23</f>
        <v>441.70378715606284</v>
      </c>
    </row>
    <row r="24" spans="1:42" ht="11.25" customHeight="1" x14ac:dyDescent="0.3">
      <c r="A24" s="95"/>
      <c r="B24" s="95"/>
      <c r="C24" s="95"/>
      <c r="D24" s="17" t="s">
        <v>31</v>
      </c>
      <c r="E24" s="17" t="s">
        <v>25</v>
      </c>
      <c r="F24" s="17" t="s">
        <v>25</v>
      </c>
      <c r="G24" s="18" t="s">
        <v>83</v>
      </c>
      <c r="H24" s="18" t="s">
        <v>79</v>
      </c>
      <c r="I24" s="18">
        <f>'MERCADO TUSD'!$U$21</f>
        <v>80.955999999999989</v>
      </c>
      <c r="J24" s="15"/>
      <c r="L24" s="13">
        <f>'TUSD BE'!$L$24*'TUSD BE'!$L$58</f>
        <v>0</v>
      </c>
      <c r="M24" s="13">
        <f>'TUSD BE'!$M$24*'TUSD BE'!$M$58</f>
        <v>1.4693829529533044E-2</v>
      </c>
      <c r="N24" s="13">
        <f ca="1">'TUSD BE'!$N$24*'TUSD BE'!$N$58</f>
        <v>0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1.4693829529533044E-2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0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0</v>
      </c>
      <c r="AC24" s="13">
        <f>'TUSD BE'!$AC$24*'TUSD BE'!$AC$58</f>
        <v>-115.67393858563067</v>
      </c>
      <c r="AD24" s="13">
        <f>SUM($AC$24:$AC$24)</f>
        <v>-115.67393858563067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BE'!$AH$58</f>
        <v>-2.3189737977234173</v>
      </c>
      <c r="AI24" s="13">
        <f>'TUSD BE'!$AI$24*'TUSD BE'!$AI$58</f>
        <v>0</v>
      </c>
      <c r="AJ24" s="13">
        <f ca="1">'TUSD BE'!$AJ$24*'TUSD BE'!$AJ$58</f>
        <v>-0.30672816445563966</v>
      </c>
      <c r="AK24" s="13">
        <f ca="1">'TUSD BE'!$AK$24*'TUSD BE'!$AK$58</f>
        <v>0</v>
      </c>
      <c r="AL24" s="13">
        <f ca="1">SUM($AH$24:$AK$24)</f>
        <v>-2.6257019621790567</v>
      </c>
      <c r="AM24" s="13">
        <f ca="1">SUMIF($L$4:$AL$4,"SUBTOTAL",$L$24:$AL$24)</f>
        <v>-118.28494671828018</v>
      </c>
      <c r="AO24" s="20">
        <f ca="1">+'TUSD BE'!$T$24+'TUSD BE'!$AB$24+'TUSD BE'!$AD$24+'TUSD BE'!$AL$24</f>
        <v>441.70378715606284</v>
      </c>
      <c r="AP24" s="20">
        <f ca="1">+'TUSD BE'!$T$24+'TUSD BE'!$AB$24+'TUSD BE'!$AD$24+'TUSD BE'!$AL$24</f>
        <v>441.70378715606284</v>
      </c>
    </row>
    <row r="25" spans="1:42" ht="11.25" customHeight="1" x14ac:dyDescent="0.3">
      <c r="A25" s="95"/>
      <c r="B25" s="95" t="s">
        <v>94</v>
      </c>
      <c r="C25" s="95" t="s">
        <v>24</v>
      </c>
      <c r="D25" s="17" t="s">
        <v>24</v>
      </c>
      <c r="E25" s="17" t="s">
        <v>25</v>
      </c>
      <c r="F25" s="17" t="s">
        <v>25</v>
      </c>
      <c r="G25" s="18" t="s">
        <v>83</v>
      </c>
      <c r="H25" s="18" t="s">
        <v>79</v>
      </c>
      <c r="I25" s="18">
        <f>'MERCADO TUSD'!$U$22</f>
        <v>0</v>
      </c>
      <c r="J25" s="15"/>
      <c r="L25" s="13">
        <f>'TUSD BE'!$L$25*'TUSD BE'!$L$58</f>
        <v>0</v>
      </c>
      <c r="M25" s="13">
        <f>'TUSD BE'!$M$25*'TUSD BE'!$M$58</f>
        <v>1.4693829529533044E-2</v>
      </c>
      <c r="N25" s="13">
        <f ca="1">'TUSD BE'!$N$25*'TUSD BE'!$N$58</f>
        <v>0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0.65288137053572814</v>
      </c>
      <c r="R25" s="13">
        <f>'TUSD BE'!$R$25*'TUSD BE'!$R$58</f>
        <v>8.070604169022895E-2</v>
      </c>
      <c r="S25" s="13">
        <f>'TUSD BE'!$R$25*'TUSD BE'!$S$58</f>
        <v>0</v>
      </c>
      <c r="T25" s="13">
        <f ca="1">SUM($L$25:$S$25)</f>
        <v>0.74828124175549016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0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0</v>
      </c>
      <c r="AC25" s="13">
        <f>'TUSD BE'!$AC$25*'TUSD BE'!$AC$58</f>
        <v>-115.67393858563067</v>
      </c>
      <c r="AD25" s="13">
        <f>SUM($AC$25:$AC$25)</f>
        <v>-115.67393858563067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BE'!$AH$58</f>
        <v>-2.3189737977234173</v>
      </c>
      <c r="AI25" s="13">
        <f>'TUSD BE'!$AI$25*'TUSD BE'!$AI$58</f>
        <v>0</v>
      </c>
      <c r="AJ25" s="13">
        <f ca="1">'TUSD BE'!$AJ$25*'TUSD BE'!$AJ$58</f>
        <v>-0.30672816445563966</v>
      </c>
      <c r="AK25" s="13">
        <f ca="1">'TUSD BE'!$AK$25*'TUSD BE'!$AK$58</f>
        <v>0</v>
      </c>
      <c r="AL25" s="13">
        <f ca="1">SUM($AH$25:$AK$25)</f>
        <v>-2.6257019621790567</v>
      </c>
      <c r="AM25" s="13">
        <f ca="1">SUMIF($L$4:$AL$4,"SUBTOTAL",$L$25:$AL$25)</f>
        <v>-117.55135930605422</v>
      </c>
      <c r="AO25" s="20">
        <f ca="1">+'TUSD BE'!$T$25+'TUSD BE'!$AB$25+'TUSD BE'!$AD$25+'TUSD BE'!$AL$25</f>
        <v>546.76221670721452</v>
      </c>
      <c r="AP25" s="20">
        <f ca="1">+'TUSD BE'!$T$25+'TUSD BE'!$AB$25+'TUSD BE'!$AD$25+'TUSD BE'!$AL$25</f>
        <v>546.76221670721452</v>
      </c>
    </row>
    <row r="26" spans="1:42" ht="11.25" customHeight="1" x14ac:dyDescent="0.3">
      <c r="A26" s="95"/>
      <c r="B26" s="95"/>
      <c r="C26" s="95"/>
      <c r="D26" s="17" t="s">
        <v>28</v>
      </c>
      <c r="E26" s="17" t="s">
        <v>25</v>
      </c>
      <c r="F26" s="17" t="s">
        <v>25</v>
      </c>
      <c r="G26" s="18" t="s">
        <v>83</v>
      </c>
      <c r="H26" s="18" t="s">
        <v>79</v>
      </c>
      <c r="I26" s="18">
        <f>'MERCADO TUSD'!$U$23</f>
        <v>0</v>
      </c>
      <c r="J26" s="15"/>
      <c r="L26" s="13">
        <f>'TUSD BE'!$L$26*'TUSD BE'!$L$58</f>
        <v>0</v>
      </c>
      <c r="M26" s="13">
        <f>'TUSD BE'!$M$26*'TUSD BE'!$M$58</f>
        <v>1.4693829529533044E-2</v>
      </c>
      <c r="N26" s="13">
        <f ca="1">'TUSD BE'!$N$26*'TUSD BE'!$N$58</f>
        <v>0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1.4693829529533044E-2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0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0</v>
      </c>
      <c r="AC26" s="13">
        <f>'TUSD BE'!$AC$26*'TUSD BE'!$AC$58</f>
        <v>-115.67393858563067</v>
      </c>
      <c r="AD26" s="13">
        <f>SUM($AC$26:$AC$26)</f>
        <v>-115.67393858563067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BE'!$AH$58</f>
        <v>-2.3189737977234173</v>
      </c>
      <c r="AI26" s="13">
        <f>'TUSD BE'!$AI$26*'TUSD BE'!$AI$58</f>
        <v>0</v>
      </c>
      <c r="AJ26" s="13">
        <f ca="1">'TUSD BE'!$AJ$26*'TUSD BE'!$AJ$58</f>
        <v>-0.30672816445563966</v>
      </c>
      <c r="AK26" s="13">
        <f ca="1">'TUSD BE'!$AK$26*'TUSD BE'!$AK$58</f>
        <v>0</v>
      </c>
      <c r="AL26" s="13">
        <f ca="1">SUM($AH$26:$AK$26)</f>
        <v>-2.6257019621790567</v>
      </c>
      <c r="AM26" s="13">
        <f ca="1">SUMIF($L$4:$AL$4,"SUBTOTAL",$L$26:$AL$26)</f>
        <v>-118.28494671828018</v>
      </c>
      <c r="AO26" s="20">
        <f ca="1">+'TUSD BE'!$T$26+'TUSD BE'!$AB$26+'TUSD BE'!$AD$26+'TUSD BE'!$AL$26</f>
        <v>441.70378715606284</v>
      </c>
      <c r="AP26" s="20">
        <f ca="1">+'TUSD BE'!$T$26+'TUSD BE'!$AB$26+'TUSD BE'!$AD$26+'TUSD BE'!$AL$26</f>
        <v>441.70378715606284</v>
      </c>
    </row>
    <row r="27" spans="1:42" ht="11.25" customHeight="1" x14ac:dyDescent="0.3">
      <c r="A27" s="95"/>
      <c r="B27" s="95"/>
      <c r="C27" s="95"/>
      <c r="D27" s="17" t="s">
        <v>29</v>
      </c>
      <c r="E27" s="17" t="s">
        <v>25</v>
      </c>
      <c r="F27" s="17" t="s">
        <v>25</v>
      </c>
      <c r="G27" s="18" t="s">
        <v>83</v>
      </c>
      <c r="H27" s="18" t="s">
        <v>79</v>
      </c>
      <c r="I27" s="18">
        <f>'MERCADO TUSD'!$U$24</f>
        <v>0</v>
      </c>
      <c r="J27" s="15"/>
      <c r="L27" s="13">
        <f>'TUSD BE'!$L$27*'TUSD BE'!$L$58</f>
        <v>0</v>
      </c>
      <c r="M27" s="13">
        <f>'TUSD BE'!$M$27*'TUSD BE'!$M$58</f>
        <v>1.4693829529533044E-2</v>
      </c>
      <c r="N27" s="13">
        <f ca="1">'TUSD BE'!$N$27*'TUSD BE'!$N$58</f>
        <v>0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1.4693829529533044E-2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0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0</v>
      </c>
      <c r="AC27" s="13">
        <f>'TUSD BE'!$AC$27*'TUSD BE'!$AC$58</f>
        <v>-115.67393858563067</v>
      </c>
      <c r="AD27" s="13">
        <f>SUM($AC$27:$AC$27)</f>
        <v>-115.67393858563067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BE'!$AH$58</f>
        <v>-2.3189737977234173</v>
      </c>
      <c r="AI27" s="13">
        <f>'TUSD BE'!$AI$27*'TUSD BE'!$AI$58</f>
        <v>0</v>
      </c>
      <c r="AJ27" s="13">
        <f ca="1">'TUSD BE'!$AJ$27*'TUSD BE'!$AJ$58</f>
        <v>-0.30672816445563966</v>
      </c>
      <c r="AK27" s="13">
        <f ca="1">'TUSD BE'!$AK$27*'TUSD BE'!$AK$58</f>
        <v>0</v>
      </c>
      <c r="AL27" s="13">
        <f ca="1">SUM($AH$27:$AK$27)</f>
        <v>-2.6257019621790567</v>
      </c>
      <c r="AM27" s="13">
        <f ca="1">SUMIF($L$4:$AL$4,"SUBTOTAL",$L$27:$AL$27)</f>
        <v>-118.28494671828018</v>
      </c>
      <c r="AO27" s="20">
        <f ca="1">+'TUSD BE'!$T$27+'TUSD BE'!$AB$27+'TUSD BE'!$AD$27+'TUSD BE'!$AL$27</f>
        <v>441.70378715606284</v>
      </c>
      <c r="AP27" s="20">
        <f ca="1">+'TUSD BE'!$T$27+'TUSD BE'!$AB$27+'TUSD BE'!$AD$27+'TUSD BE'!$AL$27</f>
        <v>441.70378715606284</v>
      </c>
    </row>
    <row r="28" spans="1:42" ht="11.25" customHeight="1" x14ac:dyDescent="0.3">
      <c r="A28" s="95"/>
      <c r="B28" s="95"/>
      <c r="C28" s="95"/>
      <c r="D28" s="17" t="s">
        <v>30</v>
      </c>
      <c r="E28" s="17" t="s">
        <v>25</v>
      </c>
      <c r="F28" s="17" t="s">
        <v>25</v>
      </c>
      <c r="G28" s="18" t="s">
        <v>83</v>
      </c>
      <c r="H28" s="18" t="s">
        <v>79</v>
      </c>
      <c r="I28" s="18">
        <f>'MERCADO TUSD'!$U$25</f>
        <v>0</v>
      </c>
      <c r="J28" s="15"/>
      <c r="L28" s="13">
        <f>'TUSD BE'!$L$28*'TUSD BE'!$L$58</f>
        <v>0</v>
      </c>
      <c r="M28" s="13">
        <f>'TUSD BE'!$M$28*'TUSD BE'!$M$58</f>
        <v>1.4693829529533044E-2</v>
      </c>
      <c r="N28" s="13">
        <f ca="1">'TUSD BE'!$N$28*'TUSD BE'!$N$58</f>
        <v>0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1.4693829529533044E-2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0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0</v>
      </c>
      <c r="AC28" s="13">
        <f>'TUSD BE'!$AC$28*'TUSD BE'!$AC$58</f>
        <v>-115.67393858563067</v>
      </c>
      <c r="AD28" s="13">
        <f>SUM($AC$28:$AC$28)</f>
        <v>-115.67393858563067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BE'!$AH$58</f>
        <v>-2.3189737977234173</v>
      </c>
      <c r="AI28" s="13">
        <f>'TUSD BE'!$AI$28*'TUSD BE'!$AI$58</f>
        <v>0</v>
      </c>
      <c r="AJ28" s="13">
        <f ca="1">'TUSD BE'!$AJ$28*'TUSD BE'!$AJ$58</f>
        <v>-0.30672816445563966</v>
      </c>
      <c r="AK28" s="13">
        <f ca="1">'TUSD BE'!$AK$28*'TUSD BE'!$AK$58</f>
        <v>0</v>
      </c>
      <c r="AL28" s="13">
        <f ca="1">SUM($AH$28:$AK$28)</f>
        <v>-2.6257019621790567</v>
      </c>
      <c r="AM28" s="13">
        <f ca="1">SUMIF($L$4:$AL$4,"SUBTOTAL",$L$28:$AL$28)</f>
        <v>-118.28494671828018</v>
      </c>
      <c r="AO28" s="20">
        <f ca="1">+'TUSD BE'!$T$28+'TUSD BE'!$AB$28+'TUSD BE'!$AD$28+'TUSD BE'!$AL$28</f>
        <v>441.70378715606284</v>
      </c>
      <c r="AP28" s="20">
        <f ca="1">+'TUSD BE'!$T$28+'TUSD BE'!$AB$28+'TUSD BE'!$AD$28+'TUSD BE'!$AL$28</f>
        <v>441.70378715606284</v>
      </c>
    </row>
    <row r="29" spans="1:42" ht="11.25" customHeight="1" x14ac:dyDescent="0.3">
      <c r="A29" s="95"/>
      <c r="B29" s="95"/>
      <c r="C29" s="95"/>
      <c r="D29" s="17" t="s">
        <v>31</v>
      </c>
      <c r="E29" s="17" t="s">
        <v>25</v>
      </c>
      <c r="F29" s="17" t="s">
        <v>25</v>
      </c>
      <c r="G29" s="18" t="s">
        <v>83</v>
      </c>
      <c r="H29" s="18" t="s">
        <v>79</v>
      </c>
      <c r="I29" s="18">
        <f>'MERCADO TUSD'!$U$26</f>
        <v>0</v>
      </c>
      <c r="J29" s="15"/>
      <c r="L29" s="13">
        <f>'TUSD BE'!$L$29*'TUSD BE'!$L$58</f>
        <v>0</v>
      </c>
      <c r="M29" s="13">
        <f>'TUSD BE'!$M$29*'TUSD BE'!$M$58</f>
        <v>1.4693829529533044E-2</v>
      </c>
      <c r="N29" s="13">
        <f ca="1">'TUSD BE'!$N$29*'TUSD BE'!$N$58</f>
        <v>0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1.4693829529533044E-2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0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0</v>
      </c>
      <c r="AC29" s="13">
        <f>'TUSD BE'!$AC$29*'TUSD BE'!$AC$58</f>
        <v>-115.67393858563067</v>
      </c>
      <c r="AD29" s="13">
        <f>SUM($AC$29:$AC$29)</f>
        <v>-115.67393858563067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BE'!$AH$58</f>
        <v>-2.3189737977234173</v>
      </c>
      <c r="AI29" s="13">
        <f>'TUSD BE'!$AI$29*'TUSD BE'!$AI$58</f>
        <v>0</v>
      </c>
      <c r="AJ29" s="13">
        <f ca="1">'TUSD BE'!$AJ$29*'TUSD BE'!$AJ$58</f>
        <v>-0.30672816445563966</v>
      </c>
      <c r="AK29" s="13">
        <f ca="1">'TUSD BE'!$AK$29*'TUSD BE'!$AK$58</f>
        <v>0</v>
      </c>
      <c r="AL29" s="13">
        <f ca="1">SUM($AH$29:$AK$29)</f>
        <v>-2.6257019621790567</v>
      </c>
      <c r="AM29" s="13">
        <f ca="1">SUMIF($L$4:$AL$4,"SUBTOTAL",$L$29:$AL$29)</f>
        <v>-118.28494671828018</v>
      </c>
      <c r="AO29" s="20">
        <f ca="1">+'TUSD BE'!$T$29+'TUSD BE'!$AB$29+'TUSD BE'!$AD$29+'TUSD BE'!$AL$29</f>
        <v>441.70378715606284</v>
      </c>
      <c r="AP29" s="20">
        <f ca="1">+'TUSD BE'!$T$29+'TUSD BE'!$AB$29+'TUSD BE'!$AD$29+'TUSD BE'!$AL$29</f>
        <v>441.70378715606284</v>
      </c>
    </row>
    <row r="30" spans="1:42" ht="11.25" customHeight="1" x14ac:dyDescent="0.3">
      <c r="A30" s="95" t="s">
        <v>40</v>
      </c>
      <c r="B30" s="95" t="s">
        <v>92</v>
      </c>
      <c r="C30" s="95" t="s">
        <v>41</v>
      </c>
      <c r="D30" s="95" t="s">
        <v>25</v>
      </c>
      <c r="E30" s="95" t="s">
        <v>25</v>
      </c>
      <c r="F30" s="95" t="s">
        <v>25</v>
      </c>
      <c r="G30" s="18" t="s">
        <v>80</v>
      </c>
      <c r="H30" s="18" t="s">
        <v>79</v>
      </c>
      <c r="I30" s="18">
        <f>'MERCADO TUSD'!$U$27</f>
        <v>0</v>
      </c>
      <c r="J30" s="15"/>
      <c r="L30" s="13">
        <f>'TUSD BE'!$L$30*'TUSD BE'!$L$58</f>
        <v>0</v>
      </c>
      <c r="M30" s="13">
        <f>'TUSD BE'!$M$30*'TUSD BE'!$M$58</f>
        <v>1.4693829529533044E-2</v>
      </c>
      <c r="N30" s="13">
        <f ca="1">'TUSD BE'!$N$30*'TUSD BE'!$N$58</f>
        <v>0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0.65288137053572814</v>
      </c>
      <c r="R30" s="13">
        <f>'TUSD BE'!$R$30*'TUSD BE'!$R$58</f>
        <v>8.070604169022895E-2</v>
      </c>
      <c r="S30" s="13">
        <f>'TUSD BE'!$R$30*'TUSD BE'!$S$58</f>
        <v>0</v>
      </c>
      <c r="T30" s="13">
        <f ca="1">SUM($L$30:$S$30)</f>
        <v>0.74828124175549016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0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0</v>
      </c>
      <c r="AC30" s="13">
        <f>'TUSD BE'!$AC$30*'TUSD BE'!$AC$58</f>
        <v>-341.23813847558927</v>
      </c>
      <c r="AD30" s="13">
        <f>SUM($AC$30:$AC$30)</f>
        <v>-341.23813847558927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BE'!$AH$58</f>
        <v>-2.3189737977234173</v>
      </c>
      <c r="AI30" s="13">
        <f>'TUSD BE'!$AI$30*'TUSD BE'!$AI$58</f>
        <v>0</v>
      </c>
      <c r="AJ30" s="13">
        <f ca="1">'TUSD BE'!$AJ$30*'TUSD BE'!$AJ$58</f>
        <v>-0.30672816445563966</v>
      </c>
      <c r="AK30" s="13">
        <f ca="1">'TUSD BE'!$AK$30*'TUSD BE'!$AK$58</f>
        <v>0</v>
      </c>
      <c r="AL30" s="13">
        <f ca="1">SUM($AH$30:$AK$30)</f>
        <v>-2.6257019621790567</v>
      </c>
      <c r="AM30" s="13">
        <f ca="1">SUMIF($L$4:$AL$4,"SUBTOTAL",$L$30:$AL$30)</f>
        <v>-343.11555919601284</v>
      </c>
      <c r="AO30" s="20">
        <f ca="1">+'TUSD BE'!$T$30+'TUSD BE'!$AB$30+'TUSD BE'!$AD$30+'TUSD BE'!$AL$30</f>
        <v>1326.5392364665031</v>
      </c>
      <c r="AP30" s="20">
        <f ca="1">+'TUSD BE'!$T$30+'TUSD BE'!$AB$30+'TUSD BE'!$AD$30+'TUSD BE'!$AL$30</f>
        <v>1326.5392364665031</v>
      </c>
    </row>
    <row r="31" spans="1:42" ht="11.25" customHeight="1" x14ac:dyDescent="0.3">
      <c r="A31" s="95"/>
      <c r="B31" s="95"/>
      <c r="C31" s="95"/>
      <c r="D31" s="95"/>
      <c r="E31" s="95"/>
      <c r="F31" s="95"/>
      <c r="G31" s="18" t="s">
        <v>91</v>
      </c>
      <c r="H31" s="18" t="s">
        <v>79</v>
      </c>
      <c r="I31" s="18">
        <f>'MERCADO TUSD'!$U$28</f>
        <v>0</v>
      </c>
      <c r="J31" s="15"/>
      <c r="L31" s="13">
        <f>'TUSD BE'!$L$31*'TUSD BE'!$L$58</f>
        <v>0</v>
      </c>
      <c r="M31" s="13">
        <f>'TUSD BE'!$M$31*'TUSD BE'!$M$58</f>
        <v>1.4693829529533044E-2</v>
      </c>
      <c r="N31" s="13">
        <f ca="1">'TUSD BE'!$N$31*'TUSD BE'!$N$58</f>
        <v>0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0.65288137053572814</v>
      </c>
      <c r="R31" s="13">
        <f>'TUSD BE'!$R$31*'TUSD BE'!$R$58</f>
        <v>8.070604169022895E-2</v>
      </c>
      <c r="S31" s="13">
        <f>'TUSD BE'!$R$31*'TUSD BE'!$S$58</f>
        <v>0</v>
      </c>
      <c r="T31" s="13">
        <f ca="1">SUM($L$31:$S$31)</f>
        <v>0.74828124175549016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0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0</v>
      </c>
      <c r="AC31" s="13">
        <f>'TUSD BE'!$AC$31*'TUSD BE'!$AC$58</f>
        <v>-204.74294202928999</v>
      </c>
      <c r="AD31" s="13">
        <f>SUM($AC$31:$AC$31)</f>
        <v>-204.74294202928999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BE'!$AH$58</f>
        <v>-2.3189737977234173</v>
      </c>
      <c r="AI31" s="13">
        <f>'TUSD BE'!$AI$31*'TUSD BE'!$AI$58</f>
        <v>0</v>
      </c>
      <c r="AJ31" s="13">
        <f ca="1">'TUSD BE'!$AJ$31*'TUSD BE'!$AJ$58</f>
        <v>-0.30672816445563966</v>
      </c>
      <c r="AK31" s="13">
        <f ca="1">'TUSD BE'!$AK$31*'TUSD BE'!$AK$58</f>
        <v>0</v>
      </c>
      <c r="AL31" s="13">
        <f ca="1">SUM($AH$31:$AK$31)</f>
        <v>-2.6257019621790567</v>
      </c>
      <c r="AM31" s="13">
        <f ca="1">SUMIF($L$4:$AL$4,"SUBTOTAL",$L$31:$AL$31)</f>
        <v>-206.62036274971356</v>
      </c>
      <c r="AO31" s="20">
        <f ca="1">+'TUSD BE'!$T$31+'TUSD BE'!$AB$31+'TUSD BE'!$AD$31+'TUSD BE'!$AL$31</f>
        <v>854.63357005248963</v>
      </c>
      <c r="AP31" s="20">
        <f ca="1">+'TUSD BE'!$T$31+'TUSD BE'!$AB$31+'TUSD BE'!$AD$31+'TUSD BE'!$AL$31</f>
        <v>854.63357005248963</v>
      </c>
    </row>
    <row r="32" spans="1:42" ht="11.25" customHeight="1" x14ac:dyDescent="0.3">
      <c r="A32" s="95"/>
      <c r="B32" s="95"/>
      <c r="C32" s="95"/>
      <c r="D32" s="95"/>
      <c r="E32" s="95"/>
      <c r="F32" s="95"/>
      <c r="G32" s="18" t="s">
        <v>81</v>
      </c>
      <c r="H32" s="18" t="s">
        <v>79</v>
      </c>
      <c r="I32" s="18">
        <f>'MERCADO TUSD'!$U$29</f>
        <v>0</v>
      </c>
      <c r="J32" s="15"/>
      <c r="L32" s="13">
        <f>'TUSD BE'!$L$32*'TUSD BE'!$L$58</f>
        <v>0</v>
      </c>
      <c r="M32" s="13">
        <f>'TUSD BE'!$M$32*'TUSD BE'!$M$58</f>
        <v>1.4693829529533044E-2</v>
      </c>
      <c r="N32" s="13">
        <f ca="1">'TUSD BE'!$N$32*'TUSD BE'!$N$58</f>
        <v>0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0.65288137053572814</v>
      </c>
      <c r="R32" s="13">
        <f>'TUSD BE'!$R$32*'TUSD BE'!$R$58</f>
        <v>8.070604169022895E-2</v>
      </c>
      <c r="S32" s="13">
        <f>'TUSD BE'!$R$32*'TUSD BE'!$S$58</f>
        <v>0</v>
      </c>
      <c r="T32" s="13">
        <f ca="1">SUM($L$32:$S$32)</f>
        <v>0.74828124175549016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0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0</v>
      </c>
      <c r="AC32" s="13">
        <f>'TUSD BE'!$AC$32*'TUSD BE'!$AC$58</f>
        <v>-68.247647343096659</v>
      </c>
      <c r="AD32" s="13">
        <f>SUM($AC$32:$AC$32)</f>
        <v>-68.247647343096659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BE'!$AH$58</f>
        <v>-2.3189737977234173</v>
      </c>
      <c r="AI32" s="13">
        <f>'TUSD BE'!$AI$32*'TUSD BE'!$AI$58</f>
        <v>0</v>
      </c>
      <c r="AJ32" s="13">
        <f ca="1">'TUSD BE'!$AJ$32*'TUSD BE'!$AJ$58</f>
        <v>-0.30672816445563966</v>
      </c>
      <c r="AK32" s="13">
        <f ca="1">'TUSD BE'!$AK$32*'TUSD BE'!$AK$58</f>
        <v>0</v>
      </c>
      <c r="AL32" s="13">
        <f ca="1">SUM($AH$32:$AK$32)</f>
        <v>-2.6257019621790567</v>
      </c>
      <c r="AM32" s="13">
        <f ca="1">SUMIF($L$4:$AL$4,"SUBTOTAL",$L$32:$AL$32)</f>
        <v>-70.125068063520217</v>
      </c>
      <c r="AO32" s="20">
        <f ca="1">+'TUSD BE'!$T$32+'TUSD BE'!$AB$32+'TUSD BE'!$AD$32+'TUSD BE'!$AL$32</f>
        <v>382.81282050117841</v>
      </c>
      <c r="AP32" s="20">
        <f ca="1">+'TUSD BE'!$T$32+'TUSD BE'!$AB$32+'TUSD BE'!$AD$32+'TUSD BE'!$AL$32</f>
        <v>382.81282050117841</v>
      </c>
    </row>
    <row r="33" spans="1:42" ht="11.25" customHeight="1" x14ac:dyDescent="0.3">
      <c r="A33" s="95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83</v>
      </c>
      <c r="H33" s="18" t="s">
        <v>79</v>
      </c>
      <c r="I33" s="18">
        <f>'MERCADO TUSD'!$U$30</f>
        <v>15119.107000000002</v>
      </c>
      <c r="J33" s="15"/>
      <c r="L33" s="13">
        <f>'TUSD BE'!$L$33*'TUSD BE'!$L$58</f>
        <v>0</v>
      </c>
      <c r="M33" s="13">
        <f>'TUSD BE'!$M$33*'TUSD BE'!$M$58</f>
        <v>1.4693829529533044E-2</v>
      </c>
      <c r="N33" s="13">
        <f ca="1">'TUSD BE'!$N$33*'TUSD BE'!$N$58</f>
        <v>0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0.65288137053572814</v>
      </c>
      <c r="R33" s="13">
        <f>'TUSD BE'!$R$33*'TUSD BE'!$R$58</f>
        <v>8.070604169022895E-2</v>
      </c>
      <c r="S33" s="13">
        <f>'TUSD BE'!$R$33*'TUSD BE'!$S$58</f>
        <v>0</v>
      </c>
      <c r="T33" s="13">
        <f ca="1">SUM($L$33:$S$33)</f>
        <v>0.74828124175549016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0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0</v>
      </c>
      <c r="AC33" s="13">
        <f>'TUSD BE'!$AC$33*'TUSD BE'!$AC$58</f>
        <v>-115.67393858563067</v>
      </c>
      <c r="AD33" s="13">
        <f>SUM($AC$33:$AC$33)</f>
        <v>-115.67393858563067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BE'!$AH$58</f>
        <v>-2.3189737977234173</v>
      </c>
      <c r="AI33" s="13">
        <f>'TUSD BE'!$AI$33*'TUSD BE'!$AI$58</f>
        <v>0</v>
      </c>
      <c r="AJ33" s="13">
        <f ca="1">'TUSD BE'!$AJ$33*'TUSD BE'!$AJ$58</f>
        <v>-0.30672816445563966</v>
      </c>
      <c r="AK33" s="13">
        <f ca="1">'TUSD BE'!$AK$33*'TUSD BE'!$AK$58</f>
        <v>0</v>
      </c>
      <c r="AL33" s="13">
        <f ca="1">SUM($AH$33:$AK$33)</f>
        <v>-2.6257019621790567</v>
      </c>
      <c r="AM33" s="13">
        <f ca="1">SUMIF($L$4:$AL$4,"SUBTOTAL",$L$33:$AL$33)</f>
        <v>-117.55135930605422</v>
      </c>
      <c r="AO33" s="20">
        <f ca="1">+'TUSD BE'!$T$33+'TUSD BE'!$AB$33+'TUSD BE'!$AD$33+'TUSD BE'!$AL$33</f>
        <v>546.76221670721452</v>
      </c>
      <c r="AP33" s="20">
        <f ca="1">+'TUSD BE'!$T$33+'TUSD BE'!$AB$33+'TUSD BE'!$AD$33+'TUSD BE'!$AL$33</f>
        <v>546.76221670721452</v>
      </c>
    </row>
    <row r="34" spans="1:42" ht="11.25" customHeight="1" x14ac:dyDescent="0.3">
      <c r="A34" s="95"/>
      <c r="B34" s="95" t="s">
        <v>92</v>
      </c>
      <c r="C34" s="95" t="s">
        <v>41</v>
      </c>
      <c r="D34" s="95" t="s">
        <v>95</v>
      </c>
      <c r="E34" s="95" t="s">
        <v>25</v>
      </c>
      <c r="F34" s="95" t="s">
        <v>25</v>
      </c>
      <c r="G34" s="18" t="s">
        <v>80</v>
      </c>
      <c r="H34" s="18" t="s">
        <v>79</v>
      </c>
      <c r="I34" s="18">
        <f>'MERCADO TUSD'!$U$31</f>
        <v>0</v>
      </c>
      <c r="J34" s="15"/>
      <c r="L34" s="13">
        <f>'TUSD BE'!$L$34*'TUSD BE'!$L$58</f>
        <v>0</v>
      </c>
      <c r="M34" s="13">
        <f>'TUSD BE'!$M$34*'TUSD BE'!$M$58</f>
        <v>1.4693829529533044E-2</v>
      </c>
      <c r="N34" s="13">
        <f ca="1">'TUSD BE'!$N$34*'TUSD BE'!$N$58</f>
        <v>0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0.65288137053572814</v>
      </c>
      <c r="R34" s="13">
        <f>'TUSD BE'!$R$34*'TUSD BE'!$R$58</f>
        <v>8.070604169022895E-2</v>
      </c>
      <c r="S34" s="13">
        <f>'TUSD BE'!$R$34*'TUSD BE'!$S$58</f>
        <v>0</v>
      </c>
      <c r="T34" s="13">
        <f ca="1">SUM($L$34:$S$34)</f>
        <v>0.74828124175549016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0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0</v>
      </c>
      <c r="AC34" s="13">
        <f>'TUSD BE'!$AC$34*'TUSD BE'!$AC$58</f>
        <v>-341.23813847558927</v>
      </c>
      <c r="AD34" s="13">
        <f>SUM($AC$34:$AC$34)</f>
        <v>-341.23813847558927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BE'!$AH$58</f>
        <v>-2.3189737977234173</v>
      </c>
      <c r="AI34" s="13">
        <f>'TUSD BE'!$AI$34*'TUSD BE'!$AI$58</f>
        <v>0</v>
      </c>
      <c r="AJ34" s="13">
        <f ca="1">'TUSD BE'!$AJ$34*'TUSD BE'!$AJ$58</f>
        <v>-0.30672816445563966</v>
      </c>
      <c r="AK34" s="13">
        <f ca="1">'TUSD BE'!$AK$34*'TUSD BE'!$AK$58</f>
        <v>0</v>
      </c>
      <c r="AL34" s="13">
        <f ca="1">SUM($AH$34:$AK$34)</f>
        <v>-2.6257019621790567</v>
      </c>
      <c r="AM34" s="13">
        <f ca="1">SUMIF($L$4:$AL$4,"SUBTOTAL",$L$34:$AL$34)</f>
        <v>-343.11555919601284</v>
      </c>
      <c r="AO34" s="20">
        <f ca="1">+'TUSD BE'!$T$34+'TUSD BE'!$AB$34+'TUSD BE'!$AD$34+'TUSD BE'!$AL$34</f>
        <v>1326.5392364665031</v>
      </c>
      <c r="AP34" s="20">
        <f ca="1">+'TUSD BE'!$T$34+'TUSD BE'!$AB$34+'TUSD BE'!$AD$34+'TUSD BE'!$AL$34</f>
        <v>1326.5392364665031</v>
      </c>
    </row>
    <row r="35" spans="1:42" ht="11.25" customHeight="1" x14ac:dyDescent="0.3">
      <c r="A35" s="95"/>
      <c r="B35" s="95"/>
      <c r="C35" s="95"/>
      <c r="D35" s="95"/>
      <c r="E35" s="95"/>
      <c r="F35" s="95"/>
      <c r="G35" s="18" t="s">
        <v>91</v>
      </c>
      <c r="H35" s="18" t="s">
        <v>79</v>
      </c>
      <c r="I35" s="18">
        <f>'MERCADO TUSD'!$U$32</f>
        <v>0</v>
      </c>
      <c r="J35" s="15"/>
      <c r="L35" s="13">
        <f>'TUSD BE'!$L$35*'TUSD BE'!$L$58</f>
        <v>0</v>
      </c>
      <c r="M35" s="13">
        <f>'TUSD BE'!$M$35*'TUSD BE'!$M$58</f>
        <v>1.4693829529533044E-2</v>
      </c>
      <c r="N35" s="13">
        <f ca="1">'TUSD BE'!$N$35*'TUSD BE'!$N$58</f>
        <v>0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0.65288137053572814</v>
      </c>
      <c r="R35" s="13">
        <f>'TUSD BE'!$R$35*'TUSD BE'!$R$58</f>
        <v>8.070604169022895E-2</v>
      </c>
      <c r="S35" s="13">
        <f>'TUSD BE'!$R$35*'TUSD BE'!$S$58</f>
        <v>0</v>
      </c>
      <c r="T35" s="13">
        <f ca="1">SUM($L$35:$S$35)</f>
        <v>0.74828124175549016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0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0</v>
      </c>
      <c r="AC35" s="13">
        <f>'TUSD BE'!$AC$35*'TUSD BE'!$AC$58</f>
        <v>-204.74294202928999</v>
      </c>
      <c r="AD35" s="13">
        <f>SUM($AC$35:$AC$35)</f>
        <v>-204.74294202928999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BE'!$AH$58</f>
        <v>-2.3189737977234173</v>
      </c>
      <c r="AI35" s="13">
        <f>'TUSD BE'!$AI$35*'TUSD BE'!$AI$58</f>
        <v>0</v>
      </c>
      <c r="AJ35" s="13">
        <f ca="1">'TUSD BE'!$AJ$35*'TUSD BE'!$AJ$58</f>
        <v>-0.30672816445563966</v>
      </c>
      <c r="AK35" s="13">
        <f ca="1">'TUSD BE'!$AK$35*'TUSD BE'!$AK$58</f>
        <v>0</v>
      </c>
      <c r="AL35" s="13">
        <f ca="1">SUM($AH$35:$AK$35)</f>
        <v>-2.6257019621790567</v>
      </c>
      <c r="AM35" s="13">
        <f ca="1">SUMIF($L$4:$AL$4,"SUBTOTAL",$L$35:$AL$35)</f>
        <v>-206.62036274971356</v>
      </c>
      <c r="AO35" s="20">
        <f ca="1">+'TUSD BE'!$T$35+'TUSD BE'!$AB$35+'TUSD BE'!$AD$35+'TUSD BE'!$AL$35</f>
        <v>854.63357005248963</v>
      </c>
      <c r="AP35" s="20">
        <f ca="1">+'TUSD BE'!$T$35+'TUSD BE'!$AB$35+'TUSD BE'!$AD$35+'TUSD BE'!$AL$35</f>
        <v>854.63357005248963</v>
      </c>
    </row>
    <row r="36" spans="1:42" ht="11.25" customHeight="1" x14ac:dyDescent="0.3">
      <c r="A36" s="95"/>
      <c r="B36" s="95"/>
      <c r="C36" s="95"/>
      <c r="D36" s="95"/>
      <c r="E36" s="95"/>
      <c r="F36" s="95"/>
      <c r="G36" s="18" t="s">
        <v>81</v>
      </c>
      <c r="H36" s="18" t="s">
        <v>79</v>
      </c>
      <c r="I36" s="18">
        <f>'MERCADO TUSD'!$U$33</f>
        <v>0</v>
      </c>
      <c r="J36" s="15"/>
      <c r="L36" s="13">
        <f>'TUSD BE'!$L$36*'TUSD BE'!$L$58</f>
        <v>0</v>
      </c>
      <c r="M36" s="13">
        <f>'TUSD BE'!$M$36*'TUSD BE'!$M$58</f>
        <v>1.4693829529533044E-2</v>
      </c>
      <c r="N36" s="13">
        <f ca="1">'TUSD BE'!$N$36*'TUSD BE'!$N$58</f>
        <v>0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0.65288137053572814</v>
      </c>
      <c r="R36" s="13">
        <f>'TUSD BE'!$R$36*'TUSD BE'!$R$58</f>
        <v>8.070604169022895E-2</v>
      </c>
      <c r="S36" s="13">
        <f>'TUSD BE'!$R$36*'TUSD BE'!$S$58</f>
        <v>0</v>
      </c>
      <c r="T36" s="13">
        <f ca="1">SUM($L$36:$S$36)</f>
        <v>0.74828124175549016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0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0</v>
      </c>
      <c r="AC36" s="13">
        <f>'TUSD BE'!$AC$36*'TUSD BE'!$AC$58</f>
        <v>-68.247647343096659</v>
      </c>
      <c r="AD36" s="13">
        <f>SUM($AC$36:$AC$36)</f>
        <v>-68.247647343096659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BE'!$AH$58</f>
        <v>-2.3189737977234173</v>
      </c>
      <c r="AI36" s="13">
        <f>'TUSD BE'!$AI$36*'TUSD BE'!$AI$58</f>
        <v>0</v>
      </c>
      <c r="AJ36" s="13">
        <f ca="1">'TUSD BE'!$AJ$36*'TUSD BE'!$AJ$58</f>
        <v>-0.30672816445563966</v>
      </c>
      <c r="AK36" s="13">
        <f ca="1">'TUSD BE'!$AK$36*'TUSD BE'!$AK$58</f>
        <v>0</v>
      </c>
      <c r="AL36" s="13">
        <f ca="1">SUM($AH$36:$AK$36)</f>
        <v>-2.6257019621790567</v>
      </c>
      <c r="AM36" s="13">
        <f ca="1">SUMIF($L$4:$AL$4,"SUBTOTAL",$L$36:$AL$36)</f>
        <v>-70.125068063520217</v>
      </c>
      <c r="AO36" s="20">
        <f ca="1">+'TUSD BE'!$T$36+'TUSD BE'!$AB$36+'TUSD BE'!$AD$36+'TUSD BE'!$AL$36</f>
        <v>382.81282050117841</v>
      </c>
      <c r="AP36" s="20">
        <f ca="1">+'TUSD BE'!$T$36+'TUSD BE'!$AB$36+'TUSD BE'!$AD$36+'TUSD BE'!$AL$36</f>
        <v>382.81282050117841</v>
      </c>
    </row>
    <row r="37" spans="1:42" ht="11.25" customHeight="1" x14ac:dyDescent="0.3">
      <c r="A37" s="95"/>
      <c r="B37" s="17" t="s">
        <v>23</v>
      </c>
      <c r="C37" s="17" t="s">
        <v>41</v>
      </c>
      <c r="D37" s="17" t="s">
        <v>95</v>
      </c>
      <c r="E37" s="17" t="s">
        <v>25</v>
      </c>
      <c r="F37" s="17" t="s">
        <v>25</v>
      </c>
      <c r="G37" s="18" t="s">
        <v>83</v>
      </c>
      <c r="H37" s="18" t="s">
        <v>79</v>
      </c>
      <c r="I37" s="18">
        <f>'MERCADO TUSD'!$U$34</f>
        <v>0</v>
      </c>
      <c r="J37" s="15"/>
      <c r="L37" s="13">
        <f>'TUSD BE'!$L$37*'TUSD BE'!$L$58</f>
        <v>0</v>
      </c>
      <c r="M37" s="13">
        <f>'TUSD BE'!$M$37*'TUSD BE'!$M$58</f>
        <v>1.4693829529533044E-2</v>
      </c>
      <c r="N37" s="13">
        <f ca="1">'TUSD BE'!$N$37*'TUSD BE'!$N$58</f>
        <v>0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0.65288137053572814</v>
      </c>
      <c r="R37" s="13">
        <f>'TUSD BE'!$R$37*'TUSD BE'!$R$58</f>
        <v>8.070604169022895E-2</v>
      </c>
      <c r="S37" s="13">
        <f>'TUSD BE'!$R$37*'TUSD BE'!$S$58</f>
        <v>0</v>
      </c>
      <c r="T37" s="13">
        <f ca="1">SUM($L$37:$S$37)</f>
        <v>0.74828124175549016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0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0</v>
      </c>
      <c r="AC37" s="13">
        <f>'TUSD BE'!$AC$37*'TUSD BE'!$AC$58</f>
        <v>-115.67393858563067</v>
      </c>
      <c r="AD37" s="13">
        <f>SUM($AC$37:$AC$37)</f>
        <v>-115.67393858563067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BE'!$AH$58</f>
        <v>-2.3189737977234173</v>
      </c>
      <c r="AI37" s="13">
        <f>'TUSD BE'!$AI$37*'TUSD BE'!$AI$58</f>
        <v>0</v>
      </c>
      <c r="AJ37" s="13">
        <f ca="1">'TUSD BE'!$AJ$37*'TUSD BE'!$AJ$58</f>
        <v>-0.30672816445563966</v>
      </c>
      <c r="AK37" s="13">
        <f ca="1">'TUSD BE'!$AK$37*'TUSD BE'!$AK$58</f>
        <v>0</v>
      </c>
      <c r="AL37" s="13">
        <f ca="1">SUM($AH$37:$AK$37)</f>
        <v>-2.6257019621790567</v>
      </c>
      <c r="AM37" s="13">
        <f ca="1">SUMIF($L$4:$AL$4,"SUBTOTAL",$L$37:$AL$37)</f>
        <v>-117.55135930605422</v>
      </c>
      <c r="AO37" s="20">
        <f ca="1">+'TUSD BE'!$T$37+'TUSD BE'!$AB$37+'TUSD BE'!$AD$37+'TUSD BE'!$AL$37</f>
        <v>546.76221670721452</v>
      </c>
      <c r="AP37" s="20">
        <f ca="1">+'TUSD BE'!$T$37+'TUSD BE'!$AB$37+'TUSD BE'!$AD$37+'TUSD BE'!$AL$37</f>
        <v>546.76221670721452</v>
      </c>
    </row>
    <row r="38" spans="1:42" ht="11.25" customHeight="1" x14ac:dyDescent="0.3">
      <c r="A38" s="95"/>
      <c r="B38" s="95" t="s">
        <v>92</v>
      </c>
      <c r="C38" s="95" t="s">
        <v>41</v>
      </c>
      <c r="D38" s="95" t="s">
        <v>96</v>
      </c>
      <c r="E38" s="95" t="s">
        <v>25</v>
      </c>
      <c r="F38" s="95" t="s">
        <v>25</v>
      </c>
      <c r="G38" s="18" t="s">
        <v>80</v>
      </c>
      <c r="H38" s="18" t="s">
        <v>79</v>
      </c>
      <c r="I38" s="18">
        <f>'MERCADO TUSD'!$U$35</f>
        <v>0</v>
      </c>
      <c r="J38" s="15"/>
      <c r="L38" s="13">
        <f>'TUSD BE'!$L$38*'TUSD BE'!$L$58</f>
        <v>0</v>
      </c>
      <c r="M38" s="13">
        <f>'TUSD BE'!$M$38*'TUSD BE'!$M$58</f>
        <v>1.4693829529533044E-2</v>
      </c>
      <c r="N38" s="13">
        <f ca="1">'TUSD BE'!$N$38*'TUSD BE'!$N$58</f>
        <v>0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0.65288137053572814</v>
      </c>
      <c r="R38" s="13">
        <f>'TUSD BE'!$R$38*'TUSD BE'!$R$58</f>
        <v>8.070604169022895E-2</v>
      </c>
      <c r="S38" s="13">
        <f>'TUSD BE'!$R$38*'TUSD BE'!$S$58</f>
        <v>0</v>
      </c>
      <c r="T38" s="13">
        <f ca="1">SUM($L$38:$S$38)</f>
        <v>0.74828124175549016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0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0</v>
      </c>
      <c r="AC38" s="13">
        <f>'TUSD BE'!$AC$38*'TUSD BE'!$AC$58</f>
        <v>-341.23813847558927</v>
      </c>
      <c r="AD38" s="13">
        <f>SUM($AC$38:$AC$38)</f>
        <v>-341.23813847558927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BE'!$AH$58</f>
        <v>-2.3189737977234173</v>
      </c>
      <c r="AI38" s="13">
        <f>'TUSD BE'!$AI$38*'TUSD BE'!$AI$58</f>
        <v>0</v>
      </c>
      <c r="AJ38" s="13">
        <f ca="1">'TUSD BE'!$AJ$38*'TUSD BE'!$AJ$58</f>
        <v>-0.30672816445563966</v>
      </c>
      <c r="AK38" s="13">
        <f ca="1">'TUSD BE'!$AK$38*'TUSD BE'!$AK$58</f>
        <v>0</v>
      </c>
      <c r="AL38" s="13">
        <f ca="1">SUM($AH$38:$AK$38)</f>
        <v>-2.6257019621790567</v>
      </c>
      <c r="AM38" s="13">
        <f ca="1">SUMIF($L$4:$AL$4,"SUBTOTAL",$L$38:$AL$38)</f>
        <v>-343.11555919601284</v>
      </c>
      <c r="AO38" s="20">
        <f ca="1">+'TUSD BE'!$T$38+'TUSD BE'!$AB$38+'TUSD BE'!$AD$38+'TUSD BE'!$AL$38</f>
        <v>1326.5392364665031</v>
      </c>
      <c r="AP38" s="20">
        <f ca="1">+'TUSD BE'!$T$38+'TUSD BE'!$AB$38+'TUSD BE'!$AD$38+'TUSD BE'!$AL$38</f>
        <v>1326.5392364665031</v>
      </c>
    </row>
    <row r="39" spans="1:42" ht="11.25" customHeight="1" x14ac:dyDescent="0.3">
      <c r="A39" s="95"/>
      <c r="B39" s="95"/>
      <c r="C39" s="95"/>
      <c r="D39" s="95"/>
      <c r="E39" s="95"/>
      <c r="F39" s="95"/>
      <c r="G39" s="18" t="s">
        <v>91</v>
      </c>
      <c r="H39" s="18" t="s">
        <v>79</v>
      </c>
      <c r="I39" s="18">
        <f>'MERCADO TUSD'!$U$36</f>
        <v>0</v>
      </c>
      <c r="J39" s="15"/>
      <c r="L39" s="13">
        <f>'TUSD BE'!$L$39*'TUSD BE'!$L$58</f>
        <v>0</v>
      </c>
      <c r="M39" s="13">
        <f>'TUSD BE'!$M$39*'TUSD BE'!$M$58</f>
        <v>1.4693829529533044E-2</v>
      </c>
      <c r="N39" s="13">
        <f ca="1">'TUSD BE'!$N$39*'TUSD BE'!$N$58</f>
        <v>0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0.65288137053572814</v>
      </c>
      <c r="R39" s="13">
        <f>'TUSD BE'!$R$39*'TUSD BE'!$R$58</f>
        <v>8.070604169022895E-2</v>
      </c>
      <c r="S39" s="13">
        <f>'TUSD BE'!$R$39*'TUSD BE'!$S$58</f>
        <v>0</v>
      </c>
      <c r="T39" s="13">
        <f ca="1">SUM($L$39:$S$39)</f>
        <v>0.74828124175549016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0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0</v>
      </c>
      <c r="AC39" s="13">
        <f>'TUSD BE'!$AC$39*'TUSD BE'!$AC$58</f>
        <v>-204.74294202928999</v>
      </c>
      <c r="AD39" s="13">
        <f>SUM($AC$39:$AC$39)</f>
        <v>-204.74294202928999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BE'!$AH$58</f>
        <v>-2.3189737977234173</v>
      </c>
      <c r="AI39" s="13">
        <f>'TUSD BE'!$AI$39*'TUSD BE'!$AI$58</f>
        <v>0</v>
      </c>
      <c r="AJ39" s="13">
        <f ca="1">'TUSD BE'!$AJ$39*'TUSD BE'!$AJ$58</f>
        <v>-0.30672816445563966</v>
      </c>
      <c r="AK39" s="13">
        <f ca="1">'TUSD BE'!$AK$39*'TUSD BE'!$AK$58</f>
        <v>0</v>
      </c>
      <c r="AL39" s="13">
        <f ca="1">SUM($AH$39:$AK$39)</f>
        <v>-2.6257019621790567</v>
      </c>
      <c r="AM39" s="13">
        <f ca="1">SUMIF($L$4:$AL$4,"SUBTOTAL",$L$39:$AL$39)</f>
        <v>-206.62036274971356</v>
      </c>
      <c r="AO39" s="20">
        <f ca="1">+'TUSD BE'!$T$39+'TUSD BE'!$AB$39+'TUSD BE'!$AD$39+'TUSD BE'!$AL$39</f>
        <v>854.63357005248963</v>
      </c>
      <c r="AP39" s="20">
        <f ca="1">+'TUSD BE'!$T$39+'TUSD BE'!$AB$39+'TUSD BE'!$AD$39+'TUSD BE'!$AL$39</f>
        <v>854.63357005248963</v>
      </c>
    </row>
    <row r="40" spans="1:42" ht="11.25" customHeight="1" x14ac:dyDescent="0.3">
      <c r="A40" s="95"/>
      <c r="B40" s="95"/>
      <c r="C40" s="95"/>
      <c r="D40" s="95"/>
      <c r="E40" s="95"/>
      <c r="F40" s="95"/>
      <c r="G40" s="18" t="s">
        <v>81</v>
      </c>
      <c r="H40" s="18" t="s">
        <v>79</v>
      </c>
      <c r="I40" s="18">
        <f>'MERCADO TUSD'!$U$37</f>
        <v>0</v>
      </c>
      <c r="J40" s="15"/>
      <c r="L40" s="13">
        <f>'TUSD BE'!$L$40*'TUSD BE'!$L$58</f>
        <v>0</v>
      </c>
      <c r="M40" s="13">
        <f>'TUSD BE'!$M$40*'TUSD BE'!$M$58</f>
        <v>1.4693829529533044E-2</v>
      </c>
      <c r="N40" s="13">
        <f ca="1">'TUSD BE'!$N$40*'TUSD BE'!$N$58</f>
        <v>0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0.65288137053572814</v>
      </c>
      <c r="R40" s="13">
        <f>'TUSD BE'!$R$40*'TUSD BE'!$R$58</f>
        <v>8.070604169022895E-2</v>
      </c>
      <c r="S40" s="13">
        <f>'TUSD BE'!$R$40*'TUSD BE'!$S$58</f>
        <v>0</v>
      </c>
      <c r="T40" s="13">
        <f ca="1">SUM($L$40:$S$40)</f>
        <v>0.74828124175549016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0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0</v>
      </c>
      <c r="AC40" s="13">
        <f>'TUSD BE'!$AC$40*'TUSD BE'!$AC$58</f>
        <v>-68.247647343096659</v>
      </c>
      <c r="AD40" s="13">
        <f>SUM($AC$40:$AC$40)</f>
        <v>-68.247647343096659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BE'!$AH$58</f>
        <v>-2.3189737977234173</v>
      </c>
      <c r="AI40" s="13">
        <f>'TUSD BE'!$AI$40*'TUSD BE'!$AI$58</f>
        <v>0</v>
      </c>
      <c r="AJ40" s="13">
        <f ca="1">'TUSD BE'!$AJ$40*'TUSD BE'!$AJ$58</f>
        <v>-0.30672816445563966</v>
      </c>
      <c r="AK40" s="13">
        <f ca="1">'TUSD BE'!$AK$40*'TUSD BE'!$AK$58</f>
        <v>0</v>
      </c>
      <c r="AL40" s="13">
        <f ca="1">SUM($AH$40:$AK$40)</f>
        <v>-2.6257019621790567</v>
      </c>
      <c r="AM40" s="13">
        <f ca="1">SUMIF($L$4:$AL$4,"SUBTOTAL",$L$40:$AL$40)</f>
        <v>-70.125068063520217</v>
      </c>
      <c r="AO40" s="20">
        <f ca="1">+'TUSD BE'!$T$40+'TUSD BE'!$AB$40+'TUSD BE'!$AD$40+'TUSD BE'!$AL$40</f>
        <v>382.81282050117841</v>
      </c>
      <c r="AP40" s="20">
        <f ca="1">+'TUSD BE'!$T$40+'TUSD BE'!$AB$40+'TUSD BE'!$AD$40+'TUSD BE'!$AL$40</f>
        <v>382.81282050117841</v>
      </c>
    </row>
    <row r="41" spans="1:42" ht="11.25" customHeight="1" x14ac:dyDescent="0.3">
      <c r="A41" s="95"/>
      <c r="B41" s="17" t="s">
        <v>23</v>
      </c>
      <c r="C41" s="17" t="s">
        <v>41</v>
      </c>
      <c r="D41" s="17" t="s">
        <v>96</v>
      </c>
      <c r="E41" s="17" t="s">
        <v>25</v>
      </c>
      <c r="F41" s="17" t="s">
        <v>25</v>
      </c>
      <c r="G41" s="18" t="s">
        <v>83</v>
      </c>
      <c r="H41" s="18" t="s">
        <v>79</v>
      </c>
      <c r="I41" s="18">
        <f>'MERCADO TUSD'!$U$38</f>
        <v>0</v>
      </c>
      <c r="J41" s="15"/>
      <c r="L41" s="13">
        <f>'TUSD BE'!$L$41*'TUSD BE'!$L$58</f>
        <v>0</v>
      </c>
      <c r="M41" s="13">
        <f>'TUSD BE'!$M$41*'TUSD BE'!$M$58</f>
        <v>1.4693829529533044E-2</v>
      </c>
      <c r="N41" s="13">
        <f ca="1">'TUSD BE'!$N$41*'TUSD BE'!$N$58</f>
        <v>0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0.65288137053572814</v>
      </c>
      <c r="R41" s="13">
        <f>'TUSD BE'!$R$41*'TUSD BE'!$R$58</f>
        <v>8.070604169022895E-2</v>
      </c>
      <c r="S41" s="13">
        <f>'TUSD BE'!$R$41*'TUSD BE'!$S$58</f>
        <v>0</v>
      </c>
      <c r="T41" s="13">
        <f ca="1">SUM($L$41:$S$41)</f>
        <v>0.74828124175549016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0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0</v>
      </c>
      <c r="AC41" s="13">
        <f>'TUSD BE'!$AC$41*'TUSD BE'!$AC$58</f>
        <v>-115.67393858563067</v>
      </c>
      <c r="AD41" s="13">
        <f>SUM($AC$41:$AC$41)</f>
        <v>-115.67393858563067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BE'!$AH$58</f>
        <v>-2.3189737977234173</v>
      </c>
      <c r="AI41" s="13">
        <f>'TUSD BE'!$AI$41*'TUSD BE'!$AI$58</f>
        <v>0</v>
      </c>
      <c r="AJ41" s="13">
        <f ca="1">'TUSD BE'!$AJ$41*'TUSD BE'!$AJ$58</f>
        <v>-0.30672816445563966</v>
      </c>
      <c r="AK41" s="13">
        <f ca="1">'TUSD BE'!$AK$41*'TUSD BE'!$AK$58</f>
        <v>0</v>
      </c>
      <c r="AL41" s="13">
        <f ca="1">SUM($AH$41:$AK$41)</f>
        <v>-2.6257019621790567</v>
      </c>
      <c r="AM41" s="13">
        <f ca="1">SUMIF($L$4:$AL$4,"SUBTOTAL",$L$41:$AL$41)</f>
        <v>-117.55135930605422</v>
      </c>
      <c r="AO41" s="20">
        <f ca="1">+'TUSD BE'!$T$41+'TUSD BE'!$AB$41+'TUSD BE'!$AD$41+'TUSD BE'!$AL$41</f>
        <v>546.76221670721452</v>
      </c>
      <c r="AP41" s="20">
        <f ca="1">+'TUSD BE'!$T$41+'TUSD BE'!$AB$41+'TUSD BE'!$AD$41+'TUSD BE'!$AL$41</f>
        <v>546.76221670721452</v>
      </c>
    </row>
    <row r="42" spans="1:42" ht="11.25" customHeight="1" x14ac:dyDescent="0.3">
      <c r="A42" s="95"/>
      <c r="B42" s="95" t="s">
        <v>94</v>
      </c>
      <c r="C42" s="95" t="s">
        <v>41</v>
      </c>
      <c r="D42" s="17" t="s">
        <v>25</v>
      </c>
      <c r="E42" s="17" t="s">
        <v>25</v>
      </c>
      <c r="F42" s="17" t="s">
        <v>25</v>
      </c>
      <c r="G42" s="18" t="s">
        <v>83</v>
      </c>
      <c r="H42" s="18" t="s">
        <v>79</v>
      </c>
      <c r="I42" s="18">
        <f>'MERCADO TUSD'!$U$39</f>
        <v>0</v>
      </c>
      <c r="J42" s="15"/>
      <c r="L42" s="13">
        <f>'TUSD BE'!$L$42*'TUSD BE'!$L$58</f>
        <v>0</v>
      </c>
      <c r="M42" s="13">
        <f>'TUSD BE'!$M$42*'TUSD BE'!$M$58</f>
        <v>1.4693829529533044E-2</v>
      </c>
      <c r="N42" s="13">
        <f ca="1">'TUSD BE'!$N$42*'TUSD BE'!$N$58</f>
        <v>0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0.65288137053572814</v>
      </c>
      <c r="R42" s="13">
        <f>'TUSD BE'!$R$42*'TUSD BE'!$R$58</f>
        <v>8.070604169022895E-2</v>
      </c>
      <c r="S42" s="13">
        <f>'TUSD BE'!$R$42*'TUSD BE'!$S$58</f>
        <v>0</v>
      </c>
      <c r="T42" s="13">
        <f ca="1">SUM($L$42:$S$42)</f>
        <v>0.74828124175549016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0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0</v>
      </c>
      <c r="AC42" s="13">
        <f>'TUSD BE'!$AC$42*'TUSD BE'!$AC$58</f>
        <v>-115.67393858563067</v>
      </c>
      <c r="AD42" s="13">
        <f>SUM($AC$42:$AC$42)</f>
        <v>-115.67393858563067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BE'!$AH$58</f>
        <v>-2.3189737977234173</v>
      </c>
      <c r="AI42" s="13">
        <f>'TUSD BE'!$AI$42*'TUSD BE'!$AI$58</f>
        <v>0</v>
      </c>
      <c r="AJ42" s="13">
        <f ca="1">'TUSD BE'!$AJ$42*'TUSD BE'!$AJ$58</f>
        <v>-0.30672816445563966</v>
      </c>
      <c r="AK42" s="13">
        <f ca="1">'TUSD BE'!$AK$42*'TUSD BE'!$AK$58</f>
        <v>0</v>
      </c>
      <c r="AL42" s="13">
        <f ca="1">SUM($AH$42:$AK$42)</f>
        <v>-2.6257019621790567</v>
      </c>
      <c r="AM42" s="13">
        <f ca="1">SUMIF($L$4:$AL$4,"SUBTOTAL",$L$42:$AL$42)</f>
        <v>-117.55135930605422</v>
      </c>
      <c r="AO42" s="20">
        <f ca="1">+'TUSD BE'!$T$42+'TUSD BE'!$AB$42+'TUSD BE'!$AD$42+'TUSD BE'!$AL$42</f>
        <v>546.76221670721452</v>
      </c>
      <c r="AP42" s="20">
        <f ca="1">+'TUSD BE'!$T$42+'TUSD BE'!$AB$42+'TUSD BE'!$AD$42+'TUSD BE'!$AL$42</f>
        <v>546.76221670721452</v>
      </c>
    </row>
    <row r="43" spans="1:42" ht="11.25" customHeight="1" x14ac:dyDescent="0.3">
      <c r="A43" s="95"/>
      <c r="B43" s="95"/>
      <c r="C43" s="95"/>
      <c r="D43" s="17" t="s">
        <v>95</v>
      </c>
      <c r="E43" s="17" t="s">
        <v>25</v>
      </c>
      <c r="F43" s="17" t="s">
        <v>25</v>
      </c>
      <c r="G43" s="18" t="s">
        <v>83</v>
      </c>
      <c r="H43" s="18" t="s">
        <v>79</v>
      </c>
      <c r="I43" s="18">
        <f>'MERCADO TUSD'!$U$40</f>
        <v>0</v>
      </c>
      <c r="J43" s="15"/>
      <c r="L43" s="13">
        <f>'TUSD BE'!$L$43*'TUSD BE'!$L$58</f>
        <v>0</v>
      </c>
      <c r="M43" s="13">
        <f>'TUSD BE'!$M$43*'TUSD BE'!$M$58</f>
        <v>1.4693829529533044E-2</v>
      </c>
      <c r="N43" s="13">
        <f ca="1">'TUSD BE'!$N$43*'TUSD BE'!$N$58</f>
        <v>0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0.65288137053572814</v>
      </c>
      <c r="R43" s="13">
        <f>'TUSD BE'!$R$43*'TUSD BE'!$R$58</f>
        <v>8.070604169022895E-2</v>
      </c>
      <c r="S43" s="13">
        <f>'TUSD BE'!$R$43*'TUSD BE'!$S$58</f>
        <v>0</v>
      </c>
      <c r="T43" s="13">
        <f ca="1">SUM($L$43:$S$43)</f>
        <v>0.74828124175549016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0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0</v>
      </c>
      <c r="AC43" s="13">
        <f>'TUSD BE'!$AC$43*'TUSD BE'!$AC$58</f>
        <v>-115.67393858563067</v>
      </c>
      <c r="AD43" s="13">
        <f>SUM($AC$43:$AC$43)</f>
        <v>-115.67393858563067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BE'!$AH$58</f>
        <v>-2.3189737977234173</v>
      </c>
      <c r="AI43" s="13">
        <f>'TUSD BE'!$AI$43*'TUSD BE'!$AI$58</f>
        <v>0</v>
      </c>
      <c r="AJ43" s="13">
        <f ca="1">'TUSD BE'!$AJ$43*'TUSD BE'!$AJ$58</f>
        <v>-0.30672816445563966</v>
      </c>
      <c r="AK43" s="13">
        <f ca="1">'TUSD BE'!$AK$43*'TUSD BE'!$AK$58</f>
        <v>0</v>
      </c>
      <c r="AL43" s="13">
        <f ca="1">SUM($AH$43:$AK$43)</f>
        <v>-2.6257019621790567</v>
      </c>
      <c r="AM43" s="13">
        <f ca="1">SUMIF($L$4:$AL$4,"SUBTOTAL",$L$43:$AL$43)</f>
        <v>-117.55135930605422</v>
      </c>
      <c r="AO43" s="20">
        <f ca="1">+'TUSD BE'!$T$43+'TUSD BE'!$AB$43+'TUSD BE'!$AD$43+'TUSD BE'!$AL$43</f>
        <v>546.76221670721452</v>
      </c>
      <c r="AP43" s="20">
        <f ca="1">+'TUSD BE'!$T$43+'TUSD BE'!$AB$43+'TUSD BE'!$AD$43+'TUSD BE'!$AL$43</f>
        <v>546.76221670721452</v>
      </c>
    </row>
    <row r="44" spans="1:42" ht="11.25" customHeight="1" x14ac:dyDescent="0.3">
      <c r="A44" s="95"/>
      <c r="B44" s="95"/>
      <c r="C44" s="95"/>
      <c r="D44" s="17" t="s">
        <v>96</v>
      </c>
      <c r="E44" s="17" t="s">
        <v>25</v>
      </c>
      <c r="F44" s="17" t="s">
        <v>25</v>
      </c>
      <c r="G44" s="18" t="s">
        <v>83</v>
      </c>
      <c r="H44" s="18" t="s">
        <v>79</v>
      </c>
      <c r="I44" s="18">
        <f>'MERCADO TUSD'!$U$41</f>
        <v>0</v>
      </c>
      <c r="J44" s="15"/>
      <c r="L44" s="13">
        <f>'TUSD BE'!$L$44*'TUSD BE'!$L$58</f>
        <v>0</v>
      </c>
      <c r="M44" s="13">
        <f>'TUSD BE'!$M$44*'TUSD BE'!$M$58</f>
        <v>1.4693829529533044E-2</v>
      </c>
      <c r="N44" s="13">
        <f ca="1">'TUSD BE'!$N$44*'TUSD BE'!$N$58</f>
        <v>0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0.65288137053572814</v>
      </c>
      <c r="R44" s="13">
        <f>'TUSD BE'!$R$44*'TUSD BE'!$R$58</f>
        <v>8.070604169022895E-2</v>
      </c>
      <c r="S44" s="13">
        <f>'TUSD BE'!$R$44*'TUSD BE'!$S$58</f>
        <v>0</v>
      </c>
      <c r="T44" s="13">
        <f ca="1">SUM($L$44:$S$44)</f>
        <v>0.74828124175549016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0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0</v>
      </c>
      <c r="AC44" s="13">
        <f>'TUSD BE'!$AC$44*'TUSD BE'!$AC$58</f>
        <v>-115.67393858563067</v>
      </c>
      <c r="AD44" s="13">
        <f>SUM($AC$44:$AC$44)</f>
        <v>-115.67393858563067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BE'!$AH$58</f>
        <v>-2.3189737977234173</v>
      </c>
      <c r="AI44" s="13">
        <f>'TUSD BE'!$AI$44*'TUSD BE'!$AI$58</f>
        <v>0</v>
      </c>
      <c r="AJ44" s="13">
        <f ca="1">'TUSD BE'!$AJ$44*'TUSD BE'!$AJ$58</f>
        <v>-0.30672816445563966</v>
      </c>
      <c r="AK44" s="13">
        <f ca="1">'TUSD BE'!$AK$44*'TUSD BE'!$AK$58</f>
        <v>0</v>
      </c>
      <c r="AL44" s="13">
        <f ca="1">SUM($AH$44:$AK$44)</f>
        <v>-2.6257019621790567</v>
      </c>
      <c r="AM44" s="13">
        <f ca="1">SUMIF($L$4:$AL$4,"SUBTOTAL",$L$44:$AL$44)</f>
        <v>-117.55135930605422</v>
      </c>
      <c r="AO44" s="20">
        <f ca="1">+'TUSD BE'!$T$44+'TUSD BE'!$AB$44+'TUSD BE'!$AD$44+'TUSD BE'!$AL$44</f>
        <v>546.76221670721452</v>
      </c>
      <c r="AP44" s="20">
        <f ca="1">+'TUSD BE'!$T$44+'TUSD BE'!$AB$44+'TUSD BE'!$AD$44+'TUSD BE'!$AL$44</f>
        <v>546.76221670721452</v>
      </c>
    </row>
    <row r="45" spans="1:42" ht="11.25" customHeight="1" x14ac:dyDescent="0.3">
      <c r="A45" s="95" t="s">
        <v>32</v>
      </c>
      <c r="B45" s="95" t="s">
        <v>92</v>
      </c>
      <c r="C45" s="95" t="s">
        <v>25</v>
      </c>
      <c r="D45" s="95" t="s">
        <v>25</v>
      </c>
      <c r="E45" s="95" t="s">
        <v>25</v>
      </c>
      <c r="F45" s="95" t="s">
        <v>25</v>
      </c>
      <c r="G45" s="18" t="s">
        <v>80</v>
      </c>
      <c r="H45" s="18" t="s">
        <v>79</v>
      </c>
      <c r="I45" s="18">
        <f>'MERCADO TUSD'!$U$42</f>
        <v>0</v>
      </c>
      <c r="J45" s="15"/>
      <c r="L45" s="13">
        <f>'TUSD BE'!$L$45*'TUSD BE'!$L$58</f>
        <v>0</v>
      </c>
      <c r="M45" s="13">
        <f>'TUSD BE'!$M$45*'TUSD BE'!$M$58</f>
        <v>1.4693829529533044E-2</v>
      </c>
      <c r="N45" s="13">
        <f ca="1">'TUSD BE'!$N$45*'TUSD BE'!$N$58</f>
        <v>0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0.65288137053572814</v>
      </c>
      <c r="R45" s="13">
        <f>'TUSD BE'!$R$45*'TUSD BE'!$R$58</f>
        <v>8.070604169022895E-2</v>
      </c>
      <c r="S45" s="13">
        <f>'TUSD BE'!$R$45*'TUSD BE'!$S$58</f>
        <v>0</v>
      </c>
      <c r="T45" s="13">
        <f ca="1">SUM($L$45:$S$45)</f>
        <v>0.74828124175549016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0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0</v>
      </c>
      <c r="AC45" s="13">
        <f>'TUSD BE'!$AC$45*'TUSD BE'!$AC$58</f>
        <v>-393.29143048710188</v>
      </c>
      <c r="AD45" s="13">
        <f>SUM($AC$45:$AC$45)</f>
        <v>-393.29143048710188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BE'!$AH$58</f>
        <v>-2.3189737977234173</v>
      </c>
      <c r="AI45" s="13">
        <f>'TUSD BE'!$AI$45*'TUSD BE'!$AI$58</f>
        <v>0</v>
      </c>
      <c r="AJ45" s="13">
        <f ca="1">'TUSD BE'!$AJ$45*'TUSD BE'!$AJ$58</f>
        <v>-0.30672816445563966</v>
      </c>
      <c r="AK45" s="13">
        <f ca="1">'TUSD BE'!$AK$45*'TUSD BE'!$AK$58</f>
        <v>0</v>
      </c>
      <c r="AL45" s="13">
        <f ca="1">SUM($AH$45:$AK$45)</f>
        <v>-2.6257019621790567</v>
      </c>
      <c r="AM45" s="13">
        <f ca="1">SUMIF($L$4:$AL$4,"SUBTOTAL",$L$45:$AL$45)</f>
        <v>-395.16885120752545</v>
      </c>
      <c r="AO45" s="20">
        <f ca="1">+'TUSD BE'!$T$45+'TUSD BE'!$AB$45+'TUSD BE'!$AD$45+'TUSD BE'!$AL$45</f>
        <v>1506.4768999613898</v>
      </c>
      <c r="AP45" s="20">
        <f ca="1">+'TUSD BE'!$T$45+'TUSD BE'!$AB$45+'TUSD BE'!$AD$45+'TUSD BE'!$AL$45</f>
        <v>1506.4768999613898</v>
      </c>
    </row>
    <row r="46" spans="1:42" ht="11.25" customHeight="1" x14ac:dyDescent="0.3">
      <c r="A46" s="95"/>
      <c r="B46" s="95"/>
      <c r="C46" s="95"/>
      <c r="D46" s="95"/>
      <c r="E46" s="95"/>
      <c r="F46" s="95"/>
      <c r="G46" s="18" t="s">
        <v>91</v>
      </c>
      <c r="H46" s="18" t="s">
        <v>79</v>
      </c>
      <c r="I46" s="18">
        <f>'MERCADO TUSD'!$U$43</f>
        <v>0</v>
      </c>
      <c r="J46" s="15"/>
      <c r="L46" s="13">
        <f>'TUSD BE'!$L$46*'TUSD BE'!$L$58</f>
        <v>0</v>
      </c>
      <c r="M46" s="13">
        <f>'TUSD BE'!$M$46*'TUSD BE'!$M$58</f>
        <v>1.4693829529533044E-2</v>
      </c>
      <c r="N46" s="13">
        <f ca="1">'TUSD BE'!$N$46*'TUSD BE'!$N$58</f>
        <v>0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0.65288137053572814</v>
      </c>
      <c r="R46" s="13">
        <f>'TUSD BE'!$R$46*'TUSD BE'!$R$58</f>
        <v>8.070604169022895E-2</v>
      </c>
      <c r="S46" s="13">
        <f>'TUSD BE'!$R$46*'TUSD BE'!$S$58</f>
        <v>0</v>
      </c>
      <c r="T46" s="13">
        <f ca="1">SUM($L$46:$S$46)</f>
        <v>0.74828124175549016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0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0</v>
      </c>
      <c r="AC46" s="13">
        <f>'TUSD BE'!$AC$46*'TUSD BE'!$AC$58</f>
        <v>-235.97487794023994</v>
      </c>
      <c r="AD46" s="13">
        <f>SUM($AC$46:$AC$46)</f>
        <v>-235.97487794023994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BE'!$AH$58</f>
        <v>-2.3189737977234173</v>
      </c>
      <c r="AI46" s="13">
        <f>'TUSD BE'!$AI$46*'TUSD BE'!$AI$58</f>
        <v>0</v>
      </c>
      <c r="AJ46" s="13">
        <f ca="1">'TUSD BE'!$AJ$46*'TUSD BE'!$AJ$58</f>
        <v>-0.30672816445563966</v>
      </c>
      <c r="AK46" s="13">
        <f ca="1">'TUSD BE'!$AK$46*'TUSD BE'!$AK$58</f>
        <v>0</v>
      </c>
      <c r="AL46" s="13">
        <f ca="1">SUM($AH$46:$AK$46)</f>
        <v>-2.6257019621790567</v>
      </c>
      <c r="AM46" s="13">
        <f ca="1">SUMIF($L$4:$AL$4,"SUBTOTAL",$L$46:$AL$46)</f>
        <v>-237.85229866066351</v>
      </c>
      <c r="AO46" s="20">
        <f ca="1">+'TUSD BE'!$T$46+'TUSD BE'!$AB$46+'TUSD BE'!$AD$46+'TUSD BE'!$AL$46</f>
        <v>962.62445491828953</v>
      </c>
      <c r="AP46" s="20">
        <f ca="1">+'TUSD BE'!$T$46+'TUSD BE'!$AB$46+'TUSD BE'!$AD$46+'TUSD BE'!$AL$46</f>
        <v>962.62445491828953</v>
      </c>
    </row>
    <row r="47" spans="1:42" ht="11.25" customHeight="1" x14ac:dyDescent="0.3">
      <c r="A47" s="95"/>
      <c r="B47" s="95"/>
      <c r="C47" s="95"/>
      <c r="D47" s="95"/>
      <c r="E47" s="95"/>
      <c r="F47" s="95"/>
      <c r="G47" s="18" t="s">
        <v>81</v>
      </c>
      <c r="H47" s="18" t="s">
        <v>79</v>
      </c>
      <c r="I47" s="18">
        <f>'MERCADO TUSD'!$U$44</f>
        <v>0</v>
      </c>
      <c r="J47" s="15"/>
      <c r="L47" s="13">
        <f>'TUSD BE'!$L$47*'TUSD BE'!$L$58</f>
        <v>0</v>
      </c>
      <c r="M47" s="13">
        <f>'TUSD BE'!$M$47*'TUSD BE'!$M$58</f>
        <v>1.4693829529533044E-2</v>
      </c>
      <c r="N47" s="13">
        <f ca="1">'TUSD BE'!$N$47*'TUSD BE'!$N$58</f>
        <v>0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0.65288137053572814</v>
      </c>
      <c r="R47" s="13">
        <f>'TUSD BE'!$R$47*'TUSD BE'!$R$58</f>
        <v>8.070604169022895E-2</v>
      </c>
      <c r="S47" s="13">
        <f>'TUSD BE'!$R$47*'TUSD BE'!$S$58</f>
        <v>0</v>
      </c>
      <c r="T47" s="13">
        <f ca="1">SUM($L$47:$S$47)</f>
        <v>0.74828124175549016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0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0</v>
      </c>
      <c r="AC47" s="13">
        <f>'TUSD BE'!$AC$47*'TUSD BE'!$AC$58</f>
        <v>-78.658325393377993</v>
      </c>
      <c r="AD47" s="13">
        <f>SUM($AC$47:$AC$47)</f>
        <v>-78.658325393377993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BE'!$AH$58</f>
        <v>-2.3189737977234173</v>
      </c>
      <c r="AI47" s="13">
        <f>'TUSD BE'!$AI$47*'TUSD BE'!$AI$58</f>
        <v>0</v>
      </c>
      <c r="AJ47" s="13">
        <f ca="1">'TUSD BE'!$AJ$47*'TUSD BE'!$AJ$58</f>
        <v>-0.30672816445563966</v>
      </c>
      <c r="AK47" s="13">
        <f ca="1">'TUSD BE'!$AK$47*'TUSD BE'!$AK$58</f>
        <v>0</v>
      </c>
      <c r="AL47" s="13">
        <f ca="1">SUM($AH$47:$AK$47)</f>
        <v>-2.6257019621790567</v>
      </c>
      <c r="AM47" s="13">
        <f ca="1">SUMIF($L$4:$AL$4,"SUBTOTAL",$L$47:$AL$47)</f>
        <v>-80.535746113801551</v>
      </c>
      <c r="AO47" s="20">
        <f ca="1">+'TUSD BE'!$T$47+'TUSD BE'!$AB$47+'TUSD BE'!$AD$47+'TUSD BE'!$AL$47</f>
        <v>418.80040975625445</v>
      </c>
      <c r="AP47" s="20">
        <f ca="1">+'TUSD BE'!$T$47+'TUSD BE'!$AB$47+'TUSD BE'!$AD$47+'TUSD BE'!$AL$47</f>
        <v>418.80040975625445</v>
      </c>
    </row>
    <row r="48" spans="1:42" ht="11.25" customHeight="1" x14ac:dyDescent="0.3">
      <c r="A48" s="95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83</v>
      </c>
      <c r="H48" s="18" t="s">
        <v>79</v>
      </c>
      <c r="I48" s="18">
        <f>'MERCADO TUSD'!$U$45</f>
        <v>7750.1880000000001</v>
      </c>
      <c r="J48" s="15"/>
      <c r="L48" s="13">
        <f>'TUSD BE'!$L$48*'TUSD BE'!$L$58</f>
        <v>0</v>
      </c>
      <c r="M48" s="13">
        <f>'TUSD BE'!$M$48*'TUSD BE'!$M$58</f>
        <v>1.4693829529533044E-2</v>
      </c>
      <c r="N48" s="13">
        <f ca="1">'TUSD BE'!$N$48*'TUSD BE'!$N$58</f>
        <v>0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0.65288137053572814</v>
      </c>
      <c r="R48" s="13">
        <f>'TUSD BE'!$R$48*'TUSD BE'!$R$58</f>
        <v>8.070604169022895E-2</v>
      </c>
      <c r="S48" s="13">
        <f>'TUSD BE'!$R$48*'TUSD BE'!$S$58</f>
        <v>0</v>
      </c>
      <c r="T48" s="13">
        <f ca="1">SUM($L$48:$S$48)</f>
        <v>0.74828124175549016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0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0</v>
      </c>
      <c r="AC48" s="13">
        <f>'TUSD BE'!$AC$48*'TUSD BE'!$AC$58</f>
        <v>-115.67393858563067</v>
      </c>
      <c r="AD48" s="13">
        <f>SUM($AC$48:$AC$48)</f>
        <v>-115.67393858563067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BE'!$AH$58</f>
        <v>-2.3189737977234173</v>
      </c>
      <c r="AI48" s="13">
        <f>'TUSD BE'!$AI$48*'TUSD BE'!$AI$58</f>
        <v>0</v>
      </c>
      <c r="AJ48" s="13">
        <f ca="1">'TUSD BE'!$AJ$48*'TUSD BE'!$AJ$58</f>
        <v>-0.30672816445563966</v>
      </c>
      <c r="AK48" s="13">
        <f ca="1">'TUSD BE'!$AK$48*'TUSD BE'!$AK$58</f>
        <v>0</v>
      </c>
      <c r="AL48" s="13">
        <f ca="1">SUM($AH$48:$AK$48)</f>
        <v>-2.6257019621790567</v>
      </c>
      <c r="AM48" s="13">
        <f ca="1">SUMIF($L$4:$AL$4,"SUBTOTAL",$L$48:$AL$48)</f>
        <v>-117.55135930605422</v>
      </c>
      <c r="AO48" s="20">
        <f ca="1">+'TUSD BE'!$T$48+'TUSD BE'!$AB$48+'TUSD BE'!$AD$48+'TUSD BE'!$AL$48</f>
        <v>546.76221670721452</v>
      </c>
      <c r="AP48" s="20">
        <f ca="1">+'TUSD BE'!$T$48+'TUSD BE'!$AB$48+'TUSD BE'!$AD$48+'TUSD BE'!$AL$48</f>
        <v>546.76221670721452</v>
      </c>
    </row>
    <row r="49" spans="1:42" ht="11.25" customHeight="1" x14ac:dyDescent="0.3">
      <c r="A49" s="95"/>
      <c r="B49" s="17" t="s">
        <v>94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83</v>
      </c>
      <c r="H49" s="18" t="s">
        <v>79</v>
      </c>
      <c r="I49" s="18">
        <f>'MERCADO TUSD'!$U$46</f>
        <v>0</v>
      </c>
      <c r="J49" s="15"/>
      <c r="L49" s="13">
        <f>'TUSD BE'!$L$49*'TUSD BE'!$L$58</f>
        <v>0</v>
      </c>
      <c r="M49" s="13">
        <f>'TUSD BE'!$M$49*'TUSD BE'!$M$58</f>
        <v>1.4693829529533044E-2</v>
      </c>
      <c r="N49" s="13">
        <f ca="1">'TUSD BE'!$N$49*'TUSD BE'!$N$58</f>
        <v>0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0.65288137053572814</v>
      </c>
      <c r="R49" s="13">
        <f>'TUSD BE'!$R$49*'TUSD BE'!$R$58</f>
        <v>8.070604169022895E-2</v>
      </c>
      <c r="S49" s="13">
        <f>'TUSD BE'!$R$49*'TUSD BE'!$S$58</f>
        <v>0</v>
      </c>
      <c r="T49" s="13">
        <f ca="1">SUM($L$49:$S$49)</f>
        <v>0.74828124175549016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0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0</v>
      </c>
      <c r="AC49" s="13">
        <f>'TUSD BE'!$AC$49*'TUSD BE'!$AC$58</f>
        <v>-115.67393858563067</v>
      </c>
      <c r="AD49" s="13">
        <f>SUM($AC$49:$AC$49)</f>
        <v>-115.67393858563067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BE'!$AH$58</f>
        <v>-2.3189737977234173</v>
      </c>
      <c r="AI49" s="13">
        <f>'TUSD BE'!$AI$49*'TUSD BE'!$AI$58</f>
        <v>0</v>
      </c>
      <c r="AJ49" s="13">
        <f ca="1">'TUSD BE'!$AJ$49*'TUSD BE'!$AJ$58</f>
        <v>-0.30672816445563966</v>
      </c>
      <c r="AK49" s="13">
        <f ca="1">'TUSD BE'!$AK$49*'TUSD BE'!$AK$58</f>
        <v>0</v>
      </c>
      <c r="AL49" s="13">
        <f ca="1">SUM($AH$49:$AK$49)</f>
        <v>-2.6257019621790567</v>
      </c>
      <c r="AM49" s="13">
        <f ca="1">SUMIF($L$4:$AL$4,"SUBTOTAL",$L$49:$AL$49)</f>
        <v>-117.55135930605422</v>
      </c>
      <c r="AO49" s="20">
        <f ca="1">+'TUSD BE'!$T$49+'TUSD BE'!$AB$49+'TUSD BE'!$AD$49+'TUSD BE'!$AL$49</f>
        <v>546.76221670721452</v>
      </c>
      <c r="AP49" s="20">
        <f ca="1">+'TUSD BE'!$T$49+'TUSD BE'!$AB$49+'TUSD BE'!$AD$49+'TUSD BE'!$AL$49</f>
        <v>546.76221670721452</v>
      </c>
    </row>
    <row r="50" spans="1:42" ht="11.25" customHeight="1" x14ac:dyDescent="0.3">
      <c r="A50" s="95" t="s">
        <v>43</v>
      </c>
      <c r="B50" s="95" t="s">
        <v>23</v>
      </c>
      <c r="C50" s="95" t="s">
        <v>44</v>
      </c>
      <c r="D50" s="17" t="s">
        <v>97</v>
      </c>
      <c r="E50" s="17" t="s">
        <v>25</v>
      </c>
      <c r="F50" s="17" t="s">
        <v>25</v>
      </c>
      <c r="G50" s="18" t="s">
        <v>83</v>
      </c>
      <c r="H50" s="18" t="s">
        <v>79</v>
      </c>
      <c r="I50" s="18">
        <f>'MERCADO TUSD'!$U$47</f>
        <v>0</v>
      </c>
      <c r="J50" s="15"/>
      <c r="L50" s="13">
        <f>'TUSD BE'!$L$50*'TUSD BE'!$L$58</f>
        <v>0</v>
      </c>
      <c r="M50" s="13">
        <f>'TUSD BE'!$M$50*'TUSD BE'!$M$58</f>
        <v>8.0816062412431763E-3</v>
      </c>
      <c r="N50" s="13">
        <f ca="1">'TUSD BE'!$N$50*'TUSD BE'!$N$58</f>
        <v>0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0.35908475379465055</v>
      </c>
      <c r="R50" s="13">
        <f>'TUSD BE'!$R$50*'TUSD BE'!$R$58</f>
        <v>4.4388322929625926E-2</v>
      </c>
      <c r="S50" s="13">
        <f>'TUSD BE'!$R$50*'TUSD BE'!$S$58</f>
        <v>0</v>
      </c>
      <c r="T50" s="13">
        <f ca="1">SUM($L$50:$S$50)</f>
        <v>0.41155468296551961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0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0</v>
      </c>
      <c r="AC50" s="13">
        <f>'TUSD BE'!$AC$50*'TUSD BE'!$AC$58</f>
        <v>-63.620666222096865</v>
      </c>
      <c r="AD50" s="13">
        <f>SUM($AC$50:$AC$50)</f>
        <v>-63.620666222096865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BE'!$AH$58</f>
        <v>-1.2754355887478794</v>
      </c>
      <c r="AI50" s="13">
        <f>'TUSD BE'!$AI$50*'TUSD BE'!$AI$58</f>
        <v>0</v>
      </c>
      <c r="AJ50" s="13">
        <f ca="1">'TUSD BE'!$AJ$50*'TUSD BE'!$AJ$58</f>
        <v>-0.16870049045060181</v>
      </c>
      <c r="AK50" s="13">
        <f ca="1">'TUSD BE'!$AK$50*'TUSD BE'!$AK$58</f>
        <v>0</v>
      </c>
      <c r="AL50" s="13">
        <f ca="1">SUM($AH$50:$AK$50)</f>
        <v>-1.4441360791984812</v>
      </c>
      <c r="AM50" s="13">
        <f ca="1">SUMIF($L$4:$AL$4,"SUBTOTAL",$L$50:$AL$50)</f>
        <v>-64.653247618329829</v>
      </c>
      <c r="AO50" s="20">
        <f ca="1">+'TUSD BE'!$T$50+'TUSD BE'!$AB$50+'TUSD BE'!$AD$50+'TUSD BE'!$AL$50</f>
        <v>300.719219188968</v>
      </c>
      <c r="AP50" s="20">
        <f ca="1">+'TUSD BE'!$T$50+'TUSD BE'!$AB$50+'TUSD BE'!$AD$50+'TUSD BE'!$AL$50</f>
        <v>300.719219188968</v>
      </c>
    </row>
    <row r="51" spans="1:42" ht="11.25" customHeight="1" x14ac:dyDescent="0.3">
      <c r="A51" s="95"/>
      <c r="B51" s="95"/>
      <c r="C51" s="95"/>
      <c r="D51" s="18" t="s">
        <v>45</v>
      </c>
      <c r="E51" s="18" t="s">
        <v>25</v>
      </c>
      <c r="F51" s="18" t="s">
        <v>25</v>
      </c>
      <c r="G51" s="18" t="s">
        <v>83</v>
      </c>
      <c r="H51" s="18" t="s">
        <v>79</v>
      </c>
      <c r="I51" s="18">
        <f>'MERCADO TUSD'!$U$48</f>
        <v>1776.7269999999999</v>
      </c>
      <c r="J51" s="15"/>
      <c r="L51" s="13">
        <f>'TUSD BE'!$L$51*'TUSD BE'!$L$58</f>
        <v>0</v>
      </c>
      <c r="M51" s="13">
        <f>'TUSD BE'!$M$51*'TUSD BE'!$M$58</f>
        <v>8.816297717719827E-3</v>
      </c>
      <c r="N51" s="13">
        <f ca="1">'TUSD BE'!$N$51*'TUSD BE'!$N$58</f>
        <v>0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0.39172882232143691</v>
      </c>
      <c r="R51" s="13">
        <f>'TUSD BE'!$R$51*'TUSD BE'!$R$58</f>
        <v>4.8423625014137363E-2</v>
      </c>
      <c r="S51" s="13">
        <f>'TUSD BE'!$R$51*'TUSD BE'!$S$58</f>
        <v>0</v>
      </c>
      <c r="T51" s="13">
        <f ca="1">SUM($L$51:$S$51)</f>
        <v>0.44896874505329409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0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0</v>
      </c>
      <c r="AC51" s="13">
        <f>'TUSD BE'!$AC$51*'TUSD BE'!$AC$58</f>
        <v>-69.404363151378391</v>
      </c>
      <c r="AD51" s="13">
        <f>SUM($AC$51:$AC$51)</f>
        <v>-69.404363151378391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BE'!$AH$58</f>
        <v>-1.3913842786340502</v>
      </c>
      <c r="AI51" s="13">
        <f>'TUSD BE'!$AI$51*'TUSD BE'!$AI$58</f>
        <v>0</v>
      </c>
      <c r="AJ51" s="13">
        <f ca="1">'TUSD BE'!$AJ$51*'TUSD BE'!$AJ$58</f>
        <v>-0.18403689867338377</v>
      </c>
      <c r="AK51" s="13">
        <f ca="1">'TUSD BE'!$AK$51*'TUSD BE'!$AK$58</f>
        <v>0</v>
      </c>
      <c r="AL51" s="13">
        <f ca="1">SUM($AH$51:$AK$51)</f>
        <v>-1.575421177307434</v>
      </c>
      <c r="AM51" s="13">
        <f ca="1">SUMIF($L$4:$AL$4,"SUBTOTAL",$L$51:$AL$51)</f>
        <v>-70.530815583632531</v>
      </c>
      <c r="AO51" s="20">
        <f ca="1">+'TUSD BE'!$T$51+'TUSD BE'!$AB$51+'TUSD BE'!$AD$51+'TUSD BE'!$AL$51</f>
        <v>328.05733002432868</v>
      </c>
      <c r="AP51" s="20">
        <f ca="1">+'TUSD BE'!$T$51+'TUSD BE'!$AB$51+'TUSD BE'!$AD$51+'TUSD BE'!$AL$51</f>
        <v>328.05733002432868</v>
      </c>
    </row>
    <row r="53" spans="1:42" ht="11.25" customHeight="1" x14ac:dyDescent="0.3">
      <c r="K53" s="16" t="s">
        <v>503</v>
      </c>
      <c r="L53" s="13">
        <f>SUMPRODUCT($I$5:$I51,$L$5:$L51)</f>
        <v>0</v>
      </c>
      <c r="M53" s="13">
        <f>SUMPRODUCT($I$5:$I51,$M$5:$M51)</f>
        <v>646.82343797031069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30266.250366454067</v>
      </c>
      <c r="R53" s="13">
        <f>SUMPRODUCT($I$5:$I51,$R$5:$R51)</f>
        <v>3917.4244702807414</v>
      </c>
      <c r="S53" s="13">
        <f>SUMPRODUCT($I$5:$I51,$S$5:$S51)</f>
        <v>0</v>
      </c>
      <c r="T53" s="13">
        <f ca="1">SUMPRODUCT($I$5:$I51,$T$5:$T51)</f>
        <v>34830.498274705118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-5458141.5687437179</v>
      </c>
      <c r="AD53" s="13">
        <f>SUMPRODUCT($I$5:$I51,$AD$5:$AD51)</f>
        <v>-5458141.5687437179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-98071.409230408972</v>
      </c>
      <c r="AI53" s="13">
        <f>SUMPRODUCT($I$5:$I51,$AI$5:$AI51)</f>
        <v>0</v>
      </c>
      <c r="AJ53" s="13">
        <f ca="1">SUMPRODUCT($I$5:$I51,$AJ$5:$AJ51)</f>
        <v>-13799.258059883547</v>
      </c>
      <c r="AK53" s="13">
        <f ca="1">SUMPRODUCT($I$5:$I51,$AK$5:$AK51)</f>
        <v>0</v>
      </c>
      <c r="AL53" s="13">
        <f ca="1">SUMPRODUCT($I$5:$I51,$AL$5:$AL51)</f>
        <v>-111870.66729029252</v>
      </c>
      <c r="AM53" s="13">
        <f ca="1">SUMPRODUCT($I$5:$I51,$AM$5:$AM51)</f>
        <v>-5535181.7377593052</v>
      </c>
      <c r="AO53" s="18">
        <f ca="1">SUMPRODUCT($I$5:$I51,$AO$5:$AO51)</f>
        <v>25848930.268327352</v>
      </c>
      <c r="AP53" s="18">
        <f ca="1">SUMPRODUCT($I$5:$I51,$AP$5:$AP51)</f>
        <v>25848930.268327352</v>
      </c>
    </row>
    <row r="54" spans="1:42" ht="11.25" customHeight="1" x14ac:dyDescent="0.3">
      <c r="K54" s="16" t="s">
        <v>435</v>
      </c>
      <c r="L54" s="13">
        <f>'TR TUSD'!$L$56</f>
        <v>0</v>
      </c>
      <c r="M54" s="13">
        <f>'TR TUSD'!$M$56</f>
        <v>63183.953109912625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4205666.0145299984</v>
      </c>
      <c r="R54" s="13">
        <f>'TR TUSD'!$R$56</f>
        <v>695904.06842999987</v>
      </c>
      <c r="S54" s="13">
        <f>'TR TUSD'!$S$56</f>
        <v>0</v>
      </c>
      <c r="T54" s="13">
        <f>'TR TUSD'!$T$56</f>
        <v>4964754.036069911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3453247.6839800002</v>
      </c>
      <c r="Z54" s="13">
        <f>'TR TUSD'!$Z$56</f>
        <v>0</v>
      </c>
      <c r="AA54" s="13">
        <f>'TR TUSD'!$AA$56</f>
        <v>0</v>
      </c>
      <c r="AB54" s="13">
        <f>'TR TUSD'!$AB$56</f>
        <v>3453247.6839800002</v>
      </c>
      <c r="AC54" s="13">
        <f>'TR TUSD'!$AC$56</f>
        <v>15711091.529999999</v>
      </c>
      <c r="AD54" s="13">
        <f>'TR TUSD'!$AD$56</f>
        <v>15711091.529999999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1507694.9491274673</v>
      </c>
      <c r="AI54" s="13">
        <f>'TR TUSD'!$AI$56</f>
        <v>0</v>
      </c>
      <c r="AJ54" s="13">
        <f>'TR TUSD'!$AJ$56</f>
        <v>212142.06914997494</v>
      </c>
      <c r="AK54" s="13">
        <f>'TR TUSD'!$AK$56</f>
        <v>0</v>
      </c>
      <c r="AL54" s="13">
        <f>'TR TUSD'!$AL$56</f>
        <v>1719837.0182774423</v>
      </c>
      <c r="AM54" s="13">
        <f>'TUSD BE'!$AM$54</f>
        <v>25848930.268327355</v>
      </c>
      <c r="AO54" s="18">
        <f>$AE$55</f>
        <v>0</v>
      </c>
      <c r="AP54" s="18">
        <f>$AF$55</f>
        <v>0</v>
      </c>
    </row>
    <row r="55" spans="1:42" ht="11.25" customHeight="1" x14ac:dyDescent="0.3">
      <c r="K55" s="16" t="s">
        <v>436</v>
      </c>
      <c r="L55" s="13">
        <f>CUSTOS!$E$2</f>
        <v>0</v>
      </c>
      <c r="M55" s="13">
        <f>CUSTOS!$E$3</f>
        <v>646.82343797031069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30266.250366454064</v>
      </c>
      <c r="R55" s="13">
        <f>CUSTOS!$E$8</f>
        <v>3917.4244702807418</v>
      </c>
      <c r="S55" s="13">
        <f>CUSTOS!$E$9</f>
        <v>0</v>
      </c>
      <c r="T55" s="13">
        <f>CUSTOS!$E$10</f>
        <v>34830.498274705118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0</v>
      </c>
      <c r="Z55" s="13">
        <f>CUSTOS!$E$16</f>
        <v>0</v>
      </c>
      <c r="AA55" s="13">
        <f>CUSTOS!$E$17</f>
        <v>0</v>
      </c>
      <c r="AB55" s="13">
        <f>CUSTOS!$E$18</f>
        <v>0</v>
      </c>
      <c r="AC55" s="13">
        <f>CUSTOS!$E$19</f>
        <v>-5458141.5687437197</v>
      </c>
      <c r="AD55" s="13">
        <f>CUSTOS!$E$20</f>
        <v>-5458141.5687437197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-98071.409230408986</v>
      </c>
      <c r="AI55" s="13">
        <f>CUSTOS!$E$25</f>
        <v>0</v>
      </c>
      <c r="AJ55" s="13">
        <f>CUSTOS!$E$26</f>
        <v>-13799.258059883545</v>
      </c>
      <c r="AK55" s="13">
        <f>CUSTOS!$E$27</f>
        <v>0</v>
      </c>
      <c r="AL55" s="13">
        <f>CUSTOS!$E$28</f>
        <v>-111870.66729029253</v>
      </c>
      <c r="AM55" s="13">
        <f>CUSTOS!$E$29</f>
        <v>-5535181.737759307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3">
      <c r="K56" s="16" t="s">
        <v>437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500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3">
      <c r="K58" s="16" t="s">
        <v>512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</v>
      </c>
      <c r="R58" s="13">
        <f t="shared" si="0"/>
        <v>0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IF((AH54-(0))&lt;&gt;0,(AH56)/(AH54-(0)),0)</f>
        <v>0</v>
      </c>
      <c r="AI58" s="13">
        <f>IF((AI54-(0))&lt;&gt;0,(AI56)/(AI54-(0)),0)</f>
        <v>0</v>
      </c>
      <c r="AJ58" s="13">
        <f>IF((AJ54-(0))&lt;&gt;0,(AJ56)/(AJ54-(0)),0)</f>
        <v>0</v>
      </c>
      <c r="AK58" s="13">
        <f>IF((AK54-(0))&lt;&gt;0,(AK56)/(AK54-(0)),0)</f>
        <v>0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88" priority="55" operator="notEqual">
      <formula>$L$55</formula>
    </cfRule>
    <cfRule type="cellIs" dxfId="887" priority="56" operator="equal">
      <formula>$L$55</formula>
    </cfRule>
  </conditionalFormatting>
  <conditionalFormatting sqref="M53">
    <cfRule type="cellIs" dxfId="886" priority="53" operator="notEqual">
      <formula>$M$55</formula>
    </cfRule>
    <cfRule type="cellIs" dxfId="885" priority="54" operator="equal">
      <formula>$M$55</formula>
    </cfRule>
  </conditionalFormatting>
  <conditionalFormatting sqref="N53">
    <cfRule type="cellIs" dxfId="884" priority="51" operator="notEqual">
      <formula>$N$55</formula>
    </cfRule>
    <cfRule type="cellIs" dxfId="883" priority="52" operator="equal">
      <formula>$N$55</formula>
    </cfRule>
  </conditionalFormatting>
  <conditionalFormatting sqref="O53">
    <cfRule type="cellIs" dxfId="882" priority="49" operator="notEqual">
      <formula>$O$55</formula>
    </cfRule>
    <cfRule type="cellIs" dxfId="881" priority="50" operator="equal">
      <formula>$O$55</formula>
    </cfRule>
  </conditionalFormatting>
  <conditionalFormatting sqref="P53">
    <cfRule type="cellIs" dxfId="880" priority="47" operator="notEqual">
      <formula>$P$55</formula>
    </cfRule>
    <cfRule type="cellIs" dxfId="879" priority="48" operator="equal">
      <formula>$P$55</formula>
    </cfRule>
  </conditionalFormatting>
  <conditionalFormatting sqref="Q53">
    <cfRule type="cellIs" dxfId="878" priority="45" operator="notEqual">
      <formula>$Q$55</formula>
    </cfRule>
    <cfRule type="cellIs" dxfId="877" priority="46" operator="equal">
      <formula>$Q$55</formula>
    </cfRule>
  </conditionalFormatting>
  <conditionalFormatting sqref="R53">
    <cfRule type="cellIs" dxfId="876" priority="43" operator="notEqual">
      <formula>$R$55</formula>
    </cfRule>
    <cfRule type="cellIs" dxfId="875" priority="44" operator="equal">
      <formula>$R$55</formula>
    </cfRule>
  </conditionalFormatting>
  <conditionalFormatting sqref="S53">
    <cfRule type="cellIs" dxfId="874" priority="41" operator="notEqual">
      <formula>$S$55</formula>
    </cfRule>
    <cfRule type="cellIs" dxfId="873" priority="42" operator="equal">
      <formula>$S$55</formula>
    </cfRule>
  </conditionalFormatting>
  <conditionalFormatting sqref="T53">
    <cfRule type="cellIs" dxfId="872" priority="39" operator="notEqual">
      <formula>$T$55</formula>
    </cfRule>
    <cfRule type="cellIs" dxfId="871" priority="40" operator="equal">
      <formula>$T$55</formula>
    </cfRule>
  </conditionalFormatting>
  <conditionalFormatting sqref="U53">
    <cfRule type="cellIs" dxfId="870" priority="37" operator="notEqual">
      <formula>$U$55</formula>
    </cfRule>
    <cfRule type="cellIs" dxfId="869" priority="38" operator="equal">
      <formula>$U$55</formula>
    </cfRule>
  </conditionalFormatting>
  <conditionalFormatting sqref="V53">
    <cfRule type="cellIs" dxfId="868" priority="35" operator="notEqual">
      <formula>$V$55</formula>
    </cfRule>
    <cfRule type="cellIs" dxfId="867" priority="36" operator="equal">
      <formula>$V$55</formula>
    </cfRule>
  </conditionalFormatting>
  <conditionalFormatting sqref="W53">
    <cfRule type="cellIs" dxfId="866" priority="33" operator="notEqual">
      <formula>$W$55</formula>
    </cfRule>
    <cfRule type="cellIs" dxfId="865" priority="34" operator="equal">
      <formula>$W$55</formula>
    </cfRule>
  </conditionalFormatting>
  <conditionalFormatting sqref="X53">
    <cfRule type="cellIs" dxfId="864" priority="31" operator="notEqual">
      <formula>$X$55</formula>
    </cfRule>
    <cfRule type="cellIs" dxfId="863" priority="32" operator="equal">
      <formula>$X$55</formula>
    </cfRule>
  </conditionalFormatting>
  <conditionalFormatting sqref="Y53">
    <cfRule type="cellIs" dxfId="862" priority="29" operator="notEqual">
      <formula>$Y$55</formula>
    </cfRule>
    <cfRule type="cellIs" dxfId="861" priority="30" operator="equal">
      <formula>$Y$55</formula>
    </cfRule>
  </conditionalFormatting>
  <conditionalFormatting sqref="Z53">
    <cfRule type="cellIs" dxfId="860" priority="27" operator="notEqual">
      <formula>$Z$55</formula>
    </cfRule>
    <cfRule type="cellIs" dxfId="859" priority="28" operator="equal">
      <formula>$Z$55</formula>
    </cfRule>
  </conditionalFormatting>
  <conditionalFormatting sqref="AA53">
    <cfRule type="cellIs" dxfId="858" priority="25" operator="notEqual">
      <formula>$AA$55</formula>
    </cfRule>
    <cfRule type="cellIs" dxfId="857" priority="26" operator="equal">
      <formula>$AA$55</formula>
    </cfRule>
  </conditionalFormatting>
  <conditionalFormatting sqref="AB53">
    <cfRule type="cellIs" dxfId="856" priority="23" operator="notEqual">
      <formula>$AB$55</formula>
    </cfRule>
    <cfRule type="cellIs" dxfId="855" priority="24" operator="equal">
      <formula>$AB$55</formula>
    </cfRule>
  </conditionalFormatting>
  <conditionalFormatting sqref="AC53">
    <cfRule type="cellIs" dxfId="854" priority="21" operator="notEqual">
      <formula>$AC$55</formula>
    </cfRule>
    <cfRule type="cellIs" dxfId="853" priority="22" operator="equal">
      <formula>$AC$55</formula>
    </cfRule>
  </conditionalFormatting>
  <conditionalFormatting sqref="AD53">
    <cfRule type="cellIs" dxfId="852" priority="19" operator="notEqual">
      <formula>$AD$55</formula>
    </cfRule>
    <cfRule type="cellIs" dxfId="851" priority="20" operator="equal">
      <formula>$AD$55</formula>
    </cfRule>
  </conditionalFormatting>
  <conditionalFormatting sqref="AE53">
    <cfRule type="cellIs" dxfId="850" priority="17" operator="notEqual">
      <formula>$AE$55</formula>
    </cfRule>
    <cfRule type="cellIs" dxfId="849" priority="18" operator="equal">
      <formula>$AE$55</formula>
    </cfRule>
  </conditionalFormatting>
  <conditionalFormatting sqref="AF53">
    <cfRule type="cellIs" dxfId="848" priority="16" operator="equal">
      <formula>$AF$55</formula>
    </cfRule>
  </conditionalFormatting>
  <conditionalFormatting sqref="AF53">
    <cfRule type="cellIs" dxfId="847" priority="15" operator="notEqual">
      <formula>$AF$55</formula>
    </cfRule>
  </conditionalFormatting>
  <conditionalFormatting sqref="AG53">
    <cfRule type="cellIs" dxfId="846" priority="14" operator="equal">
      <formula>$AG$55</formula>
    </cfRule>
  </conditionalFormatting>
  <conditionalFormatting sqref="AG53">
    <cfRule type="cellIs" dxfId="845" priority="13" operator="notEqual">
      <formula>$AG$55</formula>
    </cfRule>
  </conditionalFormatting>
  <conditionalFormatting sqref="AH53">
    <cfRule type="cellIs" dxfId="844" priority="12" operator="equal">
      <formula>$AH$55</formula>
    </cfRule>
  </conditionalFormatting>
  <conditionalFormatting sqref="AH53">
    <cfRule type="cellIs" dxfId="843" priority="11" operator="notEqual">
      <formula>$AH$55</formula>
    </cfRule>
  </conditionalFormatting>
  <conditionalFormatting sqref="AI53">
    <cfRule type="cellIs" dxfId="842" priority="10" operator="equal">
      <formula>$AI$55</formula>
    </cfRule>
  </conditionalFormatting>
  <conditionalFormatting sqref="AI53">
    <cfRule type="cellIs" dxfId="841" priority="9" operator="notEqual">
      <formula>$AI$55</formula>
    </cfRule>
  </conditionalFormatting>
  <conditionalFormatting sqref="AJ53">
    <cfRule type="cellIs" dxfId="840" priority="8" operator="equal">
      <formula>$AJ$55</formula>
    </cfRule>
  </conditionalFormatting>
  <conditionalFormatting sqref="AJ53">
    <cfRule type="cellIs" dxfId="839" priority="7" operator="notEqual">
      <formula>$AJ$55</formula>
    </cfRule>
  </conditionalFormatting>
  <conditionalFormatting sqref="AK53">
    <cfRule type="cellIs" dxfId="838" priority="6" operator="equal">
      <formula>$AK$55</formula>
    </cfRule>
  </conditionalFormatting>
  <conditionalFormatting sqref="AK53">
    <cfRule type="cellIs" dxfId="837" priority="5" operator="notEqual">
      <formula>$AK$55</formula>
    </cfRule>
  </conditionalFormatting>
  <conditionalFormatting sqref="AL53">
    <cfRule type="cellIs" dxfId="836" priority="4" operator="equal">
      <formula>$AL$55</formula>
    </cfRule>
  </conditionalFormatting>
  <conditionalFormatting sqref="AL53">
    <cfRule type="cellIs" dxfId="835" priority="3" operator="notEqual">
      <formula>$AL$55</formula>
    </cfRule>
  </conditionalFormatting>
  <conditionalFormatting sqref="AM53">
    <cfRule type="cellIs" dxfId="834" priority="2" operator="equal">
      <formula>$AM$55</formula>
    </cfRule>
  </conditionalFormatting>
  <conditionalFormatting sqref="AM53">
    <cfRule type="cellIs" dxfId="833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0CD0-7551-476F-968E-8655A09B1E37}">
  <dimension ref="A1:AP57"/>
  <sheetViews>
    <sheetView showGridLines="0" topLeftCell="AF41" workbookViewId="0">
      <selection activeCell="AO53" sqref="AO53:AP55"/>
    </sheetView>
  </sheetViews>
  <sheetFormatPr defaultRowHeight="11.25" customHeight="1" x14ac:dyDescent="0.3"/>
  <cols>
    <col min="1" max="1" width="9" style="9" bestFit="1" customWidth="1"/>
    <col min="2" max="2" width="19.441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8" width="7.109375" style="9" bestFit="1" customWidth="1"/>
    <col min="9" max="9" width="7.886718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109375" style="9" bestFit="1" customWidth="1"/>
    <col min="14" max="14" width="3.77734375" style="9" bestFit="1" customWidth="1"/>
    <col min="15" max="16" width="4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9.109375" style="9" bestFit="1" customWidth="1"/>
    <col min="21" max="21" width="7.109375" style="9" bestFit="1" customWidth="1"/>
    <col min="22" max="22" width="7" style="9" bestFit="1" customWidth="1"/>
    <col min="23" max="23" width="9.21875" style="9" bestFit="1" customWidth="1"/>
    <col min="24" max="24" width="9.33203125" style="9" bestFit="1" customWidth="1"/>
    <col min="25" max="25" width="4.77734375" style="9" bestFit="1" customWidth="1"/>
    <col min="26" max="26" width="7.109375" style="9" bestFit="1" customWidth="1"/>
    <col min="27" max="27" width="9.33203125" style="9" bestFit="1" customWidth="1"/>
    <col min="28" max="28" width="9.109375" style="9" bestFit="1" customWidth="1"/>
    <col min="29" max="29" width="11.109375" style="9" bestFit="1" customWidth="1"/>
    <col min="30" max="30" width="9.88671875" style="9" bestFit="1" customWidth="1"/>
    <col min="31" max="31" width="7.77734375" style="9" bestFit="1" customWidth="1"/>
    <col min="32" max="32" width="6.88671875" style="9" bestFit="1" customWidth="1"/>
    <col min="33" max="33" width="8.5546875" style="9" bestFit="1" customWidth="1"/>
    <col min="34" max="34" width="14.44140625" style="9" bestFit="1" customWidth="1"/>
    <col min="35" max="35" width="17.5546875" style="9" bestFit="1" customWidth="1"/>
    <col min="36" max="36" width="18.109375" style="9" bestFit="1" customWidth="1"/>
    <col min="37" max="37" width="3.5546875" style="9" bestFit="1" customWidth="1"/>
    <col min="38" max="38" width="9.109375" style="9" bestFit="1" customWidth="1"/>
    <col min="39" max="39" width="9.88671875" style="9" bestFit="1" customWidth="1"/>
    <col min="40" max="40" width="8.88671875" style="9"/>
    <col min="41" max="42" width="9.88671875" style="9" bestFit="1" customWidth="1"/>
    <col min="43" max="16384" width="8.88671875" style="9"/>
  </cols>
  <sheetData>
    <row r="1" spans="1:42" ht="11.25" customHeight="1" x14ac:dyDescent="0.3">
      <c r="A1" s="91" t="s">
        <v>69</v>
      </c>
      <c r="B1" s="91" t="s">
        <v>70</v>
      </c>
      <c r="C1" s="91" t="s">
        <v>71</v>
      </c>
      <c r="D1" s="91" t="s">
        <v>72</v>
      </c>
      <c r="E1" s="91" t="s">
        <v>73</v>
      </c>
      <c r="F1" s="91" t="s">
        <v>15</v>
      </c>
      <c r="G1" s="91" t="s">
        <v>75</v>
      </c>
      <c r="H1" s="91" t="s">
        <v>76</v>
      </c>
      <c r="I1" s="91" t="s">
        <v>494</v>
      </c>
      <c r="J1" s="84"/>
      <c r="L1" s="92" t="s">
        <v>514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O1" s="20"/>
      <c r="AP1" s="96" t="s">
        <v>496</v>
      </c>
    </row>
    <row r="2" spans="1:42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393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O2" s="20"/>
      <c r="AP2" s="97"/>
    </row>
    <row r="3" spans="1:42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394</v>
      </c>
      <c r="M3" s="92"/>
      <c r="N3" s="92"/>
      <c r="O3" s="92"/>
      <c r="P3" s="92"/>
      <c r="Q3" s="92"/>
      <c r="R3" s="92"/>
      <c r="S3" s="92"/>
      <c r="T3" s="92"/>
      <c r="U3" s="92" t="s">
        <v>403</v>
      </c>
      <c r="V3" s="92"/>
      <c r="W3" s="92"/>
      <c r="X3" s="92"/>
      <c r="Y3" s="92"/>
      <c r="Z3" s="92"/>
      <c r="AA3" s="92"/>
      <c r="AB3" s="92"/>
      <c r="AC3" s="92" t="s">
        <v>411</v>
      </c>
      <c r="AD3" s="92"/>
      <c r="AE3" s="92" t="s">
        <v>413</v>
      </c>
      <c r="AF3" s="92"/>
      <c r="AG3" s="92"/>
      <c r="AH3" s="92" t="s">
        <v>416</v>
      </c>
      <c r="AI3" s="92"/>
      <c r="AJ3" s="92"/>
      <c r="AK3" s="92"/>
      <c r="AL3" s="92"/>
      <c r="AM3" s="92" t="s">
        <v>402</v>
      </c>
      <c r="AO3" s="20"/>
      <c r="AP3" s="97"/>
    </row>
    <row r="4" spans="1:42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479</v>
      </c>
      <c r="M4" s="10" t="s">
        <v>395</v>
      </c>
      <c r="N4" s="10" t="s">
        <v>396</v>
      </c>
      <c r="O4" s="10" t="s">
        <v>397</v>
      </c>
      <c r="P4" s="10" t="s">
        <v>398</v>
      </c>
      <c r="Q4" s="10" t="s">
        <v>399</v>
      </c>
      <c r="R4" s="10" t="s">
        <v>400</v>
      </c>
      <c r="S4" s="10" t="s">
        <v>401</v>
      </c>
      <c r="T4" s="10" t="s">
        <v>402</v>
      </c>
      <c r="U4" s="10" t="s">
        <v>404</v>
      </c>
      <c r="V4" s="10" t="s">
        <v>405</v>
      </c>
      <c r="W4" s="10" t="s">
        <v>406</v>
      </c>
      <c r="X4" s="10" t="s">
        <v>407</v>
      </c>
      <c r="Y4" s="10" t="s">
        <v>408</v>
      </c>
      <c r="Z4" s="10" t="s">
        <v>409</v>
      </c>
      <c r="AA4" s="10" t="s">
        <v>410</v>
      </c>
      <c r="AB4" s="10" t="s">
        <v>402</v>
      </c>
      <c r="AC4" s="10" t="s">
        <v>412</v>
      </c>
      <c r="AD4" s="10" t="s">
        <v>402</v>
      </c>
      <c r="AE4" s="10" t="s">
        <v>414</v>
      </c>
      <c r="AF4" s="10" t="s">
        <v>415</v>
      </c>
      <c r="AG4" s="10" t="s">
        <v>402</v>
      </c>
      <c r="AH4" s="10" t="s">
        <v>417</v>
      </c>
      <c r="AI4" s="10" t="s">
        <v>418</v>
      </c>
      <c r="AJ4" s="10" t="s">
        <v>419</v>
      </c>
      <c r="AK4" s="10" t="s">
        <v>420</v>
      </c>
      <c r="AL4" s="10" t="s">
        <v>402</v>
      </c>
      <c r="AM4" s="94"/>
      <c r="AO4" s="21" t="s">
        <v>513</v>
      </c>
      <c r="AP4" s="98"/>
    </row>
    <row r="5" spans="1:42" ht="11.25" customHeight="1" x14ac:dyDescent="0.3">
      <c r="A5" s="95" t="s">
        <v>34</v>
      </c>
      <c r="B5" s="95" t="s">
        <v>35</v>
      </c>
      <c r="C5" s="95" t="s">
        <v>25</v>
      </c>
      <c r="D5" s="95" t="s">
        <v>25</v>
      </c>
      <c r="E5" s="95" t="s">
        <v>25</v>
      </c>
      <c r="F5" s="95" t="s">
        <v>25</v>
      </c>
      <c r="G5" s="18" t="s">
        <v>85</v>
      </c>
      <c r="H5" s="18" t="s">
        <v>84</v>
      </c>
      <c r="I5" s="18">
        <f>'MERCADO TUSD'!$U$2</f>
        <v>372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0">
        <f ca="1">+'TUSD BE'!$T$5+'TUSD BE'!$AB$5+'TUSD BE'!$AD$5+'TUSD BE'!$AL$5</f>
        <v>87.106119275556111</v>
      </c>
      <c r="AP5" s="20">
        <f ca="1">+'TUSD BE'!$T$5+'TUSD BE'!$AB$5+'TUSD BE'!$AD$5+'TUSD BE'!$AL$5</f>
        <v>87.106119275556111</v>
      </c>
    </row>
    <row r="6" spans="1:42" ht="11.25" customHeight="1" x14ac:dyDescent="0.3">
      <c r="A6" s="95"/>
      <c r="B6" s="95"/>
      <c r="C6" s="95"/>
      <c r="D6" s="95"/>
      <c r="E6" s="95"/>
      <c r="F6" s="95"/>
      <c r="G6" s="18" t="s">
        <v>86</v>
      </c>
      <c r="H6" s="18" t="s">
        <v>84</v>
      </c>
      <c r="I6" s="18">
        <f>'MERCADO TUSD'!$U$3</f>
        <v>457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0">
        <f ca="1">+'TUSD BE'!$T$6+'TUSD BE'!$AB$6+'TUSD BE'!$AD$6+'TUSD BE'!$AL$6</f>
        <v>29.68004317323118</v>
      </c>
      <c r="AP6" s="20">
        <f ca="1">+'TUSD BE'!$T$6+'TUSD BE'!$AB$6+'TUSD BE'!$AD$6+'TUSD BE'!$AL$6</f>
        <v>29.68004317323118</v>
      </c>
    </row>
    <row r="7" spans="1:42" ht="11.25" customHeight="1" x14ac:dyDescent="0.3">
      <c r="A7" s="95"/>
      <c r="B7" s="95"/>
      <c r="C7" s="95"/>
      <c r="D7" s="95"/>
      <c r="E7" s="95"/>
      <c r="F7" s="95"/>
      <c r="G7" s="18" t="s">
        <v>83</v>
      </c>
      <c r="H7" s="18" t="s">
        <v>79</v>
      </c>
      <c r="I7" s="18">
        <f>'MERCADO TUSD'!$U$4</f>
        <v>166.83199999999999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0</v>
      </c>
      <c r="R7" s="13">
        <f>'TUSD BE'!$R$7*'TUSD BF'!$R$58</f>
        <v>0</v>
      </c>
      <c r="S7" s="13">
        <f>'TUSD BE'!$R$7*'TUSD BF'!$S$58</f>
        <v>0</v>
      </c>
      <c r="T7" s="13">
        <f ca="1">SUM($L$7:$S$7)</f>
        <v>0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0</v>
      </c>
      <c r="AI7" s="13">
        <f>'TUSD BE'!$AI$7*'TUSD BF'!$AI$58</f>
        <v>0</v>
      </c>
      <c r="AJ7" s="13">
        <f ca="1">'TUSD BE'!$AJ$7*'TUSD BF'!$AJ$58</f>
        <v>0</v>
      </c>
      <c r="AK7" s="13">
        <f ca="1">'TUSD BE'!$AK$7*'TUSD BF'!$AK$58</f>
        <v>0</v>
      </c>
      <c r="AL7" s="13">
        <f ca="1">SUM($AH$7:$AK$7)</f>
        <v>0</v>
      </c>
      <c r="AM7" s="13">
        <f ca="1">SUMIF($L$4:$AL$4,"SUBTOTAL",$L$7:$AL$7)</f>
        <v>0</v>
      </c>
      <c r="AO7" s="20">
        <f ca="1">+'TUSD BE'!$T$7+'TUSD BE'!$AB$7+'TUSD BE'!$AD$7+'TUSD BE'!$AL$7</f>
        <v>112.48462440388872</v>
      </c>
      <c r="AP7" s="20">
        <f ca="1">+'TUSD BE'!$T$7+'TUSD BE'!$AB$7+'TUSD BE'!$AD$7+'TUSD BE'!$AL$7</f>
        <v>112.48462440388872</v>
      </c>
    </row>
    <row r="8" spans="1:42" ht="11.25" customHeight="1" x14ac:dyDescent="0.3">
      <c r="A8" s="95"/>
      <c r="B8" s="95"/>
      <c r="C8" s="95"/>
      <c r="D8" s="95"/>
      <c r="E8" s="17" t="s">
        <v>87</v>
      </c>
      <c r="F8" s="17" t="s">
        <v>25</v>
      </c>
      <c r="G8" s="18" t="s">
        <v>83</v>
      </c>
      <c r="H8" s="18" t="s">
        <v>79</v>
      </c>
      <c r="I8" s="18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0</v>
      </c>
      <c r="AI8" s="13">
        <f>'TUSD BE'!$AI$8*'TUSD BF'!$AI$58</f>
        <v>0</v>
      </c>
      <c r="AJ8" s="13">
        <f ca="1">'TUSD BE'!$AJ$8*'TUSD BF'!$AJ$58</f>
        <v>0</v>
      </c>
      <c r="AK8" s="13">
        <f ca="1">'TUSD BE'!$AK$8*'TUSD BF'!$AK$58</f>
        <v>0</v>
      </c>
      <c r="AL8" s="13">
        <f ca="1">SUM($AH$8:$AK$8)</f>
        <v>0</v>
      </c>
      <c r="AM8" s="13">
        <f ca="1">SUMIF($L$4:$AL$4,"SUBTOTAL",$L$8:$AL$8)</f>
        <v>0</v>
      </c>
      <c r="AO8" s="20">
        <f ca="1">+'TUSD BE'!$T$8+'TUSD BE'!$AB$8+'TUSD BE'!$AD$8+'TUSD BE'!$AL$8</f>
        <v>21.941642036773843</v>
      </c>
      <c r="AP8" s="20">
        <f ca="1">+'TUSD BE'!$T$8+'TUSD BE'!$AB$8+'TUSD BE'!$AD$8+'TUSD BE'!$AL$8</f>
        <v>21.941642036773843</v>
      </c>
    </row>
    <row r="9" spans="1:42" ht="11.25" customHeight="1" x14ac:dyDescent="0.3">
      <c r="A9" s="95"/>
      <c r="B9" s="17" t="s">
        <v>56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84</v>
      </c>
      <c r="I9" s="18">
        <f>'MERCADO TUSD'!$U$6</f>
        <v>137556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0">
        <f ca="1">+'TUSD BE'!$T$9+'TUSD BE'!$AB$9+'TUSD BE'!$AD$9+'TUSD BE'!$AL$9</f>
        <v>10.364171349298351</v>
      </c>
      <c r="AP9" s="20">
        <f ca="1">+'TUSD BE'!$T$9+'TUSD BE'!$AB$9+'TUSD BE'!$AD$9+'TUSD BE'!$AL$9</f>
        <v>10.364171349298351</v>
      </c>
    </row>
    <row r="10" spans="1:42" ht="11.25" customHeight="1" x14ac:dyDescent="0.3">
      <c r="A10" s="95"/>
      <c r="B10" s="95" t="s">
        <v>38</v>
      </c>
      <c r="C10" s="95" t="s">
        <v>25</v>
      </c>
      <c r="D10" s="95" t="s">
        <v>25</v>
      </c>
      <c r="E10" s="95" t="s">
        <v>25</v>
      </c>
      <c r="F10" s="95" t="s">
        <v>25</v>
      </c>
      <c r="G10" s="18" t="s">
        <v>9</v>
      </c>
      <c r="H10" s="18" t="s">
        <v>84</v>
      </c>
      <c r="I10" s="18">
        <f>'MERCADO TUSD'!$U$7</f>
        <v>63157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0">
        <f ca="1">+'TUSD BE'!$T$10+'TUSD BE'!$AB$10+'TUSD BE'!$AD$10+'TUSD BE'!$AL$10</f>
        <v>29.68004317323118</v>
      </c>
      <c r="AP10" s="20">
        <f ca="1">+'TUSD BE'!$T$10+'TUSD BE'!$AB$10+'TUSD BE'!$AD$10+'TUSD BE'!$AL$10</f>
        <v>29.68004317323118</v>
      </c>
    </row>
    <row r="11" spans="1:42" ht="11.25" customHeight="1" x14ac:dyDescent="0.3">
      <c r="A11" s="95"/>
      <c r="B11" s="95"/>
      <c r="C11" s="95"/>
      <c r="D11" s="95"/>
      <c r="E11" s="95"/>
      <c r="F11" s="95"/>
      <c r="G11" s="18" t="s">
        <v>80</v>
      </c>
      <c r="H11" s="18" t="s">
        <v>79</v>
      </c>
      <c r="I11" s="18">
        <f>'MERCADO TUSD'!$U$8</f>
        <v>783.01900000000001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0</v>
      </c>
      <c r="R11" s="13">
        <f>'TUSD BE'!$R$11*'TUSD BF'!$R$58</f>
        <v>0</v>
      </c>
      <c r="S11" s="13">
        <f>'TUSD BE'!$R$11*'TUSD BF'!$S$58</f>
        <v>0</v>
      </c>
      <c r="T11" s="13">
        <f ca="1">SUM($L$11:$S$11)</f>
        <v>0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0</v>
      </c>
      <c r="AI11" s="13">
        <f>'TUSD BE'!$AI$11*'TUSD BF'!$AI$58</f>
        <v>0</v>
      </c>
      <c r="AJ11" s="13">
        <f ca="1">'TUSD BE'!$AJ$11*'TUSD BF'!$AJ$58</f>
        <v>0</v>
      </c>
      <c r="AK11" s="13">
        <f ca="1">'TUSD BE'!$AK$11*'TUSD BF'!$AK$58</f>
        <v>0</v>
      </c>
      <c r="AL11" s="13">
        <f ca="1">SUM($AH$11:$AK$11)</f>
        <v>0</v>
      </c>
      <c r="AM11" s="13">
        <f ca="1">SUMIF($L$4:$AL$4,"SUBTOTAL",$L$11:$AL$11)</f>
        <v>0</v>
      </c>
      <c r="AO11" s="20">
        <f ca="1">+'TUSD BE'!$T$11+'TUSD BE'!$AB$11+'TUSD BE'!$AD$11+'TUSD BE'!$AL$11</f>
        <v>2207.6398266555484</v>
      </c>
      <c r="AP11" s="20">
        <f ca="1">+'TUSD BE'!$T$11+'TUSD BE'!$AB$11+'TUSD BE'!$AD$11+'TUSD BE'!$AL$11</f>
        <v>2207.6398266555484</v>
      </c>
    </row>
    <row r="12" spans="1:42" ht="11.25" customHeight="1" x14ac:dyDescent="0.3">
      <c r="A12" s="95"/>
      <c r="B12" s="95"/>
      <c r="C12" s="95"/>
      <c r="D12" s="95"/>
      <c r="E12" s="95"/>
      <c r="F12" s="95"/>
      <c r="G12" s="18" t="s">
        <v>81</v>
      </c>
      <c r="H12" s="18" t="s">
        <v>79</v>
      </c>
      <c r="I12" s="18">
        <f>'MERCADO TUSD'!$U$9</f>
        <v>12684.257000000001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0</v>
      </c>
      <c r="R12" s="13">
        <f>'TUSD BE'!$R$12*'TUSD BF'!$R$58</f>
        <v>0</v>
      </c>
      <c r="S12" s="13">
        <f>'TUSD BE'!$R$12*'TUSD BF'!$S$58</f>
        <v>0</v>
      </c>
      <c r="T12" s="13">
        <f ca="1">SUM($L$12:$S$12)</f>
        <v>0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0</v>
      </c>
      <c r="AI12" s="13">
        <f>'TUSD BE'!$AI$12*'TUSD BF'!$AI$58</f>
        <v>0</v>
      </c>
      <c r="AJ12" s="13">
        <f ca="1">'TUSD BE'!$AJ$12*'TUSD BF'!$AJ$58</f>
        <v>0</v>
      </c>
      <c r="AK12" s="13">
        <f ca="1">'TUSD BE'!$AK$12*'TUSD BF'!$AK$58</f>
        <v>0</v>
      </c>
      <c r="AL12" s="13">
        <f ca="1">SUM($AH$12:$AK$12)</f>
        <v>0</v>
      </c>
      <c r="AM12" s="13">
        <f ca="1">SUMIF($L$4:$AL$4,"SUBTOTAL",$L$12:$AL$12)</f>
        <v>0</v>
      </c>
      <c r="AO12" s="20">
        <f ca="1">+'TUSD BE'!$T$12+'TUSD BE'!$AB$12+'TUSD BE'!$AD$12+'TUSD BE'!$AL$12</f>
        <v>112.48462440388872</v>
      </c>
      <c r="AP12" s="20">
        <f ca="1">+'TUSD BE'!$T$12+'TUSD BE'!$AB$12+'TUSD BE'!$AD$12+'TUSD BE'!$AL$12</f>
        <v>112.48462440388872</v>
      </c>
    </row>
    <row r="13" spans="1:42" ht="11.25" customHeight="1" x14ac:dyDescent="0.3">
      <c r="A13" s="95"/>
      <c r="B13" s="95"/>
      <c r="C13" s="95"/>
      <c r="D13" s="95"/>
      <c r="E13" s="95" t="s">
        <v>87</v>
      </c>
      <c r="F13" s="95" t="s">
        <v>25</v>
      </c>
      <c r="G13" s="18" t="s">
        <v>80</v>
      </c>
      <c r="H13" s="18" t="s">
        <v>79</v>
      </c>
      <c r="I13" s="18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0</v>
      </c>
      <c r="AI13" s="13">
        <f>'TUSD BE'!$AI$13*'TUSD BF'!$AI$58</f>
        <v>0</v>
      </c>
      <c r="AJ13" s="13">
        <f ca="1">'TUSD BE'!$AJ$13*'TUSD BF'!$AJ$58</f>
        <v>0</v>
      </c>
      <c r="AK13" s="13">
        <f ca="1">'TUSD BE'!$AK$13*'TUSD BF'!$AK$58</f>
        <v>0</v>
      </c>
      <c r="AL13" s="13">
        <f ca="1">SUM($AH$13:$AK$13)</f>
        <v>0</v>
      </c>
      <c r="AM13" s="13">
        <f ca="1">SUMIF($L$4:$AL$4,"SUBTOTAL",$L$13:$AL$13)</f>
        <v>0</v>
      </c>
      <c r="AO13" s="20">
        <f ca="1">+'TUSD BE'!$T$13+'TUSD BE'!$AB$13+'TUSD BE'!$AD$13+'TUSD BE'!$AL$13</f>
        <v>2117.0968442884337</v>
      </c>
      <c r="AP13" s="20">
        <f ca="1">+'TUSD BE'!$T$13+'TUSD BE'!$AB$13+'TUSD BE'!$AD$13+'TUSD BE'!$AL$13</f>
        <v>2117.0968442884337</v>
      </c>
    </row>
    <row r="14" spans="1:42" ht="11.25" customHeight="1" x14ac:dyDescent="0.3">
      <c r="A14" s="95"/>
      <c r="B14" s="95"/>
      <c r="C14" s="95"/>
      <c r="D14" s="95"/>
      <c r="E14" s="95"/>
      <c r="F14" s="95"/>
      <c r="G14" s="18" t="s">
        <v>81</v>
      </c>
      <c r="H14" s="18" t="s">
        <v>79</v>
      </c>
      <c r="I14" s="18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0</v>
      </c>
      <c r="AI14" s="13">
        <f>'TUSD BE'!$AI$14*'TUSD BF'!$AI$58</f>
        <v>0</v>
      </c>
      <c r="AJ14" s="13">
        <f ca="1">'TUSD BE'!$AJ$14*'TUSD BF'!$AJ$58</f>
        <v>0</v>
      </c>
      <c r="AK14" s="13">
        <f ca="1">'TUSD BE'!$AK$14*'TUSD BF'!$AK$58</f>
        <v>0</v>
      </c>
      <c r="AL14" s="13">
        <f ca="1">SUM($AH$14:$AK$14)</f>
        <v>0</v>
      </c>
      <c r="AM14" s="13">
        <f ca="1">SUMIF($L$4:$AL$4,"SUBTOTAL",$L$14:$AL$14)</f>
        <v>0</v>
      </c>
      <c r="AO14" s="20">
        <f ca="1">+'TUSD BE'!$T$14+'TUSD BE'!$AB$14+'TUSD BE'!$AD$14+'TUSD BE'!$AL$14</f>
        <v>21.941642036773843</v>
      </c>
      <c r="AP14" s="20">
        <f ca="1">+'TUSD BE'!$T$14+'TUSD BE'!$AB$14+'TUSD BE'!$AD$14+'TUSD BE'!$AL$14</f>
        <v>21.941642036773843</v>
      </c>
    </row>
    <row r="15" spans="1:42" ht="11.25" customHeight="1" x14ac:dyDescent="0.3">
      <c r="A15" s="95" t="s">
        <v>88</v>
      </c>
      <c r="B15" s="95" t="s">
        <v>56</v>
      </c>
      <c r="C15" s="95" t="s">
        <v>25</v>
      </c>
      <c r="D15" s="95" t="s">
        <v>25</v>
      </c>
      <c r="E15" s="17" t="s">
        <v>89</v>
      </c>
      <c r="F15" s="17" t="s">
        <v>25</v>
      </c>
      <c r="G15" s="18" t="s">
        <v>9</v>
      </c>
      <c r="H15" s="18" t="s">
        <v>84</v>
      </c>
      <c r="I15" s="18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0">
        <f ca="1">+'TUSD BE'!$T$15+'TUSD BE'!$AB$15+'TUSD BE'!$AD$15+'TUSD BE'!$AL$15</f>
        <v>5.9529472807551773</v>
      </c>
      <c r="AP15" s="20">
        <f ca="1">+'TUSD BE'!$T$15+'TUSD BE'!$AB$15+'TUSD BE'!$AD$15+'TUSD BE'!$AL$15</f>
        <v>5.9529472807551773</v>
      </c>
    </row>
    <row r="16" spans="1:42" ht="11.25" customHeight="1" x14ac:dyDescent="0.3">
      <c r="A16" s="95"/>
      <c r="B16" s="95"/>
      <c r="C16" s="95"/>
      <c r="D16" s="95"/>
      <c r="E16" s="17" t="s">
        <v>90</v>
      </c>
      <c r="F16" s="17" t="s">
        <v>25</v>
      </c>
      <c r="G16" s="18" t="s">
        <v>9</v>
      </c>
      <c r="H16" s="18" t="s">
        <v>84</v>
      </c>
      <c r="I16" s="18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0">
        <f ca="1">+'TUSD BE'!$T$16+'TUSD BE'!$AB$16+'TUSD BE'!$AD$16+'TUSD BE'!$AL$16</f>
        <v>17.705870156327155</v>
      </c>
      <c r="AP16" s="20">
        <f ca="1">+'TUSD BE'!$T$16+'TUSD BE'!$AB$16+'TUSD BE'!$AD$16+'TUSD BE'!$AL$16</f>
        <v>17.705870156327155</v>
      </c>
    </row>
    <row r="17" spans="1:42" ht="11.25" customHeight="1" x14ac:dyDescent="0.3">
      <c r="A17" s="95" t="s">
        <v>22</v>
      </c>
      <c r="B17" s="95" t="s">
        <v>92</v>
      </c>
      <c r="C17" s="95" t="s">
        <v>24</v>
      </c>
      <c r="D17" s="95" t="s">
        <v>24</v>
      </c>
      <c r="E17" s="95" t="s">
        <v>25</v>
      </c>
      <c r="F17" s="95" t="s">
        <v>25</v>
      </c>
      <c r="G17" s="18" t="s">
        <v>80</v>
      </c>
      <c r="H17" s="18" t="s">
        <v>79</v>
      </c>
      <c r="I17" s="18">
        <f>'MERCADO TUSD'!$U$14</f>
        <v>0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0</v>
      </c>
      <c r="R17" s="13">
        <f>'TUSD BE'!$R$17*'TUSD BF'!$R$58</f>
        <v>0</v>
      </c>
      <c r="S17" s="13">
        <f>'TUSD BE'!$R$17*'TUSD BF'!$S$58</f>
        <v>0</v>
      </c>
      <c r="T17" s="13">
        <f ca="1">SUM($L$17:$S$17)</f>
        <v>0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0</v>
      </c>
      <c r="AI17" s="13">
        <f>'TUSD BE'!$AI$17*'TUSD BF'!$AI$58</f>
        <v>0</v>
      </c>
      <c r="AJ17" s="13">
        <f ca="1">'TUSD BE'!$AJ$17*'TUSD BF'!$AJ$58</f>
        <v>0</v>
      </c>
      <c r="AK17" s="13">
        <f ca="1">'TUSD BE'!$AK$17*'TUSD BF'!$AK$58</f>
        <v>0</v>
      </c>
      <c r="AL17" s="13">
        <f ca="1">SUM($AH$17:$AK$17)</f>
        <v>0</v>
      </c>
      <c r="AM17" s="13">
        <f ca="1">SUMIF($L$4:$AL$4,"SUBTOTAL",$L$17:$AL$17)</f>
        <v>0</v>
      </c>
      <c r="AO17" s="20">
        <f ca="1">+'TUSD BE'!$T$17+'TUSD BE'!$AB$17+'TUSD BE'!$AD$17+'TUSD BE'!$AL$17</f>
        <v>1226.5423438548819</v>
      </c>
      <c r="AP17" s="20">
        <f ca="1">+'TUSD BE'!$T$17+'TUSD BE'!$AB$17+'TUSD BE'!$AD$17+'TUSD BE'!$AL$17</f>
        <v>1226.5423438548819</v>
      </c>
    </row>
    <row r="18" spans="1:42" ht="11.25" customHeight="1" x14ac:dyDescent="0.3">
      <c r="A18" s="95"/>
      <c r="B18" s="95"/>
      <c r="C18" s="95"/>
      <c r="D18" s="95"/>
      <c r="E18" s="95"/>
      <c r="F18" s="95"/>
      <c r="G18" s="18" t="s">
        <v>91</v>
      </c>
      <c r="H18" s="18" t="s">
        <v>79</v>
      </c>
      <c r="I18" s="18">
        <f>'MERCADO TUSD'!$U$15</f>
        <v>0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0</v>
      </c>
      <c r="R18" s="13">
        <f>'TUSD BE'!$R$18*'TUSD BF'!$R$58</f>
        <v>0</v>
      </c>
      <c r="S18" s="13">
        <f>'TUSD BE'!$R$18*'TUSD BF'!$S$58</f>
        <v>0</v>
      </c>
      <c r="T18" s="13">
        <f ca="1">SUM($L$18:$S$18)</f>
        <v>0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0</v>
      </c>
      <c r="AI18" s="13">
        <f>'TUSD BE'!$AI$18*'TUSD BF'!$AI$58</f>
        <v>0</v>
      </c>
      <c r="AJ18" s="13">
        <f ca="1">'TUSD BE'!$AJ$18*'TUSD BF'!$AJ$58</f>
        <v>0</v>
      </c>
      <c r="AK18" s="13">
        <f ca="1">'TUSD BE'!$AK$18*'TUSD BF'!$AK$58</f>
        <v>0</v>
      </c>
      <c r="AL18" s="13">
        <f ca="1">SUM($AH$18:$AK$18)</f>
        <v>0</v>
      </c>
      <c r="AM18" s="13">
        <f ca="1">SUMIF($L$4:$AL$4,"SUBTOTAL",$L$18:$AL$18)</f>
        <v>0</v>
      </c>
      <c r="AO18" s="20">
        <f ca="1">+'TUSD BE'!$T$18+'TUSD BE'!$AB$18+'TUSD BE'!$AD$18+'TUSD BE'!$AL$18</f>
        <v>794.69212113544995</v>
      </c>
      <c r="AP18" s="20">
        <f ca="1">+'TUSD BE'!$T$18+'TUSD BE'!$AB$18+'TUSD BE'!$AD$18+'TUSD BE'!$AL$18</f>
        <v>794.69212113544995</v>
      </c>
    </row>
    <row r="19" spans="1:42" ht="11.25" customHeight="1" x14ac:dyDescent="0.3">
      <c r="A19" s="95"/>
      <c r="B19" s="95"/>
      <c r="C19" s="95"/>
      <c r="D19" s="95"/>
      <c r="E19" s="95"/>
      <c r="F19" s="95"/>
      <c r="G19" s="18" t="s">
        <v>81</v>
      </c>
      <c r="H19" s="18" t="s">
        <v>79</v>
      </c>
      <c r="I19" s="18">
        <f>'MERCADO TUSD'!$U$16</f>
        <v>0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0</v>
      </c>
      <c r="R19" s="13">
        <f>'TUSD BE'!$R$19*'TUSD BF'!$R$58</f>
        <v>0</v>
      </c>
      <c r="S19" s="13">
        <f>'TUSD BE'!$R$19*'TUSD BF'!$S$58</f>
        <v>0</v>
      </c>
      <c r="T19" s="13">
        <f ca="1">SUM($L$19:$S$19)</f>
        <v>0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0</v>
      </c>
      <c r="AI19" s="13">
        <f>'TUSD BE'!$AI$19*'TUSD BF'!$AI$58</f>
        <v>0</v>
      </c>
      <c r="AJ19" s="13">
        <f ca="1">'TUSD BE'!$AJ$19*'TUSD BF'!$AJ$58</f>
        <v>0</v>
      </c>
      <c r="AK19" s="13">
        <f ca="1">'TUSD BE'!$AK$19*'TUSD BF'!$AK$58</f>
        <v>0</v>
      </c>
      <c r="AL19" s="13">
        <f ca="1">SUM($AH$19:$AK$19)</f>
        <v>0</v>
      </c>
      <c r="AM19" s="13">
        <f ca="1">SUMIF($L$4:$AL$4,"SUBTOTAL",$L$19:$AL$19)</f>
        <v>0</v>
      </c>
      <c r="AO19" s="20">
        <f ca="1">+'TUSD BE'!$T$19+'TUSD BE'!$AB$19+'TUSD BE'!$AD$19+'TUSD BE'!$AL$19</f>
        <v>362.81321575445918</v>
      </c>
      <c r="AP19" s="20">
        <f ca="1">+'TUSD BE'!$T$19+'TUSD BE'!$AB$19+'TUSD BE'!$AD$19+'TUSD BE'!$AL$19</f>
        <v>362.81321575445918</v>
      </c>
    </row>
    <row r="20" spans="1:42" ht="11.25" customHeight="1" x14ac:dyDescent="0.3">
      <c r="A20" s="95"/>
      <c r="B20" s="95" t="s">
        <v>23</v>
      </c>
      <c r="C20" s="95" t="s">
        <v>24</v>
      </c>
      <c r="D20" s="17" t="s">
        <v>24</v>
      </c>
      <c r="E20" s="17" t="s">
        <v>25</v>
      </c>
      <c r="F20" s="17" t="s">
        <v>25</v>
      </c>
      <c r="G20" s="18" t="s">
        <v>83</v>
      </c>
      <c r="H20" s="18" t="s">
        <v>79</v>
      </c>
      <c r="I20" s="18">
        <f>'MERCADO TUSD'!$U$17</f>
        <v>10969.981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0</v>
      </c>
      <c r="R20" s="13">
        <f>'TUSD BE'!$R$20*'TUSD BF'!$R$58</f>
        <v>0</v>
      </c>
      <c r="S20" s="13">
        <f>'TUSD BE'!$R$20*'TUSD BF'!$S$58</f>
        <v>0</v>
      </c>
      <c r="T20" s="13">
        <f ca="1">SUM($L$20:$S$20)</f>
        <v>0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0</v>
      </c>
      <c r="AI20" s="13">
        <f>'TUSD BE'!$AI$20*'TUSD BF'!$AI$58</f>
        <v>0</v>
      </c>
      <c r="AJ20" s="13">
        <f ca="1">'TUSD BE'!$AJ$20*'TUSD BF'!$AJ$58</f>
        <v>0</v>
      </c>
      <c r="AK20" s="13">
        <f ca="1">'TUSD BE'!$AK$20*'TUSD BF'!$AK$58</f>
        <v>0</v>
      </c>
      <c r="AL20" s="13">
        <f ca="1">SUM($AH$20:$AK$20)</f>
        <v>0</v>
      </c>
      <c r="AM20" s="13">
        <f ca="1">SUMIF($L$4:$AL$4,"SUBTOTAL",$L$20:$AL$20)</f>
        <v>0</v>
      </c>
      <c r="AO20" s="20">
        <f ca="1">+'TUSD BE'!$T$20+'TUSD BE'!$AB$20+'TUSD BE'!$AD$20+'TUSD BE'!$AL$20</f>
        <v>546.76221670721452</v>
      </c>
      <c r="AP20" s="20">
        <f ca="1">+'TUSD BE'!$T$20+'TUSD BE'!$AB$20+'TUSD BE'!$AD$20+'TUSD BE'!$AL$20</f>
        <v>546.76221670721452</v>
      </c>
    </row>
    <row r="21" spans="1:42" ht="11.25" customHeight="1" x14ac:dyDescent="0.3">
      <c r="A21" s="95"/>
      <c r="B21" s="95"/>
      <c r="C21" s="95"/>
      <c r="D21" s="17" t="s">
        <v>28</v>
      </c>
      <c r="E21" s="17" t="s">
        <v>25</v>
      </c>
      <c r="F21" s="17" t="s">
        <v>25</v>
      </c>
      <c r="G21" s="18" t="s">
        <v>83</v>
      </c>
      <c r="H21" s="18" t="s">
        <v>79</v>
      </c>
      <c r="I21" s="18">
        <f>'MERCADO TUSD'!$U$18</f>
        <v>87.284999999999997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0</v>
      </c>
      <c r="AI21" s="13">
        <f>'TUSD BE'!$AI$21*'TUSD BF'!$AI$58</f>
        <v>0</v>
      </c>
      <c r="AJ21" s="13">
        <f ca="1">'TUSD BE'!$AJ$21*'TUSD BF'!$AJ$58</f>
        <v>0</v>
      </c>
      <c r="AK21" s="13">
        <f ca="1">'TUSD BE'!$AK$21*'TUSD BF'!$AK$58</f>
        <v>0</v>
      </c>
      <c r="AL21" s="13">
        <f ca="1">SUM($AH$21:$AK$21)</f>
        <v>0</v>
      </c>
      <c r="AM21" s="13">
        <f ca="1">SUMIF($L$4:$AL$4,"SUBTOTAL",$L$21:$AL$21)</f>
        <v>0</v>
      </c>
      <c r="AO21" s="20">
        <f ca="1">+'TUSD BE'!$T$21+'TUSD BE'!$AB$21+'TUSD BE'!$AD$21+'TUSD BE'!$AL$21</f>
        <v>441.70378715606284</v>
      </c>
      <c r="AP21" s="20">
        <f ca="1">+'TUSD BE'!$T$21+'TUSD BE'!$AB$21+'TUSD BE'!$AD$21+'TUSD BE'!$AL$21</f>
        <v>441.70378715606284</v>
      </c>
    </row>
    <row r="22" spans="1:42" ht="11.25" customHeight="1" x14ac:dyDescent="0.3">
      <c r="A22" s="95"/>
      <c r="B22" s="95"/>
      <c r="C22" s="95"/>
      <c r="D22" s="17" t="s">
        <v>29</v>
      </c>
      <c r="E22" s="17" t="s">
        <v>25</v>
      </c>
      <c r="F22" s="17" t="s">
        <v>25</v>
      </c>
      <c r="G22" s="18" t="s">
        <v>83</v>
      </c>
      <c r="H22" s="18" t="s">
        <v>79</v>
      </c>
      <c r="I22" s="18">
        <f>'MERCADO TUSD'!$U$19</f>
        <v>183.16699999999997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0</v>
      </c>
      <c r="AI22" s="13">
        <f>'TUSD BE'!$AI$22*'TUSD BF'!$AI$58</f>
        <v>0</v>
      </c>
      <c r="AJ22" s="13">
        <f ca="1">'TUSD BE'!$AJ$22*'TUSD BF'!$AJ$58</f>
        <v>0</v>
      </c>
      <c r="AK22" s="13">
        <f ca="1">'TUSD BE'!$AK$22*'TUSD BF'!$AK$58</f>
        <v>0</v>
      </c>
      <c r="AL22" s="13">
        <f ca="1">SUM($AH$22:$AK$22)</f>
        <v>0</v>
      </c>
      <c r="AM22" s="13">
        <f ca="1">SUMIF($L$4:$AL$4,"SUBTOTAL",$L$22:$AL$22)</f>
        <v>0</v>
      </c>
      <c r="AO22" s="20">
        <f ca="1">+'TUSD BE'!$T$22+'TUSD BE'!$AB$22+'TUSD BE'!$AD$22+'TUSD BE'!$AL$22</f>
        <v>441.70378715606284</v>
      </c>
      <c r="AP22" s="20">
        <f ca="1">+'TUSD BE'!$T$22+'TUSD BE'!$AB$22+'TUSD BE'!$AD$22+'TUSD BE'!$AL$22</f>
        <v>441.70378715606284</v>
      </c>
    </row>
    <row r="23" spans="1:42" ht="11.25" customHeight="1" x14ac:dyDescent="0.3">
      <c r="A23" s="95"/>
      <c r="B23" s="95"/>
      <c r="C23" s="95"/>
      <c r="D23" s="17" t="s">
        <v>30</v>
      </c>
      <c r="E23" s="17" t="s">
        <v>25</v>
      </c>
      <c r="F23" s="17" t="s">
        <v>25</v>
      </c>
      <c r="G23" s="18" t="s">
        <v>83</v>
      </c>
      <c r="H23" s="18" t="s">
        <v>79</v>
      </c>
      <c r="I23" s="18">
        <f>'MERCADO TUSD'!$U$20</f>
        <v>200.38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0</v>
      </c>
      <c r="AI23" s="13">
        <f>'TUSD BE'!$AI$23*'TUSD BF'!$AI$58</f>
        <v>0</v>
      </c>
      <c r="AJ23" s="13">
        <f ca="1">'TUSD BE'!$AJ$23*'TUSD BF'!$AJ$58</f>
        <v>0</v>
      </c>
      <c r="AK23" s="13">
        <f ca="1">'TUSD BE'!$AK$23*'TUSD BF'!$AK$58</f>
        <v>0</v>
      </c>
      <c r="AL23" s="13">
        <f ca="1">SUM($AH$23:$AK$23)</f>
        <v>0</v>
      </c>
      <c r="AM23" s="13">
        <f ca="1">SUMIF($L$4:$AL$4,"SUBTOTAL",$L$23:$AL$23)</f>
        <v>0</v>
      </c>
      <c r="AO23" s="20">
        <f ca="1">+'TUSD BE'!$T$23+'TUSD BE'!$AB$23+'TUSD BE'!$AD$23+'TUSD BE'!$AL$23</f>
        <v>441.70378715606284</v>
      </c>
      <c r="AP23" s="20">
        <f ca="1">+'TUSD BE'!$T$23+'TUSD BE'!$AB$23+'TUSD BE'!$AD$23+'TUSD BE'!$AL$23</f>
        <v>441.70378715606284</v>
      </c>
    </row>
    <row r="24" spans="1:42" ht="11.25" customHeight="1" x14ac:dyDescent="0.3">
      <c r="A24" s="95"/>
      <c r="B24" s="95"/>
      <c r="C24" s="95"/>
      <c r="D24" s="17" t="s">
        <v>31</v>
      </c>
      <c r="E24" s="17" t="s">
        <v>25</v>
      </c>
      <c r="F24" s="17" t="s">
        <v>25</v>
      </c>
      <c r="G24" s="18" t="s">
        <v>83</v>
      </c>
      <c r="H24" s="18" t="s">
        <v>79</v>
      </c>
      <c r="I24" s="18">
        <f>'MERCADO TUSD'!$U$21</f>
        <v>80.955999999999989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0</v>
      </c>
      <c r="AI24" s="13">
        <f>'TUSD BE'!$AI$24*'TUSD BF'!$AI$58</f>
        <v>0</v>
      </c>
      <c r="AJ24" s="13">
        <f ca="1">'TUSD BE'!$AJ$24*'TUSD BF'!$AJ$58</f>
        <v>0</v>
      </c>
      <c r="AK24" s="13">
        <f ca="1">'TUSD BE'!$AK$24*'TUSD BF'!$AK$58</f>
        <v>0</v>
      </c>
      <c r="AL24" s="13">
        <f ca="1">SUM($AH$24:$AK$24)</f>
        <v>0</v>
      </c>
      <c r="AM24" s="13">
        <f ca="1">SUMIF($L$4:$AL$4,"SUBTOTAL",$L$24:$AL$24)</f>
        <v>0</v>
      </c>
      <c r="AO24" s="20">
        <f ca="1">+'TUSD BE'!$T$24+'TUSD BE'!$AB$24+'TUSD BE'!$AD$24+'TUSD BE'!$AL$24</f>
        <v>441.70378715606284</v>
      </c>
      <c r="AP24" s="20">
        <f ca="1">+'TUSD BE'!$T$24+'TUSD BE'!$AB$24+'TUSD BE'!$AD$24+'TUSD BE'!$AL$24</f>
        <v>441.70378715606284</v>
      </c>
    </row>
    <row r="25" spans="1:42" ht="11.25" customHeight="1" x14ac:dyDescent="0.3">
      <c r="A25" s="95"/>
      <c r="B25" s="95" t="s">
        <v>94</v>
      </c>
      <c r="C25" s="95" t="s">
        <v>24</v>
      </c>
      <c r="D25" s="17" t="s">
        <v>24</v>
      </c>
      <c r="E25" s="17" t="s">
        <v>25</v>
      </c>
      <c r="F25" s="17" t="s">
        <v>25</v>
      </c>
      <c r="G25" s="18" t="s">
        <v>83</v>
      </c>
      <c r="H25" s="18" t="s">
        <v>79</v>
      </c>
      <c r="I25" s="18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0</v>
      </c>
      <c r="R25" s="13">
        <f>'TUSD BE'!$R$25*'TUSD BF'!$R$58</f>
        <v>0</v>
      </c>
      <c r="S25" s="13">
        <f>'TUSD BE'!$R$25*'TUSD BF'!$S$58</f>
        <v>0</v>
      </c>
      <c r="T25" s="13">
        <f ca="1">SUM($L$25:$S$25)</f>
        <v>0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0</v>
      </c>
      <c r="AI25" s="13">
        <f>'TUSD BE'!$AI$25*'TUSD BF'!$AI$58</f>
        <v>0</v>
      </c>
      <c r="AJ25" s="13">
        <f ca="1">'TUSD BE'!$AJ$25*'TUSD BF'!$AJ$58</f>
        <v>0</v>
      </c>
      <c r="AK25" s="13">
        <f ca="1">'TUSD BE'!$AK$25*'TUSD BF'!$AK$58</f>
        <v>0</v>
      </c>
      <c r="AL25" s="13">
        <f ca="1">SUM($AH$25:$AK$25)</f>
        <v>0</v>
      </c>
      <c r="AM25" s="13">
        <f ca="1">SUMIF($L$4:$AL$4,"SUBTOTAL",$L$25:$AL$25)</f>
        <v>0</v>
      </c>
      <c r="AO25" s="20">
        <f ca="1">+'TUSD BE'!$T$25+'TUSD BE'!$AB$25+'TUSD BE'!$AD$25+'TUSD BE'!$AL$25</f>
        <v>546.76221670721452</v>
      </c>
      <c r="AP25" s="20">
        <f ca="1">+'TUSD BE'!$T$25+'TUSD BE'!$AB$25+'TUSD BE'!$AD$25+'TUSD BE'!$AL$25</f>
        <v>546.76221670721452</v>
      </c>
    </row>
    <row r="26" spans="1:42" ht="11.25" customHeight="1" x14ac:dyDescent="0.3">
      <c r="A26" s="95"/>
      <c r="B26" s="95"/>
      <c r="C26" s="95"/>
      <c r="D26" s="17" t="s">
        <v>28</v>
      </c>
      <c r="E26" s="17" t="s">
        <v>25</v>
      </c>
      <c r="F26" s="17" t="s">
        <v>25</v>
      </c>
      <c r="G26" s="18" t="s">
        <v>83</v>
      </c>
      <c r="H26" s="18" t="s">
        <v>79</v>
      </c>
      <c r="I26" s="18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0</v>
      </c>
      <c r="AI26" s="13">
        <f>'TUSD BE'!$AI$26*'TUSD BF'!$AI$58</f>
        <v>0</v>
      </c>
      <c r="AJ26" s="13">
        <f ca="1">'TUSD BE'!$AJ$26*'TUSD BF'!$AJ$58</f>
        <v>0</v>
      </c>
      <c r="AK26" s="13">
        <f ca="1">'TUSD BE'!$AK$26*'TUSD BF'!$AK$58</f>
        <v>0</v>
      </c>
      <c r="AL26" s="13">
        <f ca="1">SUM($AH$26:$AK$26)</f>
        <v>0</v>
      </c>
      <c r="AM26" s="13">
        <f ca="1">SUMIF($L$4:$AL$4,"SUBTOTAL",$L$26:$AL$26)</f>
        <v>0</v>
      </c>
      <c r="AO26" s="20">
        <f ca="1">+'TUSD BE'!$T$26+'TUSD BE'!$AB$26+'TUSD BE'!$AD$26+'TUSD BE'!$AL$26</f>
        <v>441.70378715606284</v>
      </c>
      <c r="AP26" s="20">
        <f ca="1">+'TUSD BE'!$T$26+'TUSD BE'!$AB$26+'TUSD BE'!$AD$26+'TUSD BE'!$AL$26</f>
        <v>441.70378715606284</v>
      </c>
    </row>
    <row r="27" spans="1:42" ht="11.25" customHeight="1" x14ac:dyDescent="0.3">
      <c r="A27" s="95"/>
      <c r="B27" s="95"/>
      <c r="C27" s="95"/>
      <c r="D27" s="17" t="s">
        <v>29</v>
      </c>
      <c r="E27" s="17" t="s">
        <v>25</v>
      </c>
      <c r="F27" s="17" t="s">
        <v>25</v>
      </c>
      <c r="G27" s="18" t="s">
        <v>83</v>
      </c>
      <c r="H27" s="18" t="s">
        <v>79</v>
      </c>
      <c r="I27" s="18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0</v>
      </c>
      <c r="AI27" s="13">
        <f>'TUSD BE'!$AI$27*'TUSD BF'!$AI$58</f>
        <v>0</v>
      </c>
      <c r="AJ27" s="13">
        <f ca="1">'TUSD BE'!$AJ$27*'TUSD BF'!$AJ$58</f>
        <v>0</v>
      </c>
      <c r="AK27" s="13">
        <f ca="1">'TUSD BE'!$AK$27*'TUSD BF'!$AK$58</f>
        <v>0</v>
      </c>
      <c r="AL27" s="13">
        <f ca="1">SUM($AH$27:$AK$27)</f>
        <v>0</v>
      </c>
      <c r="AM27" s="13">
        <f ca="1">SUMIF($L$4:$AL$4,"SUBTOTAL",$L$27:$AL$27)</f>
        <v>0</v>
      </c>
      <c r="AO27" s="20">
        <f ca="1">+'TUSD BE'!$T$27+'TUSD BE'!$AB$27+'TUSD BE'!$AD$27+'TUSD BE'!$AL$27</f>
        <v>441.70378715606284</v>
      </c>
      <c r="AP27" s="20">
        <f ca="1">+'TUSD BE'!$T$27+'TUSD BE'!$AB$27+'TUSD BE'!$AD$27+'TUSD BE'!$AL$27</f>
        <v>441.70378715606284</v>
      </c>
    </row>
    <row r="28" spans="1:42" ht="11.25" customHeight="1" x14ac:dyDescent="0.3">
      <c r="A28" s="95"/>
      <c r="B28" s="95"/>
      <c r="C28" s="95"/>
      <c r="D28" s="17" t="s">
        <v>30</v>
      </c>
      <c r="E28" s="17" t="s">
        <v>25</v>
      </c>
      <c r="F28" s="17" t="s">
        <v>25</v>
      </c>
      <c r="G28" s="18" t="s">
        <v>83</v>
      </c>
      <c r="H28" s="18" t="s">
        <v>79</v>
      </c>
      <c r="I28" s="18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0</v>
      </c>
      <c r="AI28" s="13">
        <f>'TUSD BE'!$AI$28*'TUSD BF'!$AI$58</f>
        <v>0</v>
      </c>
      <c r="AJ28" s="13">
        <f ca="1">'TUSD BE'!$AJ$28*'TUSD BF'!$AJ$58</f>
        <v>0</v>
      </c>
      <c r="AK28" s="13">
        <f ca="1">'TUSD BE'!$AK$28*'TUSD BF'!$AK$58</f>
        <v>0</v>
      </c>
      <c r="AL28" s="13">
        <f ca="1">SUM($AH$28:$AK$28)</f>
        <v>0</v>
      </c>
      <c r="AM28" s="13">
        <f ca="1">SUMIF($L$4:$AL$4,"SUBTOTAL",$L$28:$AL$28)</f>
        <v>0</v>
      </c>
      <c r="AO28" s="20">
        <f ca="1">+'TUSD BE'!$T$28+'TUSD BE'!$AB$28+'TUSD BE'!$AD$28+'TUSD BE'!$AL$28</f>
        <v>441.70378715606284</v>
      </c>
      <c r="AP28" s="20">
        <f ca="1">+'TUSD BE'!$T$28+'TUSD BE'!$AB$28+'TUSD BE'!$AD$28+'TUSD BE'!$AL$28</f>
        <v>441.70378715606284</v>
      </c>
    </row>
    <row r="29" spans="1:42" ht="11.25" customHeight="1" x14ac:dyDescent="0.3">
      <c r="A29" s="95"/>
      <c r="B29" s="95"/>
      <c r="C29" s="95"/>
      <c r="D29" s="17" t="s">
        <v>31</v>
      </c>
      <c r="E29" s="17" t="s">
        <v>25</v>
      </c>
      <c r="F29" s="17" t="s">
        <v>25</v>
      </c>
      <c r="G29" s="18" t="s">
        <v>83</v>
      </c>
      <c r="H29" s="18" t="s">
        <v>79</v>
      </c>
      <c r="I29" s="18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0</v>
      </c>
      <c r="AI29" s="13">
        <f>'TUSD BE'!$AI$29*'TUSD BF'!$AI$58</f>
        <v>0</v>
      </c>
      <c r="AJ29" s="13">
        <f ca="1">'TUSD BE'!$AJ$29*'TUSD BF'!$AJ$58</f>
        <v>0</v>
      </c>
      <c r="AK29" s="13">
        <f ca="1">'TUSD BE'!$AK$29*'TUSD BF'!$AK$58</f>
        <v>0</v>
      </c>
      <c r="AL29" s="13">
        <f ca="1">SUM($AH$29:$AK$29)</f>
        <v>0</v>
      </c>
      <c r="AM29" s="13">
        <f ca="1">SUMIF($L$4:$AL$4,"SUBTOTAL",$L$29:$AL$29)</f>
        <v>0</v>
      </c>
      <c r="AO29" s="20">
        <f ca="1">+'TUSD BE'!$T$29+'TUSD BE'!$AB$29+'TUSD BE'!$AD$29+'TUSD BE'!$AL$29</f>
        <v>441.70378715606284</v>
      </c>
      <c r="AP29" s="20">
        <f ca="1">+'TUSD BE'!$T$29+'TUSD BE'!$AB$29+'TUSD BE'!$AD$29+'TUSD BE'!$AL$29</f>
        <v>441.70378715606284</v>
      </c>
    </row>
    <row r="30" spans="1:42" ht="11.25" customHeight="1" x14ac:dyDescent="0.3">
      <c r="A30" s="95" t="s">
        <v>40</v>
      </c>
      <c r="B30" s="95" t="s">
        <v>92</v>
      </c>
      <c r="C30" s="95" t="s">
        <v>41</v>
      </c>
      <c r="D30" s="95" t="s">
        <v>25</v>
      </c>
      <c r="E30" s="95" t="s">
        <v>25</v>
      </c>
      <c r="F30" s="95" t="s">
        <v>25</v>
      </c>
      <c r="G30" s="18" t="s">
        <v>80</v>
      </c>
      <c r="H30" s="18" t="s">
        <v>79</v>
      </c>
      <c r="I30" s="18">
        <f>'MERCADO TUSD'!$U$27</f>
        <v>0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0</v>
      </c>
      <c r="R30" s="13">
        <f>'TUSD BE'!$R$30*'TUSD BF'!$R$58</f>
        <v>0</v>
      </c>
      <c r="S30" s="13">
        <f>'TUSD BE'!$R$30*'TUSD BF'!$S$58</f>
        <v>0</v>
      </c>
      <c r="T30" s="13">
        <f ca="1">SUM($L$30:$S$30)</f>
        <v>0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0</v>
      </c>
      <c r="AI30" s="13">
        <f>'TUSD BE'!$AI$30*'TUSD BF'!$AI$58</f>
        <v>0</v>
      </c>
      <c r="AJ30" s="13">
        <f ca="1">'TUSD BE'!$AJ$30*'TUSD BF'!$AJ$58</f>
        <v>0</v>
      </c>
      <c r="AK30" s="13">
        <f ca="1">'TUSD BE'!$AK$30*'TUSD BF'!$AK$58</f>
        <v>0</v>
      </c>
      <c r="AL30" s="13">
        <f ca="1">SUM($AH$30:$AK$30)</f>
        <v>0</v>
      </c>
      <c r="AM30" s="13">
        <f ca="1">SUMIF($L$4:$AL$4,"SUBTOTAL",$L$30:$AL$30)</f>
        <v>0</v>
      </c>
      <c r="AO30" s="20">
        <f ca="1">+'TUSD BE'!$T$30+'TUSD BE'!$AB$30+'TUSD BE'!$AD$30+'TUSD BE'!$AL$30</f>
        <v>1326.5392364665031</v>
      </c>
      <c r="AP30" s="20">
        <f ca="1">+'TUSD BE'!$T$30+'TUSD BE'!$AB$30+'TUSD BE'!$AD$30+'TUSD BE'!$AL$30</f>
        <v>1326.5392364665031</v>
      </c>
    </row>
    <row r="31" spans="1:42" ht="11.25" customHeight="1" x14ac:dyDescent="0.3">
      <c r="A31" s="95"/>
      <c r="B31" s="95"/>
      <c r="C31" s="95"/>
      <c r="D31" s="95"/>
      <c r="E31" s="95"/>
      <c r="F31" s="95"/>
      <c r="G31" s="18" t="s">
        <v>91</v>
      </c>
      <c r="H31" s="18" t="s">
        <v>79</v>
      </c>
      <c r="I31" s="18">
        <f>'MERCADO TUSD'!$U$28</f>
        <v>0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0</v>
      </c>
      <c r="R31" s="13">
        <f>'TUSD BE'!$R$31*'TUSD BF'!$R$58</f>
        <v>0</v>
      </c>
      <c r="S31" s="13">
        <f>'TUSD BE'!$R$31*'TUSD BF'!$S$58</f>
        <v>0</v>
      </c>
      <c r="T31" s="13">
        <f ca="1">SUM($L$31:$S$31)</f>
        <v>0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0</v>
      </c>
      <c r="AI31" s="13">
        <f>'TUSD BE'!$AI$31*'TUSD BF'!$AI$58</f>
        <v>0</v>
      </c>
      <c r="AJ31" s="13">
        <f ca="1">'TUSD BE'!$AJ$31*'TUSD BF'!$AJ$58</f>
        <v>0</v>
      </c>
      <c r="AK31" s="13">
        <f ca="1">'TUSD BE'!$AK$31*'TUSD BF'!$AK$58</f>
        <v>0</v>
      </c>
      <c r="AL31" s="13">
        <f ca="1">SUM($AH$31:$AK$31)</f>
        <v>0</v>
      </c>
      <c r="AM31" s="13">
        <f ca="1">SUMIF($L$4:$AL$4,"SUBTOTAL",$L$31:$AL$31)</f>
        <v>0</v>
      </c>
      <c r="AO31" s="20">
        <f ca="1">+'TUSD BE'!$T$31+'TUSD BE'!$AB$31+'TUSD BE'!$AD$31+'TUSD BE'!$AL$31</f>
        <v>854.63357005248963</v>
      </c>
      <c r="AP31" s="20">
        <f ca="1">+'TUSD BE'!$T$31+'TUSD BE'!$AB$31+'TUSD BE'!$AD$31+'TUSD BE'!$AL$31</f>
        <v>854.63357005248963</v>
      </c>
    </row>
    <row r="32" spans="1:42" ht="11.25" customHeight="1" x14ac:dyDescent="0.3">
      <c r="A32" s="95"/>
      <c r="B32" s="95"/>
      <c r="C32" s="95"/>
      <c r="D32" s="95"/>
      <c r="E32" s="95"/>
      <c r="F32" s="95"/>
      <c r="G32" s="18" t="s">
        <v>81</v>
      </c>
      <c r="H32" s="18" t="s">
        <v>79</v>
      </c>
      <c r="I32" s="18">
        <f>'MERCADO TUSD'!$U$29</f>
        <v>0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0</v>
      </c>
      <c r="R32" s="13">
        <f>'TUSD BE'!$R$32*'TUSD BF'!$R$58</f>
        <v>0</v>
      </c>
      <c r="S32" s="13">
        <f>'TUSD BE'!$R$32*'TUSD BF'!$S$58</f>
        <v>0</v>
      </c>
      <c r="T32" s="13">
        <f ca="1">SUM($L$32:$S$32)</f>
        <v>0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0</v>
      </c>
      <c r="AI32" s="13">
        <f>'TUSD BE'!$AI$32*'TUSD BF'!$AI$58</f>
        <v>0</v>
      </c>
      <c r="AJ32" s="13">
        <f ca="1">'TUSD BE'!$AJ$32*'TUSD BF'!$AJ$58</f>
        <v>0</v>
      </c>
      <c r="AK32" s="13">
        <f ca="1">'TUSD BE'!$AK$32*'TUSD BF'!$AK$58</f>
        <v>0</v>
      </c>
      <c r="AL32" s="13">
        <f ca="1">SUM($AH$32:$AK$32)</f>
        <v>0</v>
      </c>
      <c r="AM32" s="13">
        <f ca="1">SUMIF($L$4:$AL$4,"SUBTOTAL",$L$32:$AL$32)</f>
        <v>0</v>
      </c>
      <c r="AO32" s="20">
        <f ca="1">+'TUSD BE'!$T$32+'TUSD BE'!$AB$32+'TUSD BE'!$AD$32+'TUSD BE'!$AL$32</f>
        <v>382.81282050117841</v>
      </c>
      <c r="AP32" s="20">
        <f ca="1">+'TUSD BE'!$T$32+'TUSD BE'!$AB$32+'TUSD BE'!$AD$32+'TUSD BE'!$AL$32</f>
        <v>382.81282050117841</v>
      </c>
    </row>
    <row r="33" spans="1:42" ht="11.25" customHeight="1" x14ac:dyDescent="0.3">
      <c r="A33" s="95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83</v>
      </c>
      <c r="H33" s="18" t="s">
        <v>79</v>
      </c>
      <c r="I33" s="18">
        <f>'MERCADO TUSD'!$U$30</f>
        <v>15119.107000000002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0</v>
      </c>
      <c r="R33" s="13">
        <f>'TUSD BE'!$R$33*'TUSD BF'!$R$58</f>
        <v>0</v>
      </c>
      <c r="S33" s="13">
        <f>'TUSD BE'!$R$33*'TUSD BF'!$S$58</f>
        <v>0</v>
      </c>
      <c r="T33" s="13">
        <f ca="1">SUM($L$33:$S$33)</f>
        <v>0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0</v>
      </c>
      <c r="AI33" s="13">
        <f>'TUSD BE'!$AI$33*'TUSD BF'!$AI$58</f>
        <v>0</v>
      </c>
      <c r="AJ33" s="13">
        <f ca="1">'TUSD BE'!$AJ$33*'TUSD BF'!$AJ$58</f>
        <v>0</v>
      </c>
      <c r="AK33" s="13">
        <f ca="1">'TUSD BE'!$AK$33*'TUSD BF'!$AK$58</f>
        <v>0</v>
      </c>
      <c r="AL33" s="13">
        <f ca="1">SUM($AH$33:$AK$33)</f>
        <v>0</v>
      </c>
      <c r="AM33" s="13">
        <f ca="1">SUMIF($L$4:$AL$4,"SUBTOTAL",$L$33:$AL$33)</f>
        <v>0</v>
      </c>
      <c r="AO33" s="20">
        <f ca="1">+'TUSD BE'!$T$33+'TUSD BE'!$AB$33+'TUSD BE'!$AD$33+'TUSD BE'!$AL$33</f>
        <v>546.76221670721452</v>
      </c>
      <c r="AP33" s="20">
        <f ca="1">+'TUSD BE'!$T$33+'TUSD BE'!$AB$33+'TUSD BE'!$AD$33+'TUSD BE'!$AL$33</f>
        <v>546.76221670721452</v>
      </c>
    </row>
    <row r="34" spans="1:42" ht="11.25" customHeight="1" x14ac:dyDescent="0.3">
      <c r="A34" s="95"/>
      <c r="B34" s="95" t="s">
        <v>92</v>
      </c>
      <c r="C34" s="95" t="s">
        <v>41</v>
      </c>
      <c r="D34" s="95" t="s">
        <v>95</v>
      </c>
      <c r="E34" s="95" t="s">
        <v>25</v>
      </c>
      <c r="F34" s="95" t="s">
        <v>25</v>
      </c>
      <c r="G34" s="18" t="s">
        <v>80</v>
      </c>
      <c r="H34" s="18" t="s">
        <v>79</v>
      </c>
      <c r="I34" s="18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0</v>
      </c>
      <c r="R34" s="13">
        <f>'TUSD BE'!$R$34*'TUSD BF'!$R$58</f>
        <v>0</v>
      </c>
      <c r="S34" s="13">
        <f>'TUSD BE'!$R$34*'TUSD BF'!$S$58</f>
        <v>0</v>
      </c>
      <c r="T34" s="13">
        <f ca="1">SUM($L$34:$S$34)</f>
        <v>0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0</v>
      </c>
      <c r="AI34" s="13">
        <f>'TUSD BE'!$AI$34*'TUSD BF'!$AI$58</f>
        <v>0</v>
      </c>
      <c r="AJ34" s="13">
        <f ca="1">'TUSD BE'!$AJ$34*'TUSD BF'!$AJ$58</f>
        <v>0</v>
      </c>
      <c r="AK34" s="13">
        <f ca="1">'TUSD BE'!$AK$34*'TUSD BF'!$AK$58</f>
        <v>0</v>
      </c>
      <c r="AL34" s="13">
        <f ca="1">SUM($AH$34:$AK$34)</f>
        <v>0</v>
      </c>
      <c r="AM34" s="13">
        <f ca="1">SUMIF($L$4:$AL$4,"SUBTOTAL",$L$34:$AL$34)</f>
        <v>0</v>
      </c>
      <c r="AO34" s="20">
        <f ca="1">+'TUSD BE'!$T$34+'TUSD BE'!$AB$34+'TUSD BE'!$AD$34+'TUSD BE'!$AL$34</f>
        <v>1326.5392364665031</v>
      </c>
      <c r="AP34" s="20">
        <f ca="1">+'TUSD BE'!$T$34+'TUSD BE'!$AB$34+'TUSD BE'!$AD$34+'TUSD BE'!$AL$34</f>
        <v>1326.5392364665031</v>
      </c>
    </row>
    <row r="35" spans="1:42" ht="11.25" customHeight="1" x14ac:dyDescent="0.3">
      <c r="A35" s="95"/>
      <c r="B35" s="95"/>
      <c r="C35" s="95"/>
      <c r="D35" s="95"/>
      <c r="E35" s="95"/>
      <c r="F35" s="95"/>
      <c r="G35" s="18" t="s">
        <v>91</v>
      </c>
      <c r="H35" s="18" t="s">
        <v>79</v>
      </c>
      <c r="I35" s="18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0</v>
      </c>
      <c r="R35" s="13">
        <f>'TUSD BE'!$R$35*'TUSD BF'!$R$58</f>
        <v>0</v>
      </c>
      <c r="S35" s="13">
        <f>'TUSD BE'!$R$35*'TUSD BF'!$S$58</f>
        <v>0</v>
      </c>
      <c r="T35" s="13">
        <f ca="1">SUM($L$35:$S$35)</f>
        <v>0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0</v>
      </c>
      <c r="AI35" s="13">
        <f>'TUSD BE'!$AI$35*'TUSD BF'!$AI$58</f>
        <v>0</v>
      </c>
      <c r="AJ35" s="13">
        <f ca="1">'TUSD BE'!$AJ$35*'TUSD BF'!$AJ$58</f>
        <v>0</v>
      </c>
      <c r="AK35" s="13">
        <f ca="1">'TUSD BE'!$AK$35*'TUSD BF'!$AK$58</f>
        <v>0</v>
      </c>
      <c r="AL35" s="13">
        <f ca="1">SUM($AH$35:$AK$35)</f>
        <v>0</v>
      </c>
      <c r="AM35" s="13">
        <f ca="1">SUMIF($L$4:$AL$4,"SUBTOTAL",$L$35:$AL$35)</f>
        <v>0</v>
      </c>
      <c r="AO35" s="20">
        <f ca="1">+'TUSD BE'!$T$35+'TUSD BE'!$AB$35+'TUSD BE'!$AD$35+'TUSD BE'!$AL$35</f>
        <v>854.63357005248963</v>
      </c>
      <c r="AP35" s="20">
        <f ca="1">+'TUSD BE'!$T$35+'TUSD BE'!$AB$35+'TUSD BE'!$AD$35+'TUSD BE'!$AL$35</f>
        <v>854.63357005248963</v>
      </c>
    </row>
    <row r="36" spans="1:42" ht="11.25" customHeight="1" x14ac:dyDescent="0.3">
      <c r="A36" s="95"/>
      <c r="B36" s="95"/>
      <c r="C36" s="95"/>
      <c r="D36" s="95"/>
      <c r="E36" s="95"/>
      <c r="F36" s="95"/>
      <c r="G36" s="18" t="s">
        <v>81</v>
      </c>
      <c r="H36" s="18" t="s">
        <v>79</v>
      </c>
      <c r="I36" s="18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0</v>
      </c>
      <c r="R36" s="13">
        <f>'TUSD BE'!$R$36*'TUSD BF'!$R$58</f>
        <v>0</v>
      </c>
      <c r="S36" s="13">
        <f>'TUSD BE'!$R$36*'TUSD BF'!$S$58</f>
        <v>0</v>
      </c>
      <c r="T36" s="13">
        <f ca="1">SUM($L$36:$S$36)</f>
        <v>0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0</v>
      </c>
      <c r="AI36" s="13">
        <f>'TUSD BE'!$AI$36*'TUSD BF'!$AI$58</f>
        <v>0</v>
      </c>
      <c r="AJ36" s="13">
        <f ca="1">'TUSD BE'!$AJ$36*'TUSD BF'!$AJ$58</f>
        <v>0</v>
      </c>
      <c r="AK36" s="13">
        <f ca="1">'TUSD BE'!$AK$36*'TUSD BF'!$AK$58</f>
        <v>0</v>
      </c>
      <c r="AL36" s="13">
        <f ca="1">SUM($AH$36:$AK$36)</f>
        <v>0</v>
      </c>
      <c r="AM36" s="13">
        <f ca="1">SUMIF($L$4:$AL$4,"SUBTOTAL",$L$36:$AL$36)</f>
        <v>0</v>
      </c>
      <c r="AO36" s="20">
        <f ca="1">+'TUSD BE'!$T$36+'TUSD BE'!$AB$36+'TUSD BE'!$AD$36+'TUSD BE'!$AL$36</f>
        <v>382.81282050117841</v>
      </c>
      <c r="AP36" s="20">
        <f ca="1">+'TUSD BE'!$T$36+'TUSD BE'!$AB$36+'TUSD BE'!$AD$36+'TUSD BE'!$AL$36</f>
        <v>382.81282050117841</v>
      </c>
    </row>
    <row r="37" spans="1:42" ht="11.25" customHeight="1" x14ac:dyDescent="0.3">
      <c r="A37" s="95"/>
      <c r="B37" s="17" t="s">
        <v>23</v>
      </c>
      <c r="C37" s="17" t="s">
        <v>41</v>
      </c>
      <c r="D37" s="17" t="s">
        <v>95</v>
      </c>
      <c r="E37" s="17" t="s">
        <v>25</v>
      </c>
      <c r="F37" s="17" t="s">
        <v>25</v>
      </c>
      <c r="G37" s="18" t="s">
        <v>83</v>
      </c>
      <c r="H37" s="18" t="s">
        <v>79</v>
      </c>
      <c r="I37" s="18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0</v>
      </c>
      <c r="R37" s="13">
        <f>'TUSD BE'!$R$37*'TUSD BF'!$R$58</f>
        <v>0</v>
      </c>
      <c r="S37" s="13">
        <f>'TUSD BE'!$R$37*'TUSD BF'!$S$58</f>
        <v>0</v>
      </c>
      <c r="T37" s="13">
        <f ca="1">SUM($L$37:$S$37)</f>
        <v>0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0</v>
      </c>
      <c r="AI37" s="13">
        <f>'TUSD BE'!$AI$37*'TUSD BF'!$AI$58</f>
        <v>0</v>
      </c>
      <c r="AJ37" s="13">
        <f ca="1">'TUSD BE'!$AJ$37*'TUSD BF'!$AJ$58</f>
        <v>0</v>
      </c>
      <c r="AK37" s="13">
        <f ca="1">'TUSD BE'!$AK$37*'TUSD BF'!$AK$58</f>
        <v>0</v>
      </c>
      <c r="AL37" s="13">
        <f ca="1">SUM($AH$37:$AK$37)</f>
        <v>0</v>
      </c>
      <c r="AM37" s="13">
        <f ca="1">SUMIF($L$4:$AL$4,"SUBTOTAL",$L$37:$AL$37)</f>
        <v>0</v>
      </c>
      <c r="AO37" s="20">
        <f ca="1">+'TUSD BE'!$T$37+'TUSD BE'!$AB$37+'TUSD BE'!$AD$37+'TUSD BE'!$AL$37</f>
        <v>546.76221670721452</v>
      </c>
      <c r="AP37" s="20">
        <f ca="1">+'TUSD BE'!$T$37+'TUSD BE'!$AB$37+'TUSD BE'!$AD$37+'TUSD BE'!$AL$37</f>
        <v>546.76221670721452</v>
      </c>
    </row>
    <row r="38" spans="1:42" ht="11.25" customHeight="1" x14ac:dyDescent="0.3">
      <c r="A38" s="95"/>
      <c r="B38" s="95" t="s">
        <v>92</v>
      </c>
      <c r="C38" s="95" t="s">
        <v>41</v>
      </c>
      <c r="D38" s="95" t="s">
        <v>96</v>
      </c>
      <c r="E38" s="95" t="s">
        <v>25</v>
      </c>
      <c r="F38" s="95" t="s">
        <v>25</v>
      </c>
      <c r="G38" s="18" t="s">
        <v>80</v>
      </c>
      <c r="H38" s="18" t="s">
        <v>79</v>
      </c>
      <c r="I38" s="18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0</v>
      </c>
      <c r="R38" s="13">
        <f>'TUSD BE'!$R$38*'TUSD BF'!$R$58</f>
        <v>0</v>
      </c>
      <c r="S38" s="13">
        <f>'TUSD BE'!$R$38*'TUSD BF'!$S$58</f>
        <v>0</v>
      </c>
      <c r="T38" s="13">
        <f ca="1">SUM($L$38:$S$38)</f>
        <v>0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0</v>
      </c>
      <c r="AI38" s="13">
        <f>'TUSD BE'!$AI$38*'TUSD BF'!$AI$58</f>
        <v>0</v>
      </c>
      <c r="AJ38" s="13">
        <f ca="1">'TUSD BE'!$AJ$38*'TUSD BF'!$AJ$58</f>
        <v>0</v>
      </c>
      <c r="AK38" s="13">
        <f ca="1">'TUSD BE'!$AK$38*'TUSD BF'!$AK$58</f>
        <v>0</v>
      </c>
      <c r="AL38" s="13">
        <f ca="1">SUM($AH$38:$AK$38)</f>
        <v>0</v>
      </c>
      <c r="AM38" s="13">
        <f ca="1">SUMIF($L$4:$AL$4,"SUBTOTAL",$L$38:$AL$38)</f>
        <v>0</v>
      </c>
      <c r="AO38" s="20">
        <f ca="1">+'TUSD BE'!$T$38+'TUSD BE'!$AB$38+'TUSD BE'!$AD$38+'TUSD BE'!$AL$38</f>
        <v>1326.5392364665031</v>
      </c>
      <c r="AP38" s="20">
        <f ca="1">+'TUSD BE'!$T$38+'TUSD BE'!$AB$38+'TUSD BE'!$AD$38+'TUSD BE'!$AL$38</f>
        <v>1326.5392364665031</v>
      </c>
    </row>
    <row r="39" spans="1:42" ht="11.25" customHeight="1" x14ac:dyDescent="0.3">
      <c r="A39" s="95"/>
      <c r="B39" s="95"/>
      <c r="C39" s="95"/>
      <c r="D39" s="95"/>
      <c r="E39" s="95"/>
      <c r="F39" s="95"/>
      <c r="G39" s="18" t="s">
        <v>91</v>
      </c>
      <c r="H39" s="18" t="s">
        <v>79</v>
      </c>
      <c r="I39" s="18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0</v>
      </c>
      <c r="R39" s="13">
        <f>'TUSD BE'!$R$39*'TUSD BF'!$R$58</f>
        <v>0</v>
      </c>
      <c r="S39" s="13">
        <f>'TUSD BE'!$R$39*'TUSD BF'!$S$58</f>
        <v>0</v>
      </c>
      <c r="T39" s="13">
        <f ca="1">SUM($L$39:$S$39)</f>
        <v>0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0</v>
      </c>
      <c r="AI39" s="13">
        <f>'TUSD BE'!$AI$39*'TUSD BF'!$AI$58</f>
        <v>0</v>
      </c>
      <c r="AJ39" s="13">
        <f ca="1">'TUSD BE'!$AJ$39*'TUSD BF'!$AJ$58</f>
        <v>0</v>
      </c>
      <c r="AK39" s="13">
        <f ca="1">'TUSD BE'!$AK$39*'TUSD BF'!$AK$58</f>
        <v>0</v>
      </c>
      <c r="AL39" s="13">
        <f ca="1">SUM($AH$39:$AK$39)</f>
        <v>0</v>
      </c>
      <c r="AM39" s="13">
        <f ca="1">SUMIF($L$4:$AL$4,"SUBTOTAL",$L$39:$AL$39)</f>
        <v>0</v>
      </c>
      <c r="AO39" s="20">
        <f ca="1">+'TUSD BE'!$T$39+'TUSD BE'!$AB$39+'TUSD BE'!$AD$39+'TUSD BE'!$AL$39</f>
        <v>854.63357005248963</v>
      </c>
      <c r="AP39" s="20">
        <f ca="1">+'TUSD BE'!$T$39+'TUSD BE'!$AB$39+'TUSD BE'!$AD$39+'TUSD BE'!$AL$39</f>
        <v>854.63357005248963</v>
      </c>
    </row>
    <row r="40" spans="1:42" ht="11.25" customHeight="1" x14ac:dyDescent="0.3">
      <c r="A40" s="95"/>
      <c r="B40" s="95"/>
      <c r="C40" s="95"/>
      <c r="D40" s="95"/>
      <c r="E40" s="95"/>
      <c r="F40" s="95"/>
      <c r="G40" s="18" t="s">
        <v>81</v>
      </c>
      <c r="H40" s="18" t="s">
        <v>79</v>
      </c>
      <c r="I40" s="18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0</v>
      </c>
      <c r="R40" s="13">
        <f>'TUSD BE'!$R$40*'TUSD BF'!$R$58</f>
        <v>0</v>
      </c>
      <c r="S40" s="13">
        <f>'TUSD BE'!$R$40*'TUSD BF'!$S$58</f>
        <v>0</v>
      </c>
      <c r="T40" s="13">
        <f ca="1">SUM($L$40:$S$40)</f>
        <v>0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0</v>
      </c>
      <c r="AI40" s="13">
        <f>'TUSD BE'!$AI$40*'TUSD BF'!$AI$58</f>
        <v>0</v>
      </c>
      <c r="AJ40" s="13">
        <f ca="1">'TUSD BE'!$AJ$40*'TUSD BF'!$AJ$58</f>
        <v>0</v>
      </c>
      <c r="AK40" s="13">
        <f ca="1">'TUSD BE'!$AK$40*'TUSD BF'!$AK$58</f>
        <v>0</v>
      </c>
      <c r="AL40" s="13">
        <f ca="1">SUM($AH$40:$AK$40)</f>
        <v>0</v>
      </c>
      <c r="AM40" s="13">
        <f ca="1">SUMIF($L$4:$AL$4,"SUBTOTAL",$L$40:$AL$40)</f>
        <v>0</v>
      </c>
      <c r="AO40" s="20">
        <f ca="1">+'TUSD BE'!$T$40+'TUSD BE'!$AB$40+'TUSD BE'!$AD$40+'TUSD BE'!$AL$40</f>
        <v>382.81282050117841</v>
      </c>
      <c r="AP40" s="20">
        <f ca="1">+'TUSD BE'!$T$40+'TUSD BE'!$AB$40+'TUSD BE'!$AD$40+'TUSD BE'!$AL$40</f>
        <v>382.81282050117841</v>
      </c>
    </row>
    <row r="41" spans="1:42" ht="11.25" customHeight="1" x14ac:dyDescent="0.3">
      <c r="A41" s="95"/>
      <c r="B41" s="17" t="s">
        <v>23</v>
      </c>
      <c r="C41" s="17" t="s">
        <v>41</v>
      </c>
      <c r="D41" s="17" t="s">
        <v>96</v>
      </c>
      <c r="E41" s="17" t="s">
        <v>25</v>
      </c>
      <c r="F41" s="17" t="s">
        <v>25</v>
      </c>
      <c r="G41" s="18" t="s">
        <v>83</v>
      </c>
      <c r="H41" s="18" t="s">
        <v>79</v>
      </c>
      <c r="I41" s="18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0</v>
      </c>
      <c r="R41" s="13">
        <f>'TUSD BE'!$R$41*'TUSD BF'!$R$58</f>
        <v>0</v>
      </c>
      <c r="S41" s="13">
        <f>'TUSD BE'!$R$41*'TUSD BF'!$S$58</f>
        <v>0</v>
      </c>
      <c r="T41" s="13">
        <f ca="1">SUM($L$41:$S$41)</f>
        <v>0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0</v>
      </c>
      <c r="AI41" s="13">
        <f>'TUSD BE'!$AI$41*'TUSD BF'!$AI$58</f>
        <v>0</v>
      </c>
      <c r="AJ41" s="13">
        <f ca="1">'TUSD BE'!$AJ$41*'TUSD BF'!$AJ$58</f>
        <v>0</v>
      </c>
      <c r="AK41" s="13">
        <f ca="1">'TUSD BE'!$AK$41*'TUSD BF'!$AK$58</f>
        <v>0</v>
      </c>
      <c r="AL41" s="13">
        <f ca="1">SUM($AH$41:$AK$41)</f>
        <v>0</v>
      </c>
      <c r="AM41" s="13">
        <f ca="1">SUMIF($L$4:$AL$4,"SUBTOTAL",$L$41:$AL$41)</f>
        <v>0</v>
      </c>
      <c r="AO41" s="20">
        <f ca="1">+'TUSD BE'!$T$41+'TUSD BE'!$AB$41+'TUSD BE'!$AD$41+'TUSD BE'!$AL$41</f>
        <v>546.76221670721452</v>
      </c>
      <c r="AP41" s="20">
        <f ca="1">+'TUSD BE'!$T$41+'TUSD BE'!$AB$41+'TUSD BE'!$AD$41+'TUSD BE'!$AL$41</f>
        <v>546.76221670721452</v>
      </c>
    </row>
    <row r="42" spans="1:42" ht="11.25" customHeight="1" x14ac:dyDescent="0.3">
      <c r="A42" s="95"/>
      <c r="B42" s="95" t="s">
        <v>94</v>
      </c>
      <c r="C42" s="95" t="s">
        <v>41</v>
      </c>
      <c r="D42" s="17" t="s">
        <v>25</v>
      </c>
      <c r="E42" s="17" t="s">
        <v>25</v>
      </c>
      <c r="F42" s="17" t="s">
        <v>25</v>
      </c>
      <c r="G42" s="18" t="s">
        <v>83</v>
      </c>
      <c r="H42" s="18" t="s">
        <v>79</v>
      </c>
      <c r="I42" s="18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0</v>
      </c>
      <c r="R42" s="13">
        <f>'TUSD BE'!$R$42*'TUSD BF'!$R$58</f>
        <v>0</v>
      </c>
      <c r="S42" s="13">
        <f>'TUSD BE'!$R$42*'TUSD BF'!$S$58</f>
        <v>0</v>
      </c>
      <c r="T42" s="13">
        <f ca="1">SUM($L$42:$S$42)</f>
        <v>0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0</v>
      </c>
      <c r="AI42" s="13">
        <f>'TUSD BE'!$AI$42*'TUSD BF'!$AI$58</f>
        <v>0</v>
      </c>
      <c r="AJ42" s="13">
        <f ca="1">'TUSD BE'!$AJ$42*'TUSD BF'!$AJ$58</f>
        <v>0</v>
      </c>
      <c r="AK42" s="13">
        <f ca="1">'TUSD BE'!$AK$42*'TUSD BF'!$AK$58</f>
        <v>0</v>
      </c>
      <c r="AL42" s="13">
        <f ca="1">SUM($AH$42:$AK$42)</f>
        <v>0</v>
      </c>
      <c r="AM42" s="13">
        <f ca="1">SUMIF($L$4:$AL$4,"SUBTOTAL",$L$42:$AL$42)</f>
        <v>0</v>
      </c>
      <c r="AO42" s="20">
        <f ca="1">+'TUSD BE'!$T$42+'TUSD BE'!$AB$42+'TUSD BE'!$AD$42+'TUSD BE'!$AL$42</f>
        <v>546.76221670721452</v>
      </c>
      <c r="AP42" s="20">
        <f ca="1">+'TUSD BE'!$T$42+'TUSD BE'!$AB$42+'TUSD BE'!$AD$42+'TUSD BE'!$AL$42</f>
        <v>546.76221670721452</v>
      </c>
    </row>
    <row r="43" spans="1:42" ht="11.25" customHeight="1" x14ac:dyDescent="0.3">
      <c r="A43" s="95"/>
      <c r="B43" s="95"/>
      <c r="C43" s="95"/>
      <c r="D43" s="17" t="s">
        <v>95</v>
      </c>
      <c r="E43" s="17" t="s">
        <v>25</v>
      </c>
      <c r="F43" s="17" t="s">
        <v>25</v>
      </c>
      <c r="G43" s="18" t="s">
        <v>83</v>
      </c>
      <c r="H43" s="18" t="s">
        <v>79</v>
      </c>
      <c r="I43" s="18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0</v>
      </c>
      <c r="R43" s="13">
        <f>'TUSD BE'!$R$43*'TUSD BF'!$R$58</f>
        <v>0</v>
      </c>
      <c r="S43" s="13">
        <f>'TUSD BE'!$R$43*'TUSD BF'!$S$58</f>
        <v>0</v>
      </c>
      <c r="T43" s="13">
        <f ca="1">SUM($L$43:$S$43)</f>
        <v>0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0</v>
      </c>
      <c r="AI43" s="13">
        <f>'TUSD BE'!$AI$43*'TUSD BF'!$AI$58</f>
        <v>0</v>
      </c>
      <c r="AJ43" s="13">
        <f ca="1">'TUSD BE'!$AJ$43*'TUSD BF'!$AJ$58</f>
        <v>0</v>
      </c>
      <c r="AK43" s="13">
        <f ca="1">'TUSD BE'!$AK$43*'TUSD BF'!$AK$58</f>
        <v>0</v>
      </c>
      <c r="AL43" s="13">
        <f ca="1">SUM($AH$43:$AK$43)</f>
        <v>0</v>
      </c>
      <c r="AM43" s="13">
        <f ca="1">SUMIF($L$4:$AL$4,"SUBTOTAL",$L$43:$AL$43)</f>
        <v>0</v>
      </c>
      <c r="AO43" s="20">
        <f ca="1">+'TUSD BE'!$T$43+'TUSD BE'!$AB$43+'TUSD BE'!$AD$43+'TUSD BE'!$AL$43</f>
        <v>546.76221670721452</v>
      </c>
      <c r="AP43" s="20">
        <f ca="1">+'TUSD BE'!$T$43+'TUSD BE'!$AB$43+'TUSD BE'!$AD$43+'TUSD BE'!$AL$43</f>
        <v>546.76221670721452</v>
      </c>
    </row>
    <row r="44" spans="1:42" ht="11.25" customHeight="1" x14ac:dyDescent="0.3">
      <c r="A44" s="95"/>
      <c r="B44" s="95"/>
      <c r="C44" s="95"/>
      <c r="D44" s="17" t="s">
        <v>96</v>
      </c>
      <c r="E44" s="17" t="s">
        <v>25</v>
      </c>
      <c r="F44" s="17" t="s">
        <v>25</v>
      </c>
      <c r="G44" s="18" t="s">
        <v>83</v>
      </c>
      <c r="H44" s="18" t="s">
        <v>79</v>
      </c>
      <c r="I44" s="18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0</v>
      </c>
      <c r="R44" s="13">
        <f>'TUSD BE'!$R$44*'TUSD BF'!$R$58</f>
        <v>0</v>
      </c>
      <c r="S44" s="13">
        <f>'TUSD BE'!$R$44*'TUSD BF'!$S$58</f>
        <v>0</v>
      </c>
      <c r="T44" s="13">
        <f ca="1">SUM($L$44:$S$44)</f>
        <v>0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0</v>
      </c>
      <c r="AI44" s="13">
        <f>'TUSD BE'!$AI$44*'TUSD BF'!$AI$58</f>
        <v>0</v>
      </c>
      <c r="AJ44" s="13">
        <f ca="1">'TUSD BE'!$AJ$44*'TUSD BF'!$AJ$58</f>
        <v>0</v>
      </c>
      <c r="AK44" s="13">
        <f ca="1">'TUSD BE'!$AK$44*'TUSD BF'!$AK$58</f>
        <v>0</v>
      </c>
      <c r="AL44" s="13">
        <f ca="1">SUM($AH$44:$AK$44)</f>
        <v>0</v>
      </c>
      <c r="AM44" s="13">
        <f ca="1">SUMIF($L$4:$AL$4,"SUBTOTAL",$L$44:$AL$44)</f>
        <v>0</v>
      </c>
      <c r="AO44" s="20">
        <f ca="1">+'TUSD BE'!$T$44+'TUSD BE'!$AB$44+'TUSD BE'!$AD$44+'TUSD BE'!$AL$44</f>
        <v>546.76221670721452</v>
      </c>
      <c r="AP44" s="20">
        <f ca="1">+'TUSD BE'!$T$44+'TUSD BE'!$AB$44+'TUSD BE'!$AD$44+'TUSD BE'!$AL$44</f>
        <v>546.76221670721452</v>
      </c>
    </row>
    <row r="45" spans="1:42" ht="11.25" customHeight="1" x14ac:dyDescent="0.3">
      <c r="A45" s="95" t="s">
        <v>32</v>
      </c>
      <c r="B45" s="95" t="s">
        <v>92</v>
      </c>
      <c r="C45" s="95" t="s">
        <v>25</v>
      </c>
      <c r="D45" s="95" t="s">
        <v>25</v>
      </c>
      <c r="E45" s="95" t="s">
        <v>25</v>
      </c>
      <c r="F45" s="95" t="s">
        <v>25</v>
      </c>
      <c r="G45" s="18" t="s">
        <v>80</v>
      </c>
      <c r="H45" s="18" t="s">
        <v>79</v>
      </c>
      <c r="I45" s="18">
        <f>'MERCADO TUSD'!$U$42</f>
        <v>0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0</v>
      </c>
      <c r="R45" s="13">
        <f>'TUSD BE'!$R$45*'TUSD BF'!$R$58</f>
        <v>0</v>
      </c>
      <c r="S45" s="13">
        <f>'TUSD BE'!$R$45*'TUSD BF'!$S$58</f>
        <v>0</v>
      </c>
      <c r="T45" s="13">
        <f ca="1">SUM($L$45:$S$45)</f>
        <v>0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0</v>
      </c>
      <c r="AI45" s="13">
        <f>'TUSD BE'!$AI$45*'TUSD BF'!$AI$58</f>
        <v>0</v>
      </c>
      <c r="AJ45" s="13">
        <f ca="1">'TUSD BE'!$AJ$45*'TUSD BF'!$AJ$58</f>
        <v>0</v>
      </c>
      <c r="AK45" s="13">
        <f ca="1">'TUSD BE'!$AK$45*'TUSD BF'!$AK$58</f>
        <v>0</v>
      </c>
      <c r="AL45" s="13">
        <f ca="1">SUM($AH$45:$AK$45)</f>
        <v>0</v>
      </c>
      <c r="AM45" s="13">
        <f ca="1">SUMIF($L$4:$AL$4,"SUBTOTAL",$L$45:$AL$45)</f>
        <v>0</v>
      </c>
      <c r="AO45" s="20">
        <f ca="1">+'TUSD BE'!$T$45+'TUSD BE'!$AB$45+'TUSD BE'!$AD$45+'TUSD BE'!$AL$45</f>
        <v>1506.4768999613898</v>
      </c>
      <c r="AP45" s="20">
        <f ca="1">+'TUSD BE'!$T$45+'TUSD BE'!$AB$45+'TUSD BE'!$AD$45+'TUSD BE'!$AL$45</f>
        <v>1506.4768999613898</v>
      </c>
    </row>
    <row r="46" spans="1:42" ht="11.25" customHeight="1" x14ac:dyDescent="0.3">
      <c r="A46" s="95"/>
      <c r="B46" s="95"/>
      <c r="C46" s="95"/>
      <c r="D46" s="95"/>
      <c r="E46" s="95"/>
      <c r="F46" s="95"/>
      <c r="G46" s="18" t="s">
        <v>91</v>
      </c>
      <c r="H46" s="18" t="s">
        <v>79</v>
      </c>
      <c r="I46" s="18">
        <f>'MERCADO TUSD'!$U$43</f>
        <v>0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0</v>
      </c>
      <c r="R46" s="13">
        <f>'TUSD BE'!$R$46*'TUSD BF'!$R$58</f>
        <v>0</v>
      </c>
      <c r="S46" s="13">
        <f>'TUSD BE'!$R$46*'TUSD BF'!$S$58</f>
        <v>0</v>
      </c>
      <c r="T46" s="13">
        <f ca="1">SUM($L$46:$S$46)</f>
        <v>0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0</v>
      </c>
      <c r="AI46" s="13">
        <f>'TUSD BE'!$AI$46*'TUSD BF'!$AI$58</f>
        <v>0</v>
      </c>
      <c r="AJ46" s="13">
        <f ca="1">'TUSD BE'!$AJ$46*'TUSD BF'!$AJ$58</f>
        <v>0</v>
      </c>
      <c r="AK46" s="13">
        <f ca="1">'TUSD BE'!$AK$46*'TUSD BF'!$AK$58</f>
        <v>0</v>
      </c>
      <c r="AL46" s="13">
        <f ca="1">SUM($AH$46:$AK$46)</f>
        <v>0</v>
      </c>
      <c r="AM46" s="13">
        <f ca="1">SUMIF($L$4:$AL$4,"SUBTOTAL",$L$46:$AL$46)</f>
        <v>0</v>
      </c>
      <c r="AO46" s="20">
        <f ca="1">+'TUSD BE'!$T$46+'TUSD BE'!$AB$46+'TUSD BE'!$AD$46+'TUSD BE'!$AL$46</f>
        <v>962.62445491828953</v>
      </c>
      <c r="AP46" s="20">
        <f ca="1">+'TUSD BE'!$T$46+'TUSD BE'!$AB$46+'TUSD BE'!$AD$46+'TUSD BE'!$AL$46</f>
        <v>962.62445491828953</v>
      </c>
    </row>
    <row r="47" spans="1:42" ht="11.25" customHeight="1" x14ac:dyDescent="0.3">
      <c r="A47" s="95"/>
      <c r="B47" s="95"/>
      <c r="C47" s="95"/>
      <c r="D47" s="95"/>
      <c r="E47" s="95"/>
      <c r="F47" s="95"/>
      <c r="G47" s="18" t="s">
        <v>81</v>
      </c>
      <c r="H47" s="18" t="s">
        <v>79</v>
      </c>
      <c r="I47" s="18">
        <f>'MERCADO TUSD'!$U$44</f>
        <v>0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0</v>
      </c>
      <c r="R47" s="13">
        <f>'TUSD BE'!$R$47*'TUSD BF'!$R$58</f>
        <v>0</v>
      </c>
      <c r="S47" s="13">
        <f>'TUSD BE'!$R$47*'TUSD BF'!$S$58</f>
        <v>0</v>
      </c>
      <c r="T47" s="13">
        <f ca="1">SUM($L$47:$S$47)</f>
        <v>0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0</v>
      </c>
      <c r="AI47" s="13">
        <f>'TUSD BE'!$AI$47*'TUSD BF'!$AI$58</f>
        <v>0</v>
      </c>
      <c r="AJ47" s="13">
        <f ca="1">'TUSD BE'!$AJ$47*'TUSD BF'!$AJ$58</f>
        <v>0</v>
      </c>
      <c r="AK47" s="13">
        <f ca="1">'TUSD BE'!$AK$47*'TUSD BF'!$AK$58</f>
        <v>0</v>
      </c>
      <c r="AL47" s="13">
        <f ca="1">SUM($AH$47:$AK$47)</f>
        <v>0</v>
      </c>
      <c r="AM47" s="13">
        <f ca="1">SUMIF($L$4:$AL$4,"SUBTOTAL",$L$47:$AL$47)</f>
        <v>0</v>
      </c>
      <c r="AO47" s="20">
        <f ca="1">+'TUSD BE'!$T$47+'TUSD BE'!$AB$47+'TUSD BE'!$AD$47+'TUSD BE'!$AL$47</f>
        <v>418.80040975625445</v>
      </c>
      <c r="AP47" s="20">
        <f ca="1">+'TUSD BE'!$T$47+'TUSD BE'!$AB$47+'TUSD BE'!$AD$47+'TUSD BE'!$AL$47</f>
        <v>418.80040975625445</v>
      </c>
    </row>
    <row r="48" spans="1:42" ht="11.25" customHeight="1" x14ac:dyDescent="0.3">
      <c r="A48" s="95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83</v>
      </c>
      <c r="H48" s="18" t="s">
        <v>79</v>
      </c>
      <c r="I48" s="18">
        <f>'MERCADO TUSD'!$U$45</f>
        <v>7750.1880000000001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0</v>
      </c>
      <c r="R48" s="13">
        <f>'TUSD BE'!$R$48*'TUSD BF'!$R$58</f>
        <v>0</v>
      </c>
      <c r="S48" s="13">
        <f>'TUSD BE'!$R$48*'TUSD BF'!$S$58</f>
        <v>0</v>
      </c>
      <c r="T48" s="13">
        <f ca="1">SUM($L$48:$S$48)</f>
        <v>0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0</v>
      </c>
      <c r="AI48" s="13">
        <f>'TUSD BE'!$AI$48*'TUSD BF'!$AI$58</f>
        <v>0</v>
      </c>
      <c r="AJ48" s="13">
        <f ca="1">'TUSD BE'!$AJ$48*'TUSD BF'!$AJ$58</f>
        <v>0</v>
      </c>
      <c r="AK48" s="13">
        <f ca="1">'TUSD BE'!$AK$48*'TUSD BF'!$AK$58</f>
        <v>0</v>
      </c>
      <c r="AL48" s="13">
        <f ca="1">SUM($AH$48:$AK$48)</f>
        <v>0</v>
      </c>
      <c r="AM48" s="13">
        <f ca="1">SUMIF($L$4:$AL$4,"SUBTOTAL",$L$48:$AL$48)</f>
        <v>0</v>
      </c>
      <c r="AO48" s="20">
        <f ca="1">+'TUSD BE'!$T$48+'TUSD BE'!$AB$48+'TUSD BE'!$AD$48+'TUSD BE'!$AL$48</f>
        <v>546.76221670721452</v>
      </c>
      <c r="AP48" s="20">
        <f ca="1">+'TUSD BE'!$T$48+'TUSD BE'!$AB$48+'TUSD BE'!$AD$48+'TUSD BE'!$AL$48</f>
        <v>546.76221670721452</v>
      </c>
    </row>
    <row r="49" spans="1:42" ht="11.25" customHeight="1" x14ac:dyDescent="0.3">
      <c r="A49" s="95"/>
      <c r="B49" s="17" t="s">
        <v>94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83</v>
      </c>
      <c r="H49" s="18" t="s">
        <v>79</v>
      </c>
      <c r="I49" s="18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0</v>
      </c>
      <c r="R49" s="13">
        <f>'TUSD BE'!$R$49*'TUSD BF'!$R$58</f>
        <v>0</v>
      </c>
      <c r="S49" s="13">
        <f>'TUSD BE'!$R$49*'TUSD BF'!$S$58</f>
        <v>0</v>
      </c>
      <c r="T49" s="13">
        <f ca="1">SUM($L$49:$S$49)</f>
        <v>0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0</v>
      </c>
      <c r="AI49" s="13">
        <f>'TUSD BE'!$AI$49*'TUSD BF'!$AI$58</f>
        <v>0</v>
      </c>
      <c r="AJ49" s="13">
        <f ca="1">'TUSD BE'!$AJ$49*'TUSD BF'!$AJ$58</f>
        <v>0</v>
      </c>
      <c r="AK49" s="13">
        <f ca="1">'TUSD BE'!$AK$49*'TUSD BF'!$AK$58</f>
        <v>0</v>
      </c>
      <c r="AL49" s="13">
        <f ca="1">SUM($AH$49:$AK$49)</f>
        <v>0</v>
      </c>
      <c r="AM49" s="13">
        <f ca="1">SUMIF($L$4:$AL$4,"SUBTOTAL",$L$49:$AL$49)</f>
        <v>0</v>
      </c>
      <c r="AO49" s="20">
        <f ca="1">+'TUSD BE'!$T$49+'TUSD BE'!$AB$49+'TUSD BE'!$AD$49+'TUSD BE'!$AL$49</f>
        <v>546.76221670721452</v>
      </c>
      <c r="AP49" s="20">
        <f ca="1">+'TUSD BE'!$T$49+'TUSD BE'!$AB$49+'TUSD BE'!$AD$49+'TUSD BE'!$AL$49</f>
        <v>546.76221670721452</v>
      </c>
    </row>
    <row r="50" spans="1:42" ht="11.25" customHeight="1" x14ac:dyDescent="0.3">
      <c r="A50" s="95" t="s">
        <v>43</v>
      </c>
      <c r="B50" s="95" t="s">
        <v>23</v>
      </c>
      <c r="C50" s="95" t="s">
        <v>44</v>
      </c>
      <c r="D50" s="17" t="s">
        <v>97</v>
      </c>
      <c r="E50" s="17" t="s">
        <v>25</v>
      </c>
      <c r="F50" s="17" t="s">
        <v>25</v>
      </c>
      <c r="G50" s="18" t="s">
        <v>83</v>
      </c>
      <c r="H50" s="18" t="s">
        <v>79</v>
      </c>
      <c r="I50" s="18">
        <f>'MERCADO TUSD'!$U$47</f>
        <v>0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0</v>
      </c>
      <c r="R50" s="13">
        <f>'TUSD BE'!$R$50*'TUSD BF'!$R$58</f>
        <v>0</v>
      </c>
      <c r="S50" s="13">
        <f>'TUSD BE'!$R$50*'TUSD BF'!$S$58</f>
        <v>0</v>
      </c>
      <c r="T50" s="13">
        <f ca="1">SUM($L$50:$S$50)</f>
        <v>0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0</v>
      </c>
      <c r="AI50" s="13">
        <f>'TUSD BE'!$AI$50*'TUSD BF'!$AI$58</f>
        <v>0</v>
      </c>
      <c r="AJ50" s="13">
        <f ca="1">'TUSD BE'!$AJ$50*'TUSD BF'!$AJ$58</f>
        <v>0</v>
      </c>
      <c r="AK50" s="13">
        <f ca="1">'TUSD BE'!$AK$50*'TUSD BF'!$AK$58</f>
        <v>0</v>
      </c>
      <c r="AL50" s="13">
        <f ca="1">SUM($AH$50:$AK$50)</f>
        <v>0</v>
      </c>
      <c r="AM50" s="13">
        <f ca="1">SUMIF($L$4:$AL$4,"SUBTOTAL",$L$50:$AL$50)</f>
        <v>0</v>
      </c>
      <c r="AO50" s="20">
        <f ca="1">+'TUSD BE'!$T$50+'TUSD BE'!$AB$50+'TUSD BE'!$AD$50+'TUSD BE'!$AL$50</f>
        <v>300.719219188968</v>
      </c>
      <c r="AP50" s="20">
        <f ca="1">+'TUSD BE'!$T$50+'TUSD BE'!$AB$50+'TUSD BE'!$AD$50+'TUSD BE'!$AL$50</f>
        <v>300.719219188968</v>
      </c>
    </row>
    <row r="51" spans="1:42" ht="11.25" customHeight="1" x14ac:dyDescent="0.3">
      <c r="A51" s="95"/>
      <c r="B51" s="95"/>
      <c r="C51" s="95"/>
      <c r="D51" s="18" t="s">
        <v>45</v>
      </c>
      <c r="E51" s="18" t="s">
        <v>25</v>
      </c>
      <c r="F51" s="18" t="s">
        <v>25</v>
      </c>
      <c r="G51" s="18" t="s">
        <v>83</v>
      </c>
      <c r="H51" s="18" t="s">
        <v>79</v>
      </c>
      <c r="I51" s="18">
        <f>'MERCADO TUSD'!$U$48</f>
        <v>1776.7269999999999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0</v>
      </c>
      <c r="R51" s="13">
        <f>'TUSD BE'!$R$51*'TUSD BF'!$R$58</f>
        <v>0</v>
      </c>
      <c r="S51" s="13">
        <f>'TUSD BE'!$R$51*'TUSD BF'!$S$58</f>
        <v>0</v>
      </c>
      <c r="T51" s="13">
        <f ca="1">SUM($L$51:$S$51)</f>
        <v>0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0</v>
      </c>
      <c r="AI51" s="13">
        <f>'TUSD BE'!$AI$51*'TUSD BF'!$AI$58</f>
        <v>0</v>
      </c>
      <c r="AJ51" s="13">
        <f ca="1">'TUSD BE'!$AJ$51*'TUSD BF'!$AJ$58</f>
        <v>0</v>
      </c>
      <c r="AK51" s="13">
        <f ca="1">'TUSD BE'!$AK$51*'TUSD BF'!$AK$58</f>
        <v>0</v>
      </c>
      <c r="AL51" s="13">
        <f ca="1">SUM($AH$51:$AK$51)</f>
        <v>0</v>
      </c>
      <c r="AM51" s="13">
        <f ca="1">SUMIF($L$4:$AL$4,"SUBTOTAL",$L$51:$AL$51)</f>
        <v>0</v>
      </c>
      <c r="AO51" s="20">
        <f ca="1">+'TUSD BE'!$T$51+'TUSD BE'!$AB$51+'TUSD BE'!$AD$51+'TUSD BE'!$AL$51</f>
        <v>328.05733002432868</v>
      </c>
      <c r="AP51" s="20">
        <f ca="1">+'TUSD BE'!$T$51+'TUSD BE'!$AB$51+'TUSD BE'!$AD$51+'TUSD BE'!$AL$51</f>
        <v>328.05733002432868</v>
      </c>
    </row>
    <row r="53" spans="1:42" ht="11.25" customHeight="1" x14ac:dyDescent="0.3">
      <c r="K53" s="16" t="s">
        <v>503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0</v>
      </c>
      <c r="R53" s="13">
        <f>SUMPRODUCT($I$5:$I51,$R$5:$R51)</f>
        <v>0</v>
      </c>
      <c r="S53" s="13">
        <f>SUMPRODUCT($I$5:$I51,$S$5:$S51)</f>
        <v>0</v>
      </c>
      <c r="T53" s="13">
        <f ca="1">SUMPRODUCT($I$5:$I51,$T$5:$T51)</f>
        <v>0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0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0</v>
      </c>
      <c r="AM53" s="13">
        <f ca="1">SUMPRODUCT($I$5:$I51,$AM$5:$AM51)</f>
        <v>0</v>
      </c>
      <c r="AO53" s="18">
        <f ca="1">SUMPRODUCT($I$5:$I51,$AO$5:$AO51)</f>
        <v>25848930.268327352</v>
      </c>
      <c r="AP53" s="18">
        <f ca="1">SUMPRODUCT($I$5:$I51,$AP$5:$AP51)</f>
        <v>25848930.268327352</v>
      </c>
    </row>
    <row r="54" spans="1:42" ht="11.25" customHeight="1" x14ac:dyDescent="0.3">
      <c r="K54" s="16" t="s">
        <v>435</v>
      </c>
      <c r="L54" s="13">
        <f>'TR TUSD'!$L$56</f>
        <v>0</v>
      </c>
      <c r="M54" s="13">
        <f>'TR TUSD'!$M$56</f>
        <v>63183.953109912625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4205666.0145299984</v>
      </c>
      <c r="R54" s="13">
        <f>'TR TUSD'!$R$56</f>
        <v>695904.06842999987</v>
      </c>
      <c r="S54" s="13">
        <f>'TR TUSD'!$S$56</f>
        <v>0</v>
      </c>
      <c r="T54" s="13">
        <f>'TR TUSD'!$T$56</f>
        <v>4964754.036069911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3453247.6839800002</v>
      </c>
      <c r="Z54" s="13">
        <f>'TR TUSD'!$Z$56</f>
        <v>0</v>
      </c>
      <c r="AA54" s="13">
        <f>'TR TUSD'!$AA$56</f>
        <v>0</v>
      </c>
      <c r="AB54" s="13">
        <f>'TR TUSD'!$AB$56</f>
        <v>3453247.6839800002</v>
      </c>
      <c r="AC54" s="13">
        <f>'TR TUSD'!$AC$56</f>
        <v>15711091.529999999</v>
      </c>
      <c r="AD54" s="13">
        <f>'TR TUSD'!$AD$56</f>
        <v>15711091.529999999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1507694.9491274673</v>
      </c>
      <c r="AI54" s="13">
        <f>'TR TUSD'!$AI$56</f>
        <v>0</v>
      </c>
      <c r="AJ54" s="13">
        <f>'TR TUSD'!$AJ$56</f>
        <v>212142.06914997494</v>
      </c>
      <c r="AK54" s="13">
        <f>'TR TUSD'!$AK$56</f>
        <v>0</v>
      </c>
      <c r="AL54" s="13">
        <f>'TR TUSD'!$AL$56</f>
        <v>1719837.0182774423</v>
      </c>
      <c r="AM54" s="13">
        <f>CUSTOS!$D$29</f>
        <v>25848930.268327355</v>
      </c>
      <c r="AO54" s="18">
        <f>$AE$56</f>
        <v>0</v>
      </c>
      <c r="AP54" s="18">
        <f>$AF$56</f>
        <v>0</v>
      </c>
    </row>
    <row r="55" spans="1:42" ht="11.25" customHeight="1" x14ac:dyDescent="0.3">
      <c r="K55" s="16" t="s">
        <v>436</v>
      </c>
      <c r="L55" s="13">
        <f>CUSTOS!$E$2</f>
        <v>0</v>
      </c>
      <c r="M55" s="13">
        <f>CUSTOS!$E$3</f>
        <v>646.82343797031069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30266.250366454064</v>
      </c>
      <c r="R55" s="13">
        <f>CUSTOS!$E$8</f>
        <v>3917.4244702807418</v>
      </c>
      <c r="S55" s="13">
        <f>CUSTOS!$E$9</f>
        <v>0</v>
      </c>
      <c r="T55" s="13">
        <f>CUSTOS!$E$10</f>
        <v>34830.498274705118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0</v>
      </c>
      <c r="Z55" s="13">
        <f>CUSTOS!$E$16</f>
        <v>0</v>
      </c>
      <c r="AA55" s="13">
        <f>CUSTOS!$E$17</f>
        <v>0</v>
      </c>
      <c r="AB55" s="13">
        <f>CUSTOS!$E$18</f>
        <v>0</v>
      </c>
      <c r="AC55" s="13">
        <f>CUSTOS!$E$19</f>
        <v>-5458141.5687437197</v>
      </c>
      <c r="AD55" s="13">
        <f>CUSTOS!$E$20</f>
        <v>-5458141.5687437197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-98071.409230408986</v>
      </c>
      <c r="AI55" s="13">
        <f>CUSTOS!$E$25</f>
        <v>0</v>
      </c>
      <c r="AJ55" s="13">
        <f>CUSTOS!$E$26</f>
        <v>-13799.258059883545</v>
      </c>
      <c r="AK55" s="13">
        <f>CUSTOS!$E$27</f>
        <v>0</v>
      </c>
      <c r="AL55" s="13">
        <f>CUSTOS!$E$28</f>
        <v>-111870.66729029253</v>
      </c>
      <c r="AM55" s="13">
        <f>CUSTOS!$E$29</f>
        <v>-5535181.737759307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3">
      <c r="K56" s="16" t="s">
        <v>437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500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32" priority="55" operator="notEqual">
      <formula>$L$56</formula>
    </cfRule>
    <cfRule type="cellIs" dxfId="831" priority="56" operator="equal">
      <formula>$L$56</formula>
    </cfRule>
  </conditionalFormatting>
  <conditionalFormatting sqref="M53">
    <cfRule type="cellIs" dxfId="830" priority="53" operator="notEqual">
      <formula>$M$56</formula>
    </cfRule>
    <cfRule type="cellIs" dxfId="829" priority="54" operator="equal">
      <formula>$M$56</formula>
    </cfRule>
  </conditionalFormatting>
  <conditionalFormatting sqref="N53">
    <cfRule type="cellIs" dxfId="828" priority="51" operator="notEqual">
      <formula>$N$56</formula>
    </cfRule>
    <cfRule type="cellIs" dxfId="827" priority="52" operator="equal">
      <formula>$N$56</formula>
    </cfRule>
  </conditionalFormatting>
  <conditionalFormatting sqref="O53">
    <cfRule type="cellIs" dxfId="826" priority="49" operator="notEqual">
      <formula>$O$56</formula>
    </cfRule>
    <cfRule type="cellIs" dxfId="825" priority="50" operator="equal">
      <formula>$O$56</formula>
    </cfRule>
  </conditionalFormatting>
  <conditionalFormatting sqref="P53">
    <cfRule type="cellIs" dxfId="824" priority="47" operator="notEqual">
      <formula>$P$56</formula>
    </cfRule>
    <cfRule type="cellIs" dxfId="823" priority="48" operator="equal">
      <formula>$P$56</formula>
    </cfRule>
  </conditionalFormatting>
  <conditionalFormatting sqref="Q53">
    <cfRule type="cellIs" dxfId="822" priority="45" operator="notEqual">
      <formula>$Q$56</formula>
    </cfRule>
    <cfRule type="cellIs" dxfId="821" priority="46" operator="equal">
      <formula>$Q$56</formula>
    </cfRule>
  </conditionalFormatting>
  <conditionalFormatting sqref="R53">
    <cfRule type="cellIs" dxfId="820" priority="43" operator="notEqual">
      <formula>$R$56</formula>
    </cfRule>
    <cfRule type="cellIs" dxfId="819" priority="44" operator="equal">
      <formula>$R$56</formula>
    </cfRule>
  </conditionalFormatting>
  <conditionalFormatting sqref="S53">
    <cfRule type="cellIs" dxfId="818" priority="41" operator="notEqual">
      <formula>$S$56</formula>
    </cfRule>
    <cfRule type="cellIs" dxfId="817" priority="42" operator="equal">
      <formula>$S$56</formula>
    </cfRule>
  </conditionalFormatting>
  <conditionalFormatting sqref="T53">
    <cfRule type="cellIs" dxfId="816" priority="39" operator="notEqual">
      <formula>$T$56</formula>
    </cfRule>
    <cfRule type="cellIs" dxfId="815" priority="40" operator="equal">
      <formula>$T$56</formula>
    </cfRule>
  </conditionalFormatting>
  <conditionalFormatting sqref="U53">
    <cfRule type="cellIs" dxfId="814" priority="37" operator="notEqual">
      <formula>$U$56</formula>
    </cfRule>
    <cfRule type="cellIs" dxfId="813" priority="38" operator="equal">
      <formula>$U$56</formula>
    </cfRule>
  </conditionalFormatting>
  <conditionalFormatting sqref="V53">
    <cfRule type="cellIs" dxfId="812" priority="35" operator="notEqual">
      <formula>$V$56</formula>
    </cfRule>
    <cfRule type="cellIs" dxfId="811" priority="36" operator="equal">
      <formula>$V$56</formula>
    </cfRule>
  </conditionalFormatting>
  <conditionalFormatting sqref="W53">
    <cfRule type="cellIs" dxfId="810" priority="33" operator="notEqual">
      <formula>$W$56</formula>
    </cfRule>
    <cfRule type="cellIs" dxfId="809" priority="34" operator="equal">
      <formula>$W$56</formula>
    </cfRule>
  </conditionalFormatting>
  <conditionalFormatting sqref="X53">
    <cfRule type="cellIs" dxfId="808" priority="31" operator="notEqual">
      <formula>$X$56</formula>
    </cfRule>
    <cfRule type="cellIs" dxfId="807" priority="32" operator="equal">
      <formula>$X$56</formula>
    </cfRule>
  </conditionalFormatting>
  <conditionalFormatting sqref="Y53">
    <cfRule type="cellIs" dxfId="806" priority="29" operator="notEqual">
      <formula>$Y$56</formula>
    </cfRule>
    <cfRule type="cellIs" dxfId="805" priority="30" operator="equal">
      <formula>$Y$56</formula>
    </cfRule>
  </conditionalFormatting>
  <conditionalFormatting sqref="Z53">
    <cfRule type="cellIs" dxfId="804" priority="27" operator="notEqual">
      <formula>$Z$56</formula>
    </cfRule>
    <cfRule type="cellIs" dxfId="803" priority="28" operator="equal">
      <formula>$Z$56</formula>
    </cfRule>
  </conditionalFormatting>
  <conditionalFormatting sqref="AA53">
    <cfRule type="cellIs" dxfId="802" priority="25" operator="notEqual">
      <formula>$AA$56</formula>
    </cfRule>
    <cfRule type="cellIs" dxfId="801" priority="26" operator="equal">
      <formula>$AA$56</formula>
    </cfRule>
  </conditionalFormatting>
  <conditionalFormatting sqref="AB53">
    <cfRule type="cellIs" dxfId="800" priority="23" operator="notEqual">
      <formula>$AB$56</formula>
    </cfRule>
    <cfRule type="cellIs" dxfId="799" priority="24" operator="equal">
      <formula>$AB$56</formula>
    </cfRule>
  </conditionalFormatting>
  <conditionalFormatting sqref="AC53">
    <cfRule type="cellIs" dxfId="798" priority="21" operator="notEqual">
      <formula>$AC$56</formula>
    </cfRule>
    <cfRule type="cellIs" dxfId="797" priority="22" operator="equal">
      <formula>$AC$56</formula>
    </cfRule>
  </conditionalFormatting>
  <conditionalFormatting sqref="AD53">
    <cfRule type="cellIs" dxfId="796" priority="19" operator="notEqual">
      <formula>$AD$56</formula>
    </cfRule>
    <cfRule type="cellIs" dxfId="795" priority="20" operator="equal">
      <formula>$AD$56</formula>
    </cfRule>
  </conditionalFormatting>
  <conditionalFormatting sqref="AE53">
    <cfRule type="cellIs" dxfId="794" priority="17" operator="notEqual">
      <formula>$AE$56</formula>
    </cfRule>
    <cfRule type="cellIs" dxfId="793" priority="18" operator="equal">
      <formula>$AE$56</formula>
    </cfRule>
  </conditionalFormatting>
  <conditionalFormatting sqref="AF53">
    <cfRule type="cellIs" dxfId="792" priority="16" operator="equal">
      <formula>$AF$56</formula>
    </cfRule>
  </conditionalFormatting>
  <conditionalFormatting sqref="AF53">
    <cfRule type="cellIs" dxfId="791" priority="15" operator="notEqual">
      <formula>$AF$56</formula>
    </cfRule>
  </conditionalFormatting>
  <conditionalFormatting sqref="AG53">
    <cfRule type="cellIs" dxfId="790" priority="14" operator="equal">
      <formula>$AG$56</formula>
    </cfRule>
  </conditionalFormatting>
  <conditionalFormatting sqref="AG53">
    <cfRule type="cellIs" dxfId="789" priority="13" operator="notEqual">
      <formula>$AG$56</formula>
    </cfRule>
  </conditionalFormatting>
  <conditionalFormatting sqref="AH53">
    <cfRule type="cellIs" dxfId="788" priority="12" operator="equal">
      <formula>$AH$56</formula>
    </cfRule>
  </conditionalFormatting>
  <conditionalFormatting sqref="AH53">
    <cfRule type="cellIs" dxfId="787" priority="11" operator="notEqual">
      <formula>$AH$56</formula>
    </cfRule>
  </conditionalFormatting>
  <conditionalFormatting sqref="AI53">
    <cfRule type="cellIs" dxfId="786" priority="10" operator="equal">
      <formula>$AI$56</formula>
    </cfRule>
  </conditionalFormatting>
  <conditionalFormatting sqref="AI53">
    <cfRule type="cellIs" dxfId="785" priority="9" operator="notEqual">
      <formula>$AI$56</formula>
    </cfRule>
  </conditionalFormatting>
  <conditionalFormatting sqref="AJ53">
    <cfRule type="cellIs" dxfId="784" priority="8" operator="equal">
      <formula>$AJ$56</formula>
    </cfRule>
  </conditionalFormatting>
  <conditionalFormatting sqref="AJ53">
    <cfRule type="cellIs" dxfId="783" priority="7" operator="notEqual">
      <formula>$AJ$56</formula>
    </cfRule>
  </conditionalFormatting>
  <conditionalFormatting sqref="AK53">
    <cfRule type="cellIs" dxfId="782" priority="6" operator="equal">
      <formula>$AK$56</formula>
    </cfRule>
  </conditionalFormatting>
  <conditionalFormatting sqref="AK53">
    <cfRule type="cellIs" dxfId="781" priority="5" operator="notEqual">
      <formula>$AK$56</formula>
    </cfRule>
  </conditionalFormatting>
  <conditionalFormatting sqref="AL53">
    <cfRule type="cellIs" dxfId="780" priority="4" operator="equal">
      <formula>$AL$56</formula>
    </cfRule>
  </conditionalFormatting>
  <conditionalFormatting sqref="AL53">
    <cfRule type="cellIs" dxfId="779" priority="3" operator="notEqual">
      <formula>$AL$56</formula>
    </cfRule>
  </conditionalFormatting>
  <conditionalFormatting sqref="AM53">
    <cfRule type="cellIs" dxfId="778" priority="2" operator="equal">
      <formula>$AM$56</formula>
    </cfRule>
  </conditionalFormatting>
  <conditionalFormatting sqref="AM53">
    <cfRule type="cellIs" dxfId="777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6B57-11FF-46EB-A091-1045D6E37615}">
  <dimension ref="A1:AB50"/>
  <sheetViews>
    <sheetView showGridLines="0" topLeftCell="A32" workbookViewId="0">
      <selection activeCell="K44" sqref="K44:AB50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2" width="7.109375" style="9" bestFit="1" customWidth="1"/>
    <col min="13" max="13" width="7.88671875" style="9" bestFit="1" customWidth="1"/>
    <col min="14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1093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109375" style="9" bestFit="1" customWidth="1"/>
    <col min="29" max="16384" width="8.88671875" style="9"/>
  </cols>
  <sheetData>
    <row r="1" spans="1:28" ht="11.25" customHeight="1" x14ac:dyDescent="0.3">
      <c r="A1" s="100" t="s">
        <v>69</v>
      </c>
      <c r="B1" s="100" t="s">
        <v>70</v>
      </c>
      <c r="C1" s="100" t="s">
        <v>71</v>
      </c>
      <c r="D1" s="100" t="s">
        <v>72</v>
      </c>
      <c r="E1" s="100" t="s">
        <v>73</v>
      </c>
      <c r="F1" s="100" t="s">
        <v>15</v>
      </c>
      <c r="G1" s="100" t="s">
        <v>75</v>
      </c>
      <c r="H1" s="100" t="s">
        <v>76</v>
      </c>
      <c r="I1" s="100" t="s">
        <v>494</v>
      </c>
      <c r="J1" s="84"/>
      <c r="L1" s="101" t="s">
        <v>515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84"/>
      <c r="L2" s="101" t="s">
        <v>421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84"/>
      <c r="L3" s="101" t="s">
        <v>394</v>
      </c>
      <c r="M3" s="101"/>
      <c r="N3" s="101"/>
      <c r="O3" s="101"/>
      <c r="P3" s="101"/>
      <c r="Q3" s="101"/>
      <c r="R3" s="101" t="s">
        <v>425</v>
      </c>
      <c r="S3" s="101"/>
      <c r="T3" s="101" t="s">
        <v>403</v>
      </c>
      <c r="U3" s="101"/>
      <c r="V3" s="101"/>
      <c r="W3" s="101"/>
      <c r="X3" s="101" t="s">
        <v>413</v>
      </c>
      <c r="Y3" s="101"/>
      <c r="Z3" s="101" t="s">
        <v>416</v>
      </c>
      <c r="AA3" s="101"/>
      <c r="AB3" s="101" t="s">
        <v>402</v>
      </c>
    </row>
    <row r="4" spans="1:28" ht="11.25" customHeight="1" x14ac:dyDescent="0.3">
      <c r="A4" s="100"/>
      <c r="B4" s="100"/>
      <c r="C4" s="100"/>
      <c r="D4" s="100"/>
      <c r="E4" s="100"/>
      <c r="F4" s="100"/>
      <c r="G4" s="100"/>
      <c r="H4" s="100"/>
      <c r="I4" s="100"/>
      <c r="J4" s="84"/>
      <c r="L4" s="24" t="s">
        <v>396</v>
      </c>
      <c r="M4" s="24" t="s">
        <v>422</v>
      </c>
      <c r="N4" s="24" t="s">
        <v>423</v>
      </c>
      <c r="O4" s="24" t="s">
        <v>482</v>
      </c>
      <c r="P4" s="24" t="s">
        <v>424</v>
      </c>
      <c r="Q4" s="24" t="s">
        <v>402</v>
      </c>
      <c r="R4" s="24" t="s">
        <v>426</v>
      </c>
      <c r="S4" s="24" t="s">
        <v>402</v>
      </c>
      <c r="T4" s="24" t="s">
        <v>427</v>
      </c>
      <c r="U4" s="24" t="s">
        <v>428</v>
      </c>
      <c r="V4" s="24" t="s">
        <v>429</v>
      </c>
      <c r="W4" s="24" t="s">
        <v>402</v>
      </c>
      <c r="X4" s="24" t="s">
        <v>414</v>
      </c>
      <c r="Y4" s="24" t="s">
        <v>402</v>
      </c>
      <c r="Z4" s="24" t="s">
        <v>430</v>
      </c>
      <c r="AA4" s="24" t="s">
        <v>402</v>
      </c>
      <c r="AB4" s="102"/>
    </row>
    <row r="5" spans="1:28" ht="11.25" customHeight="1" x14ac:dyDescent="0.3">
      <c r="A5" s="99" t="s">
        <v>34</v>
      </c>
      <c r="B5" s="99" t="s">
        <v>78</v>
      </c>
      <c r="C5" s="99" t="s">
        <v>25</v>
      </c>
      <c r="D5" s="99" t="s">
        <v>25</v>
      </c>
      <c r="E5" s="99" t="s">
        <v>25</v>
      </c>
      <c r="F5" s="99" t="s">
        <v>25</v>
      </c>
      <c r="G5" s="23" t="s">
        <v>80</v>
      </c>
      <c r="H5" s="23" t="s">
        <v>79</v>
      </c>
      <c r="I5" s="23">
        <f>'MERCADO TE'!$U$2</f>
        <v>311.15300000000002</v>
      </c>
      <c r="J5" s="15"/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/>
      <c r="R5" s="20">
        <v>1</v>
      </c>
      <c r="S5" s="20"/>
      <c r="T5" s="20">
        <v>1</v>
      </c>
      <c r="U5" s="20">
        <v>1</v>
      </c>
      <c r="V5" s="20">
        <v>1</v>
      </c>
      <c r="W5" s="20"/>
      <c r="X5" s="20"/>
      <c r="Y5" s="20"/>
      <c r="Z5" s="20">
        <v>1</v>
      </c>
      <c r="AA5" s="20"/>
      <c r="AB5" s="20"/>
    </row>
    <row r="6" spans="1:28" ht="11.25" customHeight="1" x14ac:dyDescent="0.3">
      <c r="A6" s="99"/>
      <c r="B6" s="99"/>
      <c r="C6" s="99"/>
      <c r="D6" s="99"/>
      <c r="E6" s="99"/>
      <c r="F6" s="99"/>
      <c r="G6" s="23" t="s">
        <v>81</v>
      </c>
      <c r="H6" s="23" t="s">
        <v>79</v>
      </c>
      <c r="I6" s="23">
        <f>'MERCADO TE'!$U$3</f>
        <v>7439.3039999999992</v>
      </c>
      <c r="J6" s="15"/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/>
      <c r="R6" s="20">
        <v>1</v>
      </c>
      <c r="S6" s="20"/>
      <c r="T6" s="20">
        <v>1</v>
      </c>
      <c r="U6" s="20">
        <v>1</v>
      </c>
      <c r="V6" s="20">
        <v>1</v>
      </c>
      <c r="W6" s="20"/>
      <c r="X6" s="20"/>
      <c r="Y6" s="20"/>
      <c r="Z6" s="20">
        <v>1</v>
      </c>
      <c r="AA6" s="20"/>
      <c r="AB6" s="20"/>
    </row>
    <row r="7" spans="1:28" ht="11.25" customHeight="1" x14ac:dyDescent="0.3">
      <c r="A7" s="99"/>
      <c r="B7" s="22" t="s">
        <v>82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83</v>
      </c>
      <c r="H7" s="23" t="s">
        <v>79</v>
      </c>
      <c r="I7" s="23">
        <f>'MERCADO TE'!$U$4</f>
        <v>0</v>
      </c>
      <c r="J7" s="15"/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/>
      <c r="R7" s="20">
        <v>1</v>
      </c>
      <c r="S7" s="20"/>
      <c r="T7" s="20">
        <v>1</v>
      </c>
      <c r="U7" s="20">
        <v>1</v>
      </c>
      <c r="V7" s="20">
        <v>1</v>
      </c>
      <c r="W7" s="20"/>
      <c r="X7" s="20"/>
      <c r="Y7" s="20"/>
      <c r="Z7" s="20">
        <v>1</v>
      </c>
      <c r="AA7" s="20"/>
      <c r="AB7" s="20"/>
    </row>
    <row r="8" spans="1:28" ht="11.25" customHeight="1" x14ac:dyDescent="0.3">
      <c r="A8" s="99" t="s">
        <v>22</v>
      </c>
      <c r="B8" s="99" t="s">
        <v>78</v>
      </c>
      <c r="C8" s="99" t="s">
        <v>24</v>
      </c>
      <c r="D8" s="99" t="s">
        <v>24</v>
      </c>
      <c r="E8" s="99" t="s">
        <v>25</v>
      </c>
      <c r="F8" s="99" t="s">
        <v>25</v>
      </c>
      <c r="G8" s="23" t="s">
        <v>80</v>
      </c>
      <c r="H8" s="23" t="s">
        <v>79</v>
      </c>
      <c r="I8" s="23">
        <f>'MERCADO TE'!$U$5</f>
        <v>0</v>
      </c>
      <c r="J8" s="15"/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/>
      <c r="R8" s="20">
        <v>1</v>
      </c>
      <c r="S8" s="20"/>
      <c r="T8" s="20">
        <v>1</v>
      </c>
      <c r="U8" s="20">
        <v>1</v>
      </c>
      <c r="V8" s="20">
        <v>1</v>
      </c>
      <c r="W8" s="20"/>
      <c r="X8" s="20"/>
      <c r="Y8" s="20"/>
      <c r="Z8" s="20">
        <v>1</v>
      </c>
      <c r="AA8" s="20"/>
      <c r="AB8" s="20"/>
    </row>
    <row r="9" spans="1:28" ht="11.25" customHeight="1" x14ac:dyDescent="0.3">
      <c r="A9" s="99"/>
      <c r="B9" s="99"/>
      <c r="C9" s="99"/>
      <c r="D9" s="99"/>
      <c r="E9" s="99"/>
      <c r="F9" s="99"/>
      <c r="G9" s="23" t="s">
        <v>91</v>
      </c>
      <c r="H9" s="23" t="s">
        <v>79</v>
      </c>
      <c r="I9" s="23">
        <f>'MERCADO TE'!$U$6</f>
        <v>0</v>
      </c>
      <c r="J9" s="15"/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/>
      <c r="R9" s="20">
        <v>1</v>
      </c>
      <c r="S9" s="20"/>
      <c r="T9" s="20">
        <v>1</v>
      </c>
      <c r="U9" s="20">
        <v>1</v>
      </c>
      <c r="V9" s="20">
        <v>1</v>
      </c>
      <c r="W9" s="20"/>
      <c r="X9" s="20"/>
      <c r="Y9" s="20"/>
      <c r="Z9" s="20">
        <v>1</v>
      </c>
      <c r="AA9" s="20"/>
      <c r="AB9" s="20"/>
    </row>
    <row r="10" spans="1:28" ht="11.25" customHeight="1" x14ac:dyDescent="0.3">
      <c r="A10" s="99"/>
      <c r="B10" s="99"/>
      <c r="C10" s="99"/>
      <c r="D10" s="99"/>
      <c r="E10" s="99"/>
      <c r="F10" s="99"/>
      <c r="G10" s="23" t="s">
        <v>81</v>
      </c>
      <c r="H10" s="23" t="s">
        <v>79</v>
      </c>
      <c r="I10" s="23">
        <f>'MERCADO TE'!$U$7</f>
        <v>0</v>
      </c>
      <c r="J10" s="15"/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/>
      <c r="R10" s="20">
        <v>1</v>
      </c>
      <c r="S10" s="20"/>
      <c r="T10" s="20">
        <v>1</v>
      </c>
      <c r="U10" s="20">
        <v>1</v>
      </c>
      <c r="V10" s="20">
        <v>1</v>
      </c>
      <c r="W10" s="20"/>
      <c r="X10" s="20"/>
      <c r="Y10" s="20"/>
      <c r="Z10" s="20">
        <v>1</v>
      </c>
      <c r="AA10" s="20"/>
      <c r="AB10" s="20"/>
    </row>
    <row r="11" spans="1:28" ht="11.25" customHeight="1" x14ac:dyDescent="0.3">
      <c r="A11" s="99"/>
      <c r="B11" s="99" t="s">
        <v>82</v>
      </c>
      <c r="C11" s="99" t="s">
        <v>24</v>
      </c>
      <c r="D11" s="22" t="s">
        <v>24</v>
      </c>
      <c r="E11" s="22" t="s">
        <v>25</v>
      </c>
      <c r="F11" s="22" t="s">
        <v>25</v>
      </c>
      <c r="G11" s="23" t="s">
        <v>83</v>
      </c>
      <c r="H11" s="23" t="s">
        <v>79</v>
      </c>
      <c r="I11" s="23">
        <f>'MERCADO TE'!$U$8</f>
        <v>10969.981</v>
      </c>
      <c r="J11" s="15"/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/>
      <c r="R11" s="20">
        <v>1</v>
      </c>
      <c r="S11" s="20"/>
      <c r="T11" s="20">
        <v>1</v>
      </c>
      <c r="U11" s="20">
        <v>1</v>
      </c>
      <c r="V11" s="20">
        <v>1</v>
      </c>
      <c r="W11" s="20"/>
      <c r="X11" s="20"/>
      <c r="Y11" s="20"/>
      <c r="Z11" s="20">
        <v>1</v>
      </c>
      <c r="AA11" s="20"/>
      <c r="AB11" s="20"/>
    </row>
    <row r="12" spans="1:28" ht="11.25" customHeight="1" x14ac:dyDescent="0.3">
      <c r="A12" s="99"/>
      <c r="B12" s="99"/>
      <c r="C12" s="99"/>
      <c r="D12" s="22" t="s">
        <v>28</v>
      </c>
      <c r="E12" s="22" t="s">
        <v>25</v>
      </c>
      <c r="F12" s="22" t="s">
        <v>25</v>
      </c>
      <c r="G12" s="23" t="s">
        <v>83</v>
      </c>
      <c r="H12" s="23" t="s">
        <v>79</v>
      </c>
      <c r="I12" s="23">
        <f>'MERCADO TE'!$U$9</f>
        <v>87.284999999999997</v>
      </c>
      <c r="J12" s="15"/>
      <c r="L12" s="20">
        <f>1 - CUSTOS!$M$24</f>
        <v>1</v>
      </c>
      <c r="M12" s="20">
        <f>1 - CUSTOS!$M$24</f>
        <v>1</v>
      </c>
      <c r="N12" s="20">
        <f>1 - CUSTOS!$M$24</f>
        <v>1</v>
      </c>
      <c r="O12" s="20">
        <f>1 - CUSTOS!$M$24</f>
        <v>1</v>
      </c>
      <c r="P12" s="20">
        <f>1 - CUSTOS!$M$24</f>
        <v>1</v>
      </c>
      <c r="Q12" s="20"/>
      <c r="R12" s="20">
        <f>(1 - CUSTOS!$M$24)*1</f>
        <v>1</v>
      </c>
      <c r="S12" s="20"/>
      <c r="T12" s="20">
        <f>1 - CUSTOS!$M$24</f>
        <v>1</v>
      </c>
      <c r="U12" s="20">
        <f>1 - CUSTOS!$M$24</f>
        <v>1</v>
      </c>
      <c r="V12" s="20">
        <f>1 - CUSTOS!$M$24</f>
        <v>1</v>
      </c>
      <c r="W12" s="20"/>
      <c r="X12" s="20"/>
      <c r="Y12" s="20"/>
      <c r="Z12" s="20">
        <f>1 - CUSTOS!$M$24</f>
        <v>1</v>
      </c>
      <c r="AA12" s="20"/>
      <c r="AB12" s="20"/>
    </row>
    <row r="13" spans="1:28" ht="11.25" customHeight="1" x14ac:dyDescent="0.3">
      <c r="A13" s="99"/>
      <c r="B13" s="99"/>
      <c r="C13" s="99"/>
      <c r="D13" s="22" t="s">
        <v>29</v>
      </c>
      <c r="E13" s="22" t="s">
        <v>25</v>
      </c>
      <c r="F13" s="22" t="s">
        <v>25</v>
      </c>
      <c r="G13" s="23" t="s">
        <v>83</v>
      </c>
      <c r="H13" s="23" t="s">
        <v>79</v>
      </c>
      <c r="I13" s="23">
        <f>'MERCADO TE'!$U$10</f>
        <v>183.16699999999997</v>
      </c>
      <c r="J13" s="15"/>
      <c r="L13" s="20">
        <f>1 - CUSTOS!$M$25</f>
        <v>1</v>
      </c>
      <c r="M13" s="20">
        <f>1 - CUSTOS!$M$25</f>
        <v>1</v>
      </c>
      <c r="N13" s="20">
        <f>1 - CUSTOS!$M$25</f>
        <v>1</v>
      </c>
      <c r="O13" s="20">
        <f>1 - CUSTOS!$M$25</f>
        <v>1</v>
      </c>
      <c r="P13" s="20">
        <f>1 - CUSTOS!$M$25</f>
        <v>1</v>
      </c>
      <c r="Q13" s="20"/>
      <c r="R13" s="20">
        <f>(1 - CUSTOS!$M$25)*1</f>
        <v>1</v>
      </c>
      <c r="S13" s="20"/>
      <c r="T13" s="20">
        <f>1 - CUSTOS!$M$25</f>
        <v>1</v>
      </c>
      <c r="U13" s="20">
        <f>1 - CUSTOS!$M$25</f>
        <v>1</v>
      </c>
      <c r="V13" s="20">
        <f>1 - CUSTOS!$M$25</f>
        <v>1</v>
      </c>
      <c r="W13" s="20"/>
      <c r="X13" s="20"/>
      <c r="Y13" s="20"/>
      <c r="Z13" s="20">
        <f>1 - CUSTOS!$M$25</f>
        <v>1</v>
      </c>
      <c r="AA13" s="20"/>
      <c r="AB13" s="20"/>
    </row>
    <row r="14" spans="1:28" ht="11.25" customHeight="1" x14ac:dyDescent="0.3">
      <c r="A14" s="99"/>
      <c r="B14" s="99"/>
      <c r="C14" s="99"/>
      <c r="D14" s="22" t="s">
        <v>30</v>
      </c>
      <c r="E14" s="22" t="s">
        <v>25</v>
      </c>
      <c r="F14" s="22" t="s">
        <v>25</v>
      </c>
      <c r="G14" s="23" t="s">
        <v>83</v>
      </c>
      <c r="H14" s="23" t="s">
        <v>79</v>
      </c>
      <c r="I14" s="23">
        <f>'MERCADO TE'!$U$11</f>
        <v>200.38</v>
      </c>
      <c r="J14" s="15"/>
      <c r="L14" s="20">
        <f>1 - CUSTOS!$M$26</f>
        <v>1</v>
      </c>
      <c r="M14" s="20">
        <f>1 - CUSTOS!$M$26</f>
        <v>1</v>
      </c>
      <c r="N14" s="20">
        <f>1 - CUSTOS!$M$26</f>
        <v>1</v>
      </c>
      <c r="O14" s="20">
        <f>1 - CUSTOS!$M$26</f>
        <v>1</v>
      </c>
      <c r="P14" s="20">
        <f>1 - CUSTOS!$M$26</f>
        <v>1</v>
      </c>
      <c r="Q14" s="20"/>
      <c r="R14" s="20">
        <f>(1 - CUSTOS!$M$26)*1</f>
        <v>1</v>
      </c>
      <c r="S14" s="20"/>
      <c r="T14" s="20">
        <f>1 - CUSTOS!$M$26</f>
        <v>1</v>
      </c>
      <c r="U14" s="20">
        <f>1 - CUSTOS!$M$26</f>
        <v>1</v>
      </c>
      <c r="V14" s="20">
        <f>1 - CUSTOS!$M$26</f>
        <v>1</v>
      </c>
      <c r="W14" s="20"/>
      <c r="X14" s="20"/>
      <c r="Y14" s="20"/>
      <c r="Z14" s="20">
        <f>1 - CUSTOS!$M$26</f>
        <v>1</v>
      </c>
      <c r="AA14" s="20"/>
      <c r="AB14" s="20"/>
    </row>
    <row r="15" spans="1:28" ht="11.25" customHeight="1" x14ac:dyDescent="0.3">
      <c r="A15" s="99"/>
      <c r="B15" s="99"/>
      <c r="C15" s="99"/>
      <c r="D15" s="22" t="s">
        <v>31</v>
      </c>
      <c r="E15" s="22" t="s">
        <v>25</v>
      </c>
      <c r="F15" s="22" t="s">
        <v>25</v>
      </c>
      <c r="G15" s="23" t="s">
        <v>83</v>
      </c>
      <c r="H15" s="23" t="s">
        <v>79</v>
      </c>
      <c r="I15" s="23">
        <f>'MERCADO TE'!$U$12</f>
        <v>80.955999999999989</v>
      </c>
      <c r="J15" s="15"/>
      <c r="L15" s="20">
        <f>1 - CUSTOS!$M$27</f>
        <v>1</v>
      </c>
      <c r="M15" s="20">
        <f>1 - CUSTOS!$M$27</f>
        <v>1</v>
      </c>
      <c r="N15" s="20">
        <f>1 - CUSTOS!$M$27</f>
        <v>1</v>
      </c>
      <c r="O15" s="20">
        <f>1 - CUSTOS!$M$27</f>
        <v>1</v>
      </c>
      <c r="P15" s="20">
        <f>1 - CUSTOS!$M$27</f>
        <v>1</v>
      </c>
      <c r="Q15" s="20"/>
      <c r="R15" s="20">
        <f>(1 - CUSTOS!$M$27)*1</f>
        <v>1</v>
      </c>
      <c r="S15" s="20"/>
      <c r="T15" s="20">
        <f>1 - CUSTOS!$M$27</f>
        <v>1</v>
      </c>
      <c r="U15" s="20">
        <f>1 - CUSTOS!$M$27</f>
        <v>1</v>
      </c>
      <c r="V15" s="20">
        <f>1 - CUSTOS!$M$27</f>
        <v>1</v>
      </c>
      <c r="W15" s="20"/>
      <c r="X15" s="20"/>
      <c r="Y15" s="20"/>
      <c r="Z15" s="20">
        <f>1 - CUSTOS!$M$27</f>
        <v>1</v>
      </c>
      <c r="AA15" s="20"/>
      <c r="AB15" s="20"/>
    </row>
    <row r="16" spans="1:28" ht="11.25" customHeight="1" x14ac:dyDescent="0.3">
      <c r="A16" s="99"/>
      <c r="B16" s="99" t="s">
        <v>93</v>
      </c>
      <c r="C16" s="99" t="s">
        <v>24</v>
      </c>
      <c r="D16" s="22" t="s">
        <v>24</v>
      </c>
      <c r="E16" s="22" t="s">
        <v>25</v>
      </c>
      <c r="F16" s="22" t="s">
        <v>25</v>
      </c>
      <c r="G16" s="23" t="s">
        <v>83</v>
      </c>
      <c r="H16" s="23" t="s">
        <v>79</v>
      </c>
      <c r="I16" s="23">
        <f>'MERCADO TE'!$U$13</f>
        <v>0</v>
      </c>
      <c r="J16" s="15"/>
      <c r="L16" s="20">
        <v>1</v>
      </c>
      <c r="M16" s="20">
        <v>1</v>
      </c>
      <c r="N16" s="20">
        <v>1</v>
      </c>
      <c r="O16" s="20">
        <v>1</v>
      </c>
      <c r="P16" s="20">
        <v>1</v>
      </c>
      <c r="Q16" s="20"/>
      <c r="R16" s="20">
        <v>1</v>
      </c>
      <c r="S16" s="20"/>
      <c r="T16" s="20">
        <v>1</v>
      </c>
      <c r="U16" s="20">
        <v>1</v>
      </c>
      <c r="V16" s="20">
        <v>1</v>
      </c>
      <c r="W16" s="20"/>
      <c r="X16" s="20"/>
      <c r="Y16" s="20"/>
      <c r="Z16" s="20">
        <v>1</v>
      </c>
      <c r="AA16" s="20"/>
      <c r="AB16" s="20"/>
    </row>
    <row r="17" spans="1:28" ht="11.25" customHeight="1" x14ac:dyDescent="0.3">
      <c r="A17" s="99"/>
      <c r="B17" s="99"/>
      <c r="C17" s="99"/>
      <c r="D17" s="22" t="s">
        <v>28</v>
      </c>
      <c r="E17" s="22" t="s">
        <v>25</v>
      </c>
      <c r="F17" s="22" t="s">
        <v>25</v>
      </c>
      <c r="G17" s="23" t="s">
        <v>83</v>
      </c>
      <c r="H17" s="23" t="s">
        <v>79</v>
      </c>
      <c r="I17" s="23">
        <f>'MERCADO TE'!$U$14</f>
        <v>0</v>
      </c>
      <c r="J17" s="15"/>
      <c r="L17" s="20">
        <f>1 - CUSTOS!$M$24</f>
        <v>1</v>
      </c>
      <c r="M17" s="20">
        <f>1 - CUSTOS!$M$24</f>
        <v>1</v>
      </c>
      <c r="N17" s="20">
        <f>1 - CUSTOS!$M$24</f>
        <v>1</v>
      </c>
      <c r="O17" s="20">
        <f>1 - CUSTOS!$M$24</f>
        <v>1</v>
      </c>
      <c r="P17" s="20">
        <f>1 - CUSTOS!$M$24</f>
        <v>1</v>
      </c>
      <c r="Q17" s="20"/>
      <c r="R17" s="20">
        <f>(1 - CUSTOS!$M$24)*1</f>
        <v>1</v>
      </c>
      <c r="S17" s="20"/>
      <c r="T17" s="20">
        <f>1 - CUSTOS!$M$24</f>
        <v>1</v>
      </c>
      <c r="U17" s="20">
        <f>1 - CUSTOS!$M$24</f>
        <v>1</v>
      </c>
      <c r="V17" s="20">
        <f>1 - CUSTOS!$M$24</f>
        <v>1</v>
      </c>
      <c r="W17" s="20"/>
      <c r="X17" s="20"/>
      <c r="Y17" s="20"/>
      <c r="Z17" s="20">
        <f>1 - CUSTOS!$M$24</f>
        <v>1</v>
      </c>
      <c r="AA17" s="20"/>
      <c r="AB17" s="20"/>
    </row>
    <row r="18" spans="1:28" ht="11.25" customHeight="1" x14ac:dyDescent="0.3">
      <c r="A18" s="99"/>
      <c r="B18" s="99"/>
      <c r="C18" s="99"/>
      <c r="D18" s="22" t="s">
        <v>29</v>
      </c>
      <c r="E18" s="22" t="s">
        <v>25</v>
      </c>
      <c r="F18" s="22" t="s">
        <v>25</v>
      </c>
      <c r="G18" s="23" t="s">
        <v>83</v>
      </c>
      <c r="H18" s="23" t="s">
        <v>79</v>
      </c>
      <c r="I18" s="23">
        <f>'MERCADO TE'!$U$15</f>
        <v>0</v>
      </c>
      <c r="J18" s="15"/>
      <c r="L18" s="20">
        <f>1 - CUSTOS!$M$25</f>
        <v>1</v>
      </c>
      <c r="M18" s="20">
        <f>1 - CUSTOS!$M$25</f>
        <v>1</v>
      </c>
      <c r="N18" s="20">
        <f>1 - CUSTOS!$M$25</f>
        <v>1</v>
      </c>
      <c r="O18" s="20">
        <f>1 - CUSTOS!$M$25</f>
        <v>1</v>
      </c>
      <c r="P18" s="20">
        <f>1 - CUSTOS!$M$25</f>
        <v>1</v>
      </c>
      <c r="Q18" s="20"/>
      <c r="R18" s="20">
        <f>(1 - CUSTOS!$M$25)*1</f>
        <v>1</v>
      </c>
      <c r="S18" s="20"/>
      <c r="T18" s="20">
        <f>1 - CUSTOS!$M$25</f>
        <v>1</v>
      </c>
      <c r="U18" s="20">
        <f>1 - CUSTOS!$M$25</f>
        <v>1</v>
      </c>
      <c r="V18" s="20">
        <f>1 - CUSTOS!$M$25</f>
        <v>1</v>
      </c>
      <c r="W18" s="20"/>
      <c r="X18" s="20"/>
      <c r="Y18" s="20"/>
      <c r="Z18" s="20">
        <f>1 - CUSTOS!$M$25</f>
        <v>1</v>
      </c>
      <c r="AA18" s="20"/>
      <c r="AB18" s="20"/>
    </row>
    <row r="19" spans="1:28" ht="11.25" customHeight="1" x14ac:dyDescent="0.3">
      <c r="A19" s="99"/>
      <c r="B19" s="99"/>
      <c r="C19" s="99"/>
      <c r="D19" s="22" t="s">
        <v>30</v>
      </c>
      <c r="E19" s="22" t="s">
        <v>25</v>
      </c>
      <c r="F19" s="22" t="s">
        <v>25</v>
      </c>
      <c r="G19" s="23" t="s">
        <v>83</v>
      </c>
      <c r="H19" s="23" t="s">
        <v>79</v>
      </c>
      <c r="I19" s="23">
        <f>'MERCADO TE'!$U$16</f>
        <v>0</v>
      </c>
      <c r="J19" s="15"/>
      <c r="L19" s="20">
        <f>1 - CUSTOS!$M$26</f>
        <v>1</v>
      </c>
      <c r="M19" s="20">
        <f>1 - CUSTOS!$M$26</f>
        <v>1</v>
      </c>
      <c r="N19" s="20">
        <f>1 - CUSTOS!$M$26</f>
        <v>1</v>
      </c>
      <c r="O19" s="20">
        <f>1 - CUSTOS!$M$26</f>
        <v>1</v>
      </c>
      <c r="P19" s="20">
        <f>1 - CUSTOS!$M$26</f>
        <v>1</v>
      </c>
      <c r="Q19" s="20"/>
      <c r="R19" s="20">
        <f>(1 - CUSTOS!$M$26)*1</f>
        <v>1</v>
      </c>
      <c r="S19" s="20"/>
      <c r="T19" s="20">
        <f>1 - CUSTOS!$M$26</f>
        <v>1</v>
      </c>
      <c r="U19" s="20">
        <f>1 - CUSTOS!$M$26</f>
        <v>1</v>
      </c>
      <c r="V19" s="20">
        <f>1 - CUSTOS!$M$26</f>
        <v>1</v>
      </c>
      <c r="W19" s="20"/>
      <c r="X19" s="20"/>
      <c r="Y19" s="20"/>
      <c r="Z19" s="20">
        <f>1 - CUSTOS!$M$26</f>
        <v>1</v>
      </c>
      <c r="AA19" s="20"/>
      <c r="AB19" s="20"/>
    </row>
    <row r="20" spans="1:28" ht="11.25" customHeight="1" x14ac:dyDescent="0.3">
      <c r="A20" s="99"/>
      <c r="B20" s="99"/>
      <c r="C20" s="99"/>
      <c r="D20" s="22" t="s">
        <v>31</v>
      </c>
      <c r="E20" s="22" t="s">
        <v>25</v>
      </c>
      <c r="F20" s="22" t="s">
        <v>25</v>
      </c>
      <c r="G20" s="23" t="s">
        <v>83</v>
      </c>
      <c r="H20" s="23" t="s">
        <v>79</v>
      </c>
      <c r="I20" s="23">
        <f>'MERCADO TE'!$U$17</f>
        <v>0</v>
      </c>
      <c r="J20" s="15"/>
      <c r="L20" s="20">
        <f>1 - CUSTOS!$M$27</f>
        <v>1</v>
      </c>
      <c r="M20" s="20">
        <f>1 - CUSTOS!$M$27</f>
        <v>1</v>
      </c>
      <c r="N20" s="20">
        <f>1 - CUSTOS!$M$27</f>
        <v>1</v>
      </c>
      <c r="O20" s="20">
        <f>1 - CUSTOS!$M$27</f>
        <v>1</v>
      </c>
      <c r="P20" s="20">
        <f>1 - CUSTOS!$M$27</f>
        <v>1</v>
      </c>
      <c r="Q20" s="20"/>
      <c r="R20" s="20">
        <f>(1 - CUSTOS!$M$27)*1</f>
        <v>1</v>
      </c>
      <c r="S20" s="20"/>
      <c r="T20" s="20">
        <f>1 - CUSTOS!$M$27</f>
        <v>1</v>
      </c>
      <c r="U20" s="20">
        <f>1 - CUSTOS!$M$27</f>
        <v>1</v>
      </c>
      <c r="V20" s="20">
        <f>1 - CUSTOS!$M$27</f>
        <v>1</v>
      </c>
      <c r="W20" s="20"/>
      <c r="X20" s="20"/>
      <c r="Y20" s="20"/>
      <c r="Z20" s="20">
        <f>1 - CUSTOS!$M$27</f>
        <v>1</v>
      </c>
      <c r="AA20" s="20"/>
      <c r="AB20" s="20"/>
    </row>
    <row r="21" spans="1:28" ht="11.25" customHeight="1" x14ac:dyDescent="0.3">
      <c r="A21" s="99" t="s">
        <v>40</v>
      </c>
      <c r="B21" s="99" t="s">
        <v>78</v>
      </c>
      <c r="C21" s="99" t="s">
        <v>41</v>
      </c>
      <c r="D21" s="99" t="s">
        <v>25</v>
      </c>
      <c r="E21" s="99" t="s">
        <v>25</v>
      </c>
      <c r="F21" s="99" t="s">
        <v>25</v>
      </c>
      <c r="G21" s="23" t="s">
        <v>80</v>
      </c>
      <c r="H21" s="23" t="s">
        <v>79</v>
      </c>
      <c r="I21" s="23">
        <f>'MERCADO TE'!$U$18</f>
        <v>0</v>
      </c>
      <c r="J21" s="15"/>
      <c r="L21" s="20">
        <f>1 - CUSTOS!$M$28</f>
        <v>1</v>
      </c>
      <c r="M21" s="20">
        <f>1 - CUSTOS!$M$28</f>
        <v>1</v>
      </c>
      <c r="N21" s="20">
        <f>1 - CUSTOS!$M$28</f>
        <v>1</v>
      </c>
      <c r="O21" s="20">
        <f>1 - CUSTOS!$M$28</f>
        <v>1</v>
      </c>
      <c r="P21" s="20">
        <f>1 - CUSTOS!$M$28</f>
        <v>1</v>
      </c>
      <c r="Q21" s="20"/>
      <c r="R21" s="20">
        <f>(1 - CUSTOS!$M$28)*1</f>
        <v>1</v>
      </c>
      <c r="S21" s="20"/>
      <c r="T21" s="20">
        <f>1 - CUSTOS!$M$28</f>
        <v>1</v>
      </c>
      <c r="U21" s="20">
        <f>1 - CUSTOS!$M$28</f>
        <v>1</v>
      </c>
      <c r="V21" s="20">
        <f>1 - CUSTOS!$M$28</f>
        <v>1</v>
      </c>
      <c r="W21" s="20"/>
      <c r="X21" s="20"/>
      <c r="Y21" s="20"/>
      <c r="Z21" s="20">
        <f>1 - CUSTOS!$M$28</f>
        <v>1</v>
      </c>
      <c r="AA21" s="20"/>
      <c r="AB21" s="20"/>
    </row>
    <row r="22" spans="1:28" ht="11.25" customHeight="1" x14ac:dyDescent="0.3">
      <c r="A22" s="99"/>
      <c r="B22" s="99"/>
      <c r="C22" s="99"/>
      <c r="D22" s="99"/>
      <c r="E22" s="99"/>
      <c r="F22" s="99"/>
      <c r="G22" s="23" t="s">
        <v>91</v>
      </c>
      <c r="H22" s="23" t="s">
        <v>79</v>
      </c>
      <c r="I22" s="23">
        <f>'MERCADO TE'!$U$19</f>
        <v>0</v>
      </c>
      <c r="J22" s="15"/>
      <c r="L22" s="20">
        <f>1 - CUSTOS!$M$28</f>
        <v>1</v>
      </c>
      <c r="M22" s="20">
        <f>1 - CUSTOS!$M$28</f>
        <v>1</v>
      </c>
      <c r="N22" s="20">
        <f>1 - CUSTOS!$M$28</f>
        <v>1</v>
      </c>
      <c r="O22" s="20">
        <f>1 - CUSTOS!$M$28</f>
        <v>1</v>
      </c>
      <c r="P22" s="20">
        <f>1 - CUSTOS!$M$28</f>
        <v>1</v>
      </c>
      <c r="Q22" s="20"/>
      <c r="R22" s="20">
        <f>(1 - CUSTOS!$M$28)*1</f>
        <v>1</v>
      </c>
      <c r="S22" s="20"/>
      <c r="T22" s="20">
        <f>1 - CUSTOS!$M$28</f>
        <v>1</v>
      </c>
      <c r="U22" s="20">
        <f>1 - CUSTOS!$M$28</f>
        <v>1</v>
      </c>
      <c r="V22" s="20">
        <f>1 - CUSTOS!$M$28</f>
        <v>1</v>
      </c>
      <c r="W22" s="20"/>
      <c r="X22" s="20"/>
      <c r="Y22" s="20"/>
      <c r="Z22" s="20">
        <f>1 - CUSTOS!$M$28</f>
        <v>1</v>
      </c>
      <c r="AA22" s="20"/>
      <c r="AB22" s="20"/>
    </row>
    <row r="23" spans="1:28" ht="11.25" customHeight="1" x14ac:dyDescent="0.3">
      <c r="A23" s="99"/>
      <c r="B23" s="99"/>
      <c r="C23" s="99"/>
      <c r="D23" s="99"/>
      <c r="E23" s="99"/>
      <c r="F23" s="99"/>
      <c r="G23" s="23" t="s">
        <v>81</v>
      </c>
      <c r="H23" s="23" t="s">
        <v>79</v>
      </c>
      <c r="I23" s="23">
        <f>'MERCADO TE'!$U$20</f>
        <v>0</v>
      </c>
      <c r="J23" s="15"/>
      <c r="L23" s="20">
        <f>1 - CUSTOS!$M$28</f>
        <v>1</v>
      </c>
      <c r="M23" s="20">
        <f>1 - CUSTOS!$M$28</f>
        <v>1</v>
      </c>
      <c r="N23" s="20">
        <f>1 - CUSTOS!$M$28</f>
        <v>1</v>
      </c>
      <c r="O23" s="20">
        <f>1 - CUSTOS!$M$28</f>
        <v>1</v>
      </c>
      <c r="P23" s="20">
        <f>1 - CUSTOS!$M$28</f>
        <v>1</v>
      </c>
      <c r="Q23" s="20"/>
      <c r="R23" s="20">
        <f>(1 - CUSTOS!$M$28)*1</f>
        <v>1</v>
      </c>
      <c r="S23" s="20"/>
      <c r="T23" s="20">
        <f>1 - CUSTOS!$M$28</f>
        <v>1</v>
      </c>
      <c r="U23" s="20">
        <f>1 - CUSTOS!$M$28</f>
        <v>1</v>
      </c>
      <c r="V23" s="20">
        <f>1 - CUSTOS!$M$28</f>
        <v>1</v>
      </c>
      <c r="W23" s="20"/>
      <c r="X23" s="20"/>
      <c r="Y23" s="20"/>
      <c r="Z23" s="20">
        <f>1 - CUSTOS!$M$28</f>
        <v>1</v>
      </c>
      <c r="AA23" s="20"/>
      <c r="AB23" s="20"/>
    </row>
    <row r="24" spans="1:28" ht="11.25" customHeight="1" x14ac:dyDescent="0.3">
      <c r="A24" s="99"/>
      <c r="B24" s="22" t="s">
        <v>82</v>
      </c>
      <c r="C24" s="22" t="s">
        <v>41</v>
      </c>
      <c r="D24" s="22" t="s">
        <v>25</v>
      </c>
      <c r="E24" s="22" t="s">
        <v>25</v>
      </c>
      <c r="F24" s="22" t="s">
        <v>25</v>
      </c>
      <c r="G24" s="23" t="s">
        <v>83</v>
      </c>
      <c r="H24" s="23" t="s">
        <v>79</v>
      </c>
      <c r="I24" s="23">
        <f>'MERCADO TE'!$U$21</f>
        <v>15119.107000000002</v>
      </c>
      <c r="J24" s="15"/>
      <c r="L24" s="20">
        <f>1 - CUSTOS!$M$28</f>
        <v>1</v>
      </c>
      <c r="M24" s="20">
        <f>1 - CUSTOS!$M$28</f>
        <v>1</v>
      </c>
      <c r="N24" s="20">
        <f>1 - CUSTOS!$M$28</f>
        <v>1</v>
      </c>
      <c r="O24" s="20">
        <f>1 - CUSTOS!$M$28</f>
        <v>1</v>
      </c>
      <c r="P24" s="20">
        <f>1 - CUSTOS!$M$28</f>
        <v>1</v>
      </c>
      <c r="Q24" s="20"/>
      <c r="R24" s="20">
        <f>(1 - CUSTOS!$M$28)*1</f>
        <v>1</v>
      </c>
      <c r="S24" s="20"/>
      <c r="T24" s="20">
        <f>1 - CUSTOS!$M$28</f>
        <v>1</v>
      </c>
      <c r="U24" s="20">
        <f>1 - CUSTOS!$M$28</f>
        <v>1</v>
      </c>
      <c r="V24" s="20">
        <f>1 - CUSTOS!$M$28</f>
        <v>1</v>
      </c>
      <c r="W24" s="20"/>
      <c r="X24" s="20"/>
      <c r="Y24" s="20"/>
      <c r="Z24" s="20">
        <f>1 - CUSTOS!$M$28</f>
        <v>1</v>
      </c>
      <c r="AA24" s="20"/>
      <c r="AB24" s="20"/>
    </row>
    <row r="25" spans="1:28" ht="11.25" customHeight="1" x14ac:dyDescent="0.3">
      <c r="A25" s="99"/>
      <c r="B25" s="99" t="s">
        <v>78</v>
      </c>
      <c r="C25" s="99" t="s">
        <v>41</v>
      </c>
      <c r="D25" s="99" t="s">
        <v>95</v>
      </c>
      <c r="E25" s="99" t="s">
        <v>25</v>
      </c>
      <c r="F25" s="99" t="s">
        <v>25</v>
      </c>
      <c r="G25" s="23" t="s">
        <v>80</v>
      </c>
      <c r="H25" s="23" t="s">
        <v>79</v>
      </c>
      <c r="I25" s="23">
        <f>'MERCADO TE'!$U$22</f>
        <v>0</v>
      </c>
      <c r="J25" s="15"/>
      <c r="L25" s="20">
        <f>1 - CUSTOS!$M$29</f>
        <v>1</v>
      </c>
      <c r="M25" s="20">
        <f>1 - CUSTOS!$M$29</f>
        <v>1</v>
      </c>
      <c r="N25" s="20">
        <f>1 - CUSTOS!$M$29</f>
        <v>1</v>
      </c>
      <c r="O25" s="20">
        <f>1 - CUSTOS!$M$29</f>
        <v>1</v>
      </c>
      <c r="P25" s="20">
        <f>1 - CUSTOS!$M$29</f>
        <v>1</v>
      </c>
      <c r="Q25" s="20"/>
      <c r="R25" s="20">
        <f>(1 - CUSTOS!$M$29)*1</f>
        <v>1</v>
      </c>
      <c r="S25" s="20"/>
      <c r="T25" s="20">
        <f>1 - CUSTOS!$M$29</f>
        <v>1</v>
      </c>
      <c r="U25" s="20">
        <f>1 - CUSTOS!$M$29</f>
        <v>1</v>
      </c>
      <c r="V25" s="20">
        <f>1 - CUSTOS!$M$29</f>
        <v>1</v>
      </c>
      <c r="W25" s="20"/>
      <c r="X25" s="20"/>
      <c r="Y25" s="20"/>
      <c r="Z25" s="20">
        <f>1 - CUSTOS!$M$29</f>
        <v>1</v>
      </c>
      <c r="AA25" s="20"/>
      <c r="AB25" s="20"/>
    </row>
    <row r="26" spans="1:28" ht="11.25" customHeight="1" x14ac:dyDescent="0.3">
      <c r="A26" s="99"/>
      <c r="B26" s="99"/>
      <c r="C26" s="99"/>
      <c r="D26" s="99"/>
      <c r="E26" s="99"/>
      <c r="F26" s="99"/>
      <c r="G26" s="23" t="s">
        <v>91</v>
      </c>
      <c r="H26" s="23" t="s">
        <v>79</v>
      </c>
      <c r="I26" s="23">
        <f>'MERCADO TE'!$U$23</f>
        <v>0</v>
      </c>
      <c r="J26" s="15"/>
      <c r="L26" s="20">
        <f>1 - CUSTOS!$M$29</f>
        <v>1</v>
      </c>
      <c r="M26" s="20">
        <f>1 - CUSTOS!$M$29</f>
        <v>1</v>
      </c>
      <c r="N26" s="20">
        <f>1 - CUSTOS!$M$29</f>
        <v>1</v>
      </c>
      <c r="O26" s="20">
        <f>1 - CUSTOS!$M$29</f>
        <v>1</v>
      </c>
      <c r="P26" s="20">
        <f>1 - CUSTOS!$M$29</f>
        <v>1</v>
      </c>
      <c r="Q26" s="20"/>
      <c r="R26" s="20">
        <f>(1 - CUSTOS!$M$29)*1</f>
        <v>1</v>
      </c>
      <c r="S26" s="20"/>
      <c r="T26" s="20">
        <f>1 - CUSTOS!$M$29</f>
        <v>1</v>
      </c>
      <c r="U26" s="20">
        <f>1 - CUSTOS!$M$29</f>
        <v>1</v>
      </c>
      <c r="V26" s="20">
        <f>1 - CUSTOS!$M$29</f>
        <v>1</v>
      </c>
      <c r="W26" s="20"/>
      <c r="X26" s="20"/>
      <c r="Y26" s="20"/>
      <c r="Z26" s="20">
        <f>1 - CUSTOS!$M$29</f>
        <v>1</v>
      </c>
      <c r="AA26" s="20"/>
      <c r="AB26" s="20"/>
    </row>
    <row r="27" spans="1:28" ht="11.25" customHeight="1" x14ac:dyDescent="0.3">
      <c r="A27" s="99"/>
      <c r="B27" s="99"/>
      <c r="C27" s="99"/>
      <c r="D27" s="99"/>
      <c r="E27" s="99"/>
      <c r="F27" s="99"/>
      <c r="G27" s="23" t="s">
        <v>81</v>
      </c>
      <c r="H27" s="23" t="s">
        <v>79</v>
      </c>
      <c r="I27" s="23">
        <f>'MERCADO TE'!$U$24</f>
        <v>0</v>
      </c>
      <c r="J27" s="15"/>
      <c r="L27" s="20">
        <f>1 - CUSTOS!$M$29</f>
        <v>1</v>
      </c>
      <c r="M27" s="20">
        <f>1 - CUSTOS!$M$29</f>
        <v>1</v>
      </c>
      <c r="N27" s="20">
        <f>1 - CUSTOS!$M$29</f>
        <v>1</v>
      </c>
      <c r="O27" s="20">
        <f>1 - CUSTOS!$M$29</f>
        <v>1</v>
      </c>
      <c r="P27" s="20">
        <f>1 - CUSTOS!$M$29</f>
        <v>1</v>
      </c>
      <c r="Q27" s="20"/>
      <c r="R27" s="20">
        <f>(1 - CUSTOS!$M$29)*1</f>
        <v>1</v>
      </c>
      <c r="S27" s="20"/>
      <c r="T27" s="20">
        <f>1 - CUSTOS!$M$29</f>
        <v>1</v>
      </c>
      <c r="U27" s="20">
        <f>1 - CUSTOS!$M$29</f>
        <v>1</v>
      </c>
      <c r="V27" s="20">
        <f>1 - CUSTOS!$M$29</f>
        <v>1</v>
      </c>
      <c r="W27" s="20"/>
      <c r="X27" s="20"/>
      <c r="Y27" s="20"/>
      <c r="Z27" s="20">
        <f>1 - CUSTOS!$M$29</f>
        <v>1</v>
      </c>
      <c r="AA27" s="20"/>
      <c r="AB27" s="20"/>
    </row>
    <row r="28" spans="1:28" ht="11.25" customHeight="1" x14ac:dyDescent="0.3">
      <c r="A28" s="99"/>
      <c r="B28" s="22" t="s">
        <v>82</v>
      </c>
      <c r="C28" s="22" t="s">
        <v>41</v>
      </c>
      <c r="D28" s="22" t="s">
        <v>95</v>
      </c>
      <c r="E28" s="22" t="s">
        <v>25</v>
      </c>
      <c r="F28" s="22" t="s">
        <v>25</v>
      </c>
      <c r="G28" s="23" t="s">
        <v>83</v>
      </c>
      <c r="H28" s="23" t="s">
        <v>79</v>
      </c>
      <c r="I28" s="23">
        <f>'MERCADO TE'!$U$25</f>
        <v>0</v>
      </c>
      <c r="J28" s="15"/>
      <c r="L28" s="20">
        <f>1 - CUSTOS!$M$29</f>
        <v>1</v>
      </c>
      <c r="M28" s="20">
        <f>1 - CUSTOS!$M$29</f>
        <v>1</v>
      </c>
      <c r="N28" s="20">
        <f>1 - CUSTOS!$M$29</f>
        <v>1</v>
      </c>
      <c r="O28" s="20">
        <f>1 - CUSTOS!$M$29</f>
        <v>1</v>
      </c>
      <c r="P28" s="20">
        <f>1 - CUSTOS!$M$29</f>
        <v>1</v>
      </c>
      <c r="Q28" s="20"/>
      <c r="R28" s="20">
        <f>(1 - CUSTOS!$M$29)*1</f>
        <v>1</v>
      </c>
      <c r="S28" s="20"/>
      <c r="T28" s="20">
        <f>1 - CUSTOS!$M$29</f>
        <v>1</v>
      </c>
      <c r="U28" s="20">
        <f>1 - CUSTOS!$M$29</f>
        <v>1</v>
      </c>
      <c r="V28" s="20">
        <f>1 - CUSTOS!$M$29</f>
        <v>1</v>
      </c>
      <c r="W28" s="20"/>
      <c r="X28" s="20"/>
      <c r="Y28" s="20"/>
      <c r="Z28" s="20">
        <f>1 - CUSTOS!$M$29</f>
        <v>1</v>
      </c>
      <c r="AA28" s="20"/>
      <c r="AB28" s="20"/>
    </row>
    <row r="29" spans="1:28" ht="11.25" customHeight="1" x14ac:dyDescent="0.3">
      <c r="A29" s="99"/>
      <c r="B29" s="99" t="s">
        <v>78</v>
      </c>
      <c r="C29" s="99" t="s">
        <v>41</v>
      </c>
      <c r="D29" s="99" t="s">
        <v>96</v>
      </c>
      <c r="E29" s="99" t="s">
        <v>25</v>
      </c>
      <c r="F29" s="99" t="s">
        <v>25</v>
      </c>
      <c r="G29" s="23" t="s">
        <v>80</v>
      </c>
      <c r="H29" s="23" t="s">
        <v>79</v>
      </c>
      <c r="I29" s="23">
        <f>'MERCADO TE'!$U$26</f>
        <v>0</v>
      </c>
      <c r="J29" s="15"/>
      <c r="L29" s="20">
        <f>1 - CUSTOS!$M$30</f>
        <v>1</v>
      </c>
      <c r="M29" s="20">
        <f>1 - CUSTOS!$M$30</f>
        <v>1</v>
      </c>
      <c r="N29" s="20">
        <f>1 - CUSTOS!$M$30</f>
        <v>1</v>
      </c>
      <c r="O29" s="20">
        <f>1 - CUSTOS!$M$30</f>
        <v>1</v>
      </c>
      <c r="P29" s="20">
        <f>1 - CUSTOS!$M$30</f>
        <v>1</v>
      </c>
      <c r="Q29" s="20"/>
      <c r="R29" s="20">
        <f>(1 - CUSTOS!$M$30)*1</f>
        <v>1</v>
      </c>
      <c r="S29" s="20"/>
      <c r="T29" s="20">
        <f>1 - CUSTOS!$M$30</f>
        <v>1</v>
      </c>
      <c r="U29" s="20">
        <f>1 - CUSTOS!$M$30</f>
        <v>1</v>
      </c>
      <c r="V29" s="20">
        <f>1 - CUSTOS!$M$30</f>
        <v>1</v>
      </c>
      <c r="W29" s="20"/>
      <c r="X29" s="20"/>
      <c r="Y29" s="20"/>
      <c r="Z29" s="20">
        <f>1 - CUSTOS!$M$30</f>
        <v>1</v>
      </c>
      <c r="AA29" s="20"/>
      <c r="AB29" s="20"/>
    </row>
    <row r="30" spans="1:28" ht="11.25" customHeight="1" x14ac:dyDescent="0.3">
      <c r="A30" s="99"/>
      <c r="B30" s="99"/>
      <c r="C30" s="99"/>
      <c r="D30" s="99"/>
      <c r="E30" s="99"/>
      <c r="F30" s="99"/>
      <c r="G30" s="23" t="s">
        <v>91</v>
      </c>
      <c r="H30" s="23" t="s">
        <v>79</v>
      </c>
      <c r="I30" s="23">
        <f>'MERCADO TE'!$U$27</f>
        <v>0</v>
      </c>
      <c r="J30" s="15"/>
      <c r="L30" s="20">
        <f>1 - CUSTOS!$M$30</f>
        <v>1</v>
      </c>
      <c r="M30" s="20">
        <f>1 - CUSTOS!$M$30</f>
        <v>1</v>
      </c>
      <c r="N30" s="20">
        <f>1 - CUSTOS!$M$30</f>
        <v>1</v>
      </c>
      <c r="O30" s="20">
        <f>1 - CUSTOS!$M$30</f>
        <v>1</v>
      </c>
      <c r="P30" s="20">
        <f>1 - CUSTOS!$M$30</f>
        <v>1</v>
      </c>
      <c r="Q30" s="20"/>
      <c r="R30" s="20">
        <f>(1 - CUSTOS!$M$30)*1</f>
        <v>1</v>
      </c>
      <c r="S30" s="20"/>
      <c r="T30" s="20">
        <f>1 - CUSTOS!$M$30</f>
        <v>1</v>
      </c>
      <c r="U30" s="20">
        <f>1 - CUSTOS!$M$30</f>
        <v>1</v>
      </c>
      <c r="V30" s="20">
        <f>1 - CUSTOS!$M$30</f>
        <v>1</v>
      </c>
      <c r="W30" s="20"/>
      <c r="X30" s="20"/>
      <c r="Y30" s="20"/>
      <c r="Z30" s="20">
        <f>1 - CUSTOS!$M$30</f>
        <v>1</v>
      </c>
      <c r="AA30" s="20"/>
      <c r="AB30" s="20"/>
    </row>
    <row r="31" spans="1:28" ht="11.25" customHeight="1" x14ac:dyDescent="0.3">
      <c r="A31" s="99"/>
      <c r="B31" s="99"/>
      <c r="C31" s="99"/>
      <c r="D31" s="99"/>
      <c r="E31" s="99"/>
      <c r="F31" s="99"/>
      <c r="G31" s="23" t="s">
        <v>81</v>
      </c>
      <c r="H31" s="23" t="s">
        <v>79</v>
      </c>
      <c r="I31" s="23">
        <f>'MERCADO TE'!$U$28</f>
        <v>0</v>
      </c>
      <c r="J31" s="15"/>
      <c r="L31" s="20">
        <f>1 - CUSTOS!$M$30</f>
        <v>1</v>
      </c>
      <c r="M31" s="20">
        <f>1 - CUSTOS!$M$30</f>
        <v>1</v>
      </c>
      <c r="N31" s="20">
        <f>1 - CUSTOS!$M$30</f>
        <v>1</v>
      </c>
      <c r="O31" s="20">
        <f>1 - CUSTOS!$M$30</f>
        <v>1</v>
      </c>
      <c r="P31" s="20">
        <f>1 - CUSTOS!$M$30</f>
        <v>1</v>
      </c>
      <c r="Q31" s="20"/>
      <c r="R31" s="20">
        <f>(1 - CUSTOS!$M$30)*1</f>
        <v>1</v>
      </c>
      <c r="S31" s="20"/>
      <c r="T31" s="20">
        <f>1 - CUSTOS!$M$30</f>
        <v>1</v>
      </c>
      <c r="U31" s="20">
        <f>1 - CUSTOS!$M$30</f>
        <v>1</v>
      </c>
      <c r="V31" s="20">
        <f>1 - CUSTOS!$M$30</f>
        <v>1</v>
      </c>
      <c r="W31" s="20"/>
      <c r="X31" s="20"/>
      <c r="Y31" s="20"/>
      <c r="Z31" s="20">
        <f>1 - CUSTOS!$M$30</f>
        <v>1</v>
      </c>
      <c r="AA31" s="20"/>
      <c r="AB31" s="20"/>
    </row>
    <row r="32" spans="1:28" ht="11.25" customHeight="1" x14ac:dyDescent="0.3">
      <c r="A32" s="99"/>
      <c r="B32" s="22" t="s">
        <v>82</v>
      </c>
      <c r="C32" s="22" t="s">
        <v>41</v>
      </c>
      <c r="D32" s="22" t="s">
        <v>96</v>
      </c>
      <c r="E32" s="22" t="s">
        <v>25</v>
      </c>
      <c r="F32" s="22" t="s">
        <v>25</v>
      </c>
      <c r="G32" s="23" t="s">
        <v>83</v>
      </c>
      <c r="H32" s="23" t="s">
        <v>79</v>
      </c>
      <c r="I32" s="23">
        <f>'MERCADO TE'!$U$29</f>
        <v>0</v>
      </c>
      <c r="J32" s="15"/>
      <c r="L32" s="20">
        <f>1 - CUSTOS!$M$30</f>
        <v>1</v>
      </c>
      <c r="M32" s="20">
        <f>1 - CUSTOS!$M$30</f>
        <v>1</v>
      </c>
      <c r="N32" s="20">
        <f>1 - CUSTOS!$M$30</f>
        <v>1</v>
      </c>
      <c r="O32" s="20">
        <f>1 - CUSTOS!$M$30</f>
        <v>1</v>
      </c>
      <c r="P32" s="20">
        <f>1 - CUSTOS!$M$30</f>
        <v>1</v>
      </c>
      <c r="Q32" s="20"/>
      <c r="R32" s="20">
        <f>(1 - CUSTOS!$M$30)*1</f>
        <v>1</v>
      </c>
      <c r="S32" s="20"/>
      <c r="T32" s="20">
        <f>1 - CUSTOS!$M$30</f>
        <v>1</v>
      </c>
      <c r="U32" s="20">
        <f>1 - CUSTOS!$M$30</f>
        <v>1</v>
      </c>
      <c r="V32" s="20">
        <f>1 - CUSTOS!$M$30</f>
        <v>1</v>
      </c>
      <c r="W32" s="20"/>
      <c r="X32" s="20"/>
      <c r="Y32" s="20"/>
      <c r="Z32" s="20">
        <f>1 - CUSTOS!$M$30</f>
        <v>1</v>
      </c>
      <c r="AA32" s="20"/>
      <c r="AB32" s="20"/>
    </row>
    <row r="33" spans="1:28" ht="11.25" customHeight="1" x14ac:dyDescent="0.3">
      <c r="A33" s="99"/>
      <c r="B33" s="99" t="s">
        <v>93</v>
      </c>
      <c r="C33" s="99" t="s">
        <v>41</v>
      </c>
      <c r="D33" s="22" t="s">
        <v>25</v>
      </c>
      <c r="E33" s="22" t="s">
        <v>25</v>
      </c>
      <c r="F33" s="22" t="s">
        <v>25</v>
      </c>
      <c r="G33" s="23" t="s">
        <v>83</v>
      </c>
      <c r="H33" s="23" t="s">
        <v>79</v>
      </c>
      <c r="I33" s="23">
        <f>'MERCADO TE'!$U$30</f>
        <v>0</v>
      </c>
      <c r="J33" s="15"/>
      <c r="L33" s="20">
        <f>1 - CUSTOS!$M$28</f>
        <v>1</v>
      </c>
      <c r="M33" s="20">
        <f>1 - CUSTOS!$M$28</f>
        <v>1</v>
      </c>
      <c r="N33" s="20">
        <f>1 - CUSTOS!$M$28</f>
        <v>1</v>
      </c>
      <c r="O33" s="20">
        <f>1 - CUSTOS!$M$28</f>
        <v>1</v>
      </c>
      <c r="P33" s="20">
        <f>1 - CUSTOS!$M$28</f>
        <v>1</v>
      </c>
      <c r="Q33" s="20"/>
      <c r="R33" s="20">
        <f>(1 - CUSTOS!$M$28)*1</f>
        <v>1</v>
      </c>
      <c r="S33" s="20"/>
      <c r="T33" s="20">
        <f>1 - CUSTOS!$M$28</f>
        <v>1</v>
      </c>
      <c r="U33" s="20">
        <f>1 - CUSTOS!$M$28</f>
        <v>1</v>
      </c>
      <c r="V33" s="20">
        <f>1 - CUSTOS!$M$28</f>
        <v>1</v>
      </c>
      <c r="W33" s="20"/>
      <c r="X33" s="20"/>
      <c r="Y33" s="20"/>
      <c r="Z33" s="20">
        <f>1 - CUSTOS!$M$28</f>
        <v>1</v>
      </c>
      <c r="AA33" s="20"/>
      <c r="AB33" s="20"/>
    </row>
    <row r="34" spans="1:28" ht="11.25" customHeight="1" x14ac:dyDescent="0.3">
      <c r="A34" s="99"/>
      <c r="B34" s="99"/>
      <c r="C34" s="99"/>
      <c r="D34" s="22" t="s">
        <v>95</v>
      </c>
      <c r="E34" s="22" t="s">
        <v>25</v>
      </c>
      <c r="F34" s="22" t="s">
        <v>25</v>
      </c>
      <c r="G34" s="23" t="s">
        <v>83</v>
      </c>
      <c r="H34" s="23" t="s">
        <v>79</v>
      </c>
      <c r="I34" s="23">
        <f>'MERCADO TE'!$U$31</f>
        <v>0</v>
      </c>
      <c r="J34" s="15"/>
      <c r="L34" s="20">
        <f>1 - CUSTOS!$M$29</f>
        <v>1</v>
      </c>
      <c r="M34" s="20">
        <f>1 - CUSTOS!$M$29</f>
        <v>1</v>
      </c>
      <c r="N34" s="20">
        <f>1 - CUSTOS!$M$29</f>
        <v>1</v>
      </c>
      <c r="O34" s="20">
        <f>1 - CUSTOS!$M$29</f>
        <v>1</v>
      </c>
      <c r="P34" s="20">
        <f>1 - CUSTOS!$M$29</f>
        <v>1</v>
      </c>
      <c r="Q34" s="20"/>
      <c r="R34" s="20">
        <f>(1 - CUSTOS!$M$29)*1</f>
        <v>1</v>
      </c>
      <c r="S34" s="20"/>
      <c r="T34" s="20">
        <f>1 - CUSTOS!$M$29</f>
        <v>1</v>
      </c>
      <c r="U34" s="20">
        <f>1 - CUSTOS!$M$29</f>
        <v>1</v>
      </c>
      <c r="V34" s="20">
        <f>1 - CUSTOS!$M$29</f>
        <v>1</v>
      </c>
      <c r="W34" s="20"/>
      <c r="X34" s="20"/>
      <c r="Y34" s="20"/>
      <c r="Z34" s="20">
        <f>1 - CUSTOS!$M$29</f>
        <v>1</v>
      </c>
      <c r="AA34" s="20"/>
      <c r="AB34" s="20"/>
    </row>
    <row r="35" spans="1:28" ht="11.25" customHeight="1" x14ac:dyDescent="0.3">
      <c r="A35" s="99"/>
      <c r="B35" s="99"/>
      <c r="C35" s="99"/>
      <c r="D35" s="22" t="s">
        <v>96</v>
      </c>
      <c r="E35" s="22" t="s">
        <v>25</v>
      </c>
      <c r="F35" s="22" t="s">
        <v>25</v>
      </c>
      <c r="G35" s="23" t="s">
        <v>83</v>
      </c>
      <c r="H35" s="23" t="s">
        <v>79</v>
      </c>
      <c r="I35" s="23">
        <f>'MERCADO TE'!$U$32</f>
        <v>0</v>
      </c>
      <c r="J35" s="15"/>
      <c r="L35" s="20">
        <f>1 - CUSTOS!$M$30</f>
        <v>1</v>
      </c>
      <c r="M35" s="20">
        <f>1 - CUSTOS!$M$30</f>
        <v>1</v>
      </c>
      <c r="N35" s="20">
        <f>1 - CUSTOS!$M$30</f>
        <v>1</v>
      </c>
      <c r="O35" s="20">
        <f>1 - CUSTOS!$M$30</f>
        <v>1</v>
      </c>
      <c r="P35" s="20">
        <f>1 - CUSTOS!$M$30</f>
        <v>1</v>
      </c>
      <c r="Q35" s="20"/>
      <c r="R35" s="20">
        <f>(1 - CUSTOS!$M$30)*1</f>
        <v>1</v>
      </c>
      <c r="S35" s="20"/>
      <c r="T35" s="20">
        <f>1 - CUSTOS!$M$30</f>
        <v>1</v>
      </c>
      <c r="U35" s="20">
        <f>1 - CUSTOS!$M$30</f>
        <v>1</v>
      </c>
      <c r="V35" s="20">
        <f>1 - CUSTOS!$M$30</f>
        <v>1</v>
      </c>
      <c r="W35" s="20"/>
      <c r="X35" s="20"/>
      <c r="Y35" s="20"/>
      <c r="Z35" s="20">
        <f>1 - CUSTOS!$M$30</f>
        <v>1</v>
      </c>
      <c r="AA35" s="20"/>
      <c r="AB35" s="20"/>
    </row>
    <row r="36" spans="1:28" ht="11.25" customHeight="1" x14ac:dyDescent="0.3">
      <c r="A36" s="99" t="s">
        <v>32</v>
      </c>
      <c r="B36" s="99" t="s">
        <v>78</v>
      </c>
      <c r="C36" s="99" t="s">
        <v>25</v>
      </c>
      <c r="D36" s="99" t="s">
        <v>25</v>
      </c>
      <c r="E36" s="99" t="s">
        <v>25</v>
      </c>
      <c r="F36" s="99" t="s">
        <v>25</v>
      </c>
      <c r="G36" s="23" t="s">
        <v>80</v>
      </c>
      <c r="H36" s="23" t="s">
        <v>79</v>
      </c>
      <c r="I36" s="23">
        <f>'MERCADO TE'!$U$33</f>
        <v>0</v>
      </c>
      <c r="J36" s="15"/>
      <c r="L36" s="20">
        <f>1 - CUSTOS!$M$31</f>
        <v>1</v>
      </c>
      <c r="M36" s="20">
        <f>1 - CUSTOS!$M$31</f>
        <v>1</v>
      </c>
      <c r="N36" s="20">
        <f>1 - CUSTOS!$M$31</f>
        <v>1</v>
      </c>
      <c r="O36" s="20">
        <f>1 - CUSTOS!$M$31</f>
        <v>1</v>
      </c>
      <c r="P36" s="20">
        <f>1 - CUSTOS!$M$31</f>
        <v>1</v>
      </c>
      <c r="Q36" s="20"/>
      <c r="R36" s="20">
        <f>(1 - CUSTOS!$M$31)*1</f>
        <v>1</v>
      </c>
      <c r="S36" s="20"/>
      <c r="T36" s="20">
        <f>1 - CUSTOS!$M$31</f>
        <v>1</v>
      </c>
      <c r="U36" s="20">
        <f>1 - CUSTOS!$M$31</f>
        <v>1</v>
      </c>
      <c r="V36" s="20">
        <f>1 - CUSTOS!$M$31</f>
        <v>1</v>
      </c>
      <c r="W36" s="20"/>
      <c r="X36" s="20"/>
      <c r="Y36" s="20"/>
      <c r="Z36" s="20">
        <f>1 - CUSTOS!$M$31</f>
        <v>1</v>
      </c>
      <c r="AA36" s="20"/>
      <c r="AB36" s="20"/>
    </row>
    <row r="37" spans="1:28" ht="11.25" customHeight="1" x14ac:dyDescent="0.3">
      <c r="A37" s="99"/>
      <c r="B37" s="99"/>
      <c r="C37" s="99"/>
      <c r="D37" s="99"/>
      <c r="E37" s="99"/>
      <c r="F37" s="99"/>
      <c r="G37" s="23" t="s">
        <v>91</v>
      </c>
      <c r="H37" s="23" t="s">
        <v>79</v>
      </c>
      <c r="I37" s="23">
        <f>'MERCADO TE'!$U$34</f>
        <v>0</v>
      </c>
      <c r="J37" s="15"/>
      <c r="L37" s="20">
        <f>1 - CUSTOS!$M$31</f>
        <v>1</v>
      </c>
      <c r="M37" s="20">
        <f>1 - CUSTOS!$M$31</f>
        <v>1</v>
      </c>
      <c r="N37" s="20">
        <f>1 - CUSTOS!$M$31</f>
        <v>1</v>
      </c>
      <c r="O37" s="20">
        <f>1 - CUSTOS!$M$31</f>
        <v>1</v>
      </c>
      <c r="P37" s="20">
        <f>1 - CUSTOS!$M$31</f>
        <v>1</v>
      </c>
      <c r="Q37" s="20"/>
      <c r="R37" s="20">
        <f>(1 - CUSTOS!$M$31)*1</f>
        <v>1</v>
      </c>
      <c r="S37" s="20"/>
      <c r="T37" s="20">
        <f>1 - CUSTOS!$M$31</f>
        <v>1</v>
      </c>
      <c r="U37" s="20">
        <f>1 - CUSTOS!$M$31</f>
        <v>1</v>
      </c>
      <c r="V37" s="20">
        <f>1 - CUSTOS!$M$31</f>
        <v>1</v>
      </c>
      <c r="W37" s="20"/>
      <c r="X37" s="20"/>
      <c r="Y37" s="20"/>
      <c r="Z37" s="20">
        <f>1 - CUSTOS!$M$31</f>
        <v>1</v>
      </c>
      <c r="AA37" s="20"/>
      <c r="AB37" s="20"/>
    </row>
    <row r="38" spans="1:28" ht="11.25" customHeight="1" x14ac:dyDescent="0.3">
      <c r="A38" s="99"/>
      <c r="B38" s="99"/>
      <c r="C38" s="99"/>
      <c r="D38" s="99"/>
      <c r="E38" s="99"/>
      <c r="F38" s="99"/>
      <c r="G38" s="23" t="s">
        <v>81</v>
      </c>
      <c r="H38" s="23" t="s">
        <v>79</v>
      </c>
      <c r="I38" s="23">
        <f>'MERCADO TE'!$U$35</f>
        <v>0</v>
      </c>
      <c r="J38" s="15"/>
      <c r="L38" s="20">
        <f>1 - CUSTOS!$M$31</f>
        <v>1</v>
      </c>
      <c r="M38" s="20">
        <f>1 - CUSTOS!$M$31</f>
        <v>1</v>
      </c>
      <c r="N38" s="20">
        <f>1 - CUSTOS!$M$31</f>
        <v>1</v>
      </c>
      <c r="O38" s="20">
        <f>1 - CUSTOS!$M$31</f>
        <v>1</v>
      </c>
      <c r="P38" s="20">
        <f>1 - CUSTOS!$M$31</f>
        <v>1</v>
      </c>
      <c r="Q38" s="20"/>
      <c r="R38" s="20">
        <f>(1 - CUSTOS!$M$31)*1</f>
        <v>1</v>
      </c>
      <c r="S38" s="20"/>
      <c r="T38" s="20">
        <f>1 - CUSTOS!$M$31</f>
        <v>1</v>
      </c>
      <c r="U38" s="20">
        <f>1 - CUSTOS!$M$31</f>
        <v>1</v>
      </c>
      <c r="V38" s="20">
        <f>1 - CUSTOS!$M$31</f>
        <v>1</v>
      </c>
      <c r="W38" s="20"/>
      <c r="X38" s="20"/>
      <c r="Y38" s="20"/>
      <c r="Z38" s="20">
        <f>1 - CUSTOS!$M$31</f>
        <v>1</v>
      </c>
      <c r="AA38" s="20"/>
      <c r="AB38" s="20"/>
    </row>
    <row r="39" spans="1:28" ht="11.25" customHeight="1" x14ac:dyDescent="0.3">
      <c r="A39" s="99"/>
      <c r="B39" s="22" t="s">
        <v>82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83</v>
      </c>
      <c r="H39" s="23" t="s">
        <v>79</v>
      </c>
      <c r="I39" s="23">
        <f>'MERCADO TE'!$U$36</f>
        <v>7750.1880000000001</v>
      </c>
      <c r="J39" s="15"/>
      <c r="L39" s="20">
        <f>1 - CUSTOS!$M$31</f>
        <v>1</v>
      </c>
      <c r="M39" s="20">
        <f>1 - CUSTOS!$M$31</f>
        <v>1</v>
      </c>
      <c r="N39" s="20">
        <f>1 - CUSTOS!$M$31</f>
        <v>1</v>
      </c>
      <c r="O39" s="20">
        <f>1 - CUSTOS!$M$31</f>
        <v>1</v>
      </c>
      <c r="P39" s="20">
        <f>1 - CUSTOS!$M$31</f>
        <v>1</v>
      </c>
      <c r="Q39" s="20"/>
      <c r="R39" s="20">
        <f>(1 - CUSTOS!$M$31)*1</f>
        <v>1</v>
      </c>
      <c r="S39" s="20"/>
      <c r="T39" s="20">
        <f>1 - CUSTOS!$M$31</f>
        <v>1</v>
      </c>
      <c r="U39" s="20">
        <f>1 - CUSTOS!$M$31</f>
        <v>1</v>
      </c>
      <c r="V39" s="20">
        <f>1 - CUSTOS!$M$31</f>
        <v>1</v>
      </c>
      <c r="W39" s="20"/>
      <c r="X39" s="20"/>
      <c r="Y39" s="20"/>
      <c r="Z39" s="20">
        <f>1 - CUSTOS!$M$31</f>
        <v>1</v>
      </c>
      <c r="AA39" s="20"/>
      <c r="AB39" s="20"/>
    </row>
    <row r="40" spans="1:28" ht="11.25" customHeight="1" x14ac:dyDescent="0.3">
      <c r="A40" s="99"/>
      <c r="B40" s="22" t="s">
        <v>93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83</v>
      </c>
      <c r="H40" s="23" t="s">
        <v>79</v>
      </c>
      <c r="I40" s="23">
        <f>'MERCADO TE'!$U$37</f>
        <v>0</v>
      </c>
      <c r="J40" s="15"/>
      <c r="L40" s="20">
        <f>1 - CUSTOS!$M$31</f>
        <v>1</v>
      </c>
      <c r="M40" s="20">
        <f>1 - CUSTOS!$M$31</f>
        <v>1</v>
      </c>
      <c r="N40" s="20">
        <f>1 - CUSTOS!$M$31</f>
        <v>1</v>
      </c>
      <c r="O40" s="20">
        <f>1 - CUSTOS!$M$31</f>
        <v>1</v>
      </c>
      <c r="P40" s="20">
        <f>1 - CUSTOS!$M$31</f>
        <v>1</v>
      </c>
      <c r="Q40" s="20"/>
      <c r="R40" s="20">
        <f>(1 - CUSTOS!$M$31)*1</f>
        <v>1</v>
      </c>
      <c r="S40" s="20"/>
      <c r="T40" s="20">
        <f>1 - CUSTOS!$M$31</f>
        <v>1</v>
      </c>
      <c r="U40" s="20">
        <f>1 - CUSTOS!$M$31</f>
        <v>1</v>
      </c>
      <c r="V40" s="20">
        <f>1 - CUSTOS!$M$31</f>
        <v>1</v>
      </c>
      <c r="W40" s="20"/>
      <c r="X40" s="20"/>
      <c r="Y40" s="20"/>
      <c r="Z40" s="20">
        <f>1 - CUSTOS!$M$31</f>
        <v>1</v>
      </c>
      <c r="AA40" s="20"/>
      <c r="AB40" s="20"/>
    </row>
    <row r="41" spans="1:28" ht="11.25" customHeight="1" x14ac:dyDescent="0.3">
      <c r="A41" s="99" t="s">
        <v>43</v>
      </c>
      <c r="B41" s="99" t="s">
        <v>82</v>
      </c>
      <c r="C41" s="99" t="s">
        <v>44</v>
      </c>
      <c r="D41" s="22" t="s">
        <v>97</v>
      </c>
      <c r="E41" s="22" t="s">
        <v>25</v>
      </c>
      <c r="F41" s="22" t="s">
        <v>25</v>
      </c>
      <c r="G41" s="23" t="s">
        <v>83</v>
      </c>
      <c r="H41" s="23" t="s">
        <v>79</v>
      </c>
      <c r="I41" s="23">
        <f>'MERCADO TE'!$U$38</f>
        <v>0</v>
      </c>
      <c r="J41" s="15"/>
      <c r="L41" s="20">
        <f>1 - CUSTOS!$M$32</f>
        <v>0.55000000000000004</v>
      </c>
      <c r="M41" s="20">
        <f>1 - CUSTOS!$M$32</f>
        <v>0.55000000000000004</v>
      </c>
      <c r="N41" s="20">
        <f>1 - CUSTOS!$M$32</f>
        <v>0.55000000000000004</v>
      </c>
      <c r="O41" s="20">
        <f>1 - CUSTOS!$M$32</f>
        <v>0.55000000000000004</v>
      </c>
      <c r="P41" s="20">
        <f>1 - CUSTOS!$M$32</f>
        <v>0.55000000000000004</v>
      </c>
      <c r="Q41" s="20"/>
      <c r="R41" s="20">
        <f>(1 - CUSTOS!$M$32)*1</f>
        <v>0.55000000000000004</v>
      </c>
      <c r="S41" s="20"/>
      <c r="T41" s="20">
        <f>1 - CUSTOS!$M$32</f>
        <v>0.55000000000000004</v>
      </c>
      <c r="U41" s="20">
        <f>1 - CUSTOS!$M$32</f>
        <v>0.55000000000000004</v>
      </c>
      <c r="V41" s="20">
        <f>1 - CUSTOS!$M$32</f>
        <v>0.55000000000000004</v>
      </c>
      <c r="W41" s="20"/>
      <c r="X41" s="20"/>
      <c r="Y41" s="20"/>
      <c r="Z41" s="20">
        <f>1 - CUSTOS!$M$32</f>
        <v>0.55000000000000004</v>
      </c>
      <c r="AA41" s="20"/>
      <c r="AB41" s="20"/>
    </row>
    <row r="42" spans="1:28" ht="11.25" customHeight="1" x14ac:dyDescent="0.3">
      <c r="A42" s="99"/>
      <c r="B42" s="99"/>
      <c r="C42" s="99"/>
      <c r="D42" s="23" t="s">
        <v>45</v>
      </c>
      <c r="E42" s="23" t="s">
        <v>25</v>
      </c>
      <c r="F42" s="23" t="s">
        <v>25</v>
      </c>
      <c r="G42" s="23" t="s">
        <v>83</v>
      </c>
      <c r="H42" s="23" t="s">
        <v>79</v>
      </c>
      <c r="I42" s="23">
        <f>'MERCADO TE'!$U$39</f>
        <v>1776.7269999999999</v>
      </c>
      <c r="J42" s="15"/>
      <c r="L42" s="20">
        <f>1 - CUSTOS!$M$33</f>
        <v>0.6</v>
      </c>
      <c r="M42" s="20">
        <f>1 - CUSTOS!$M$33</f>
        <v>0.6</v>
      </c>
      <c r="N42" s="20">
        <f>1 - CUSTOS!$M$33</f>
        <v>0.6</v>
      </c>
      <c r="O42" s="20">
        <f>1 - CUSTOS!$M$33</f>
        <v>0.6</v>
      </c>
      <c r="P42" s="20">
        <f>1 - CUSTOS!$M$33</f>
        <v>0.6</v>
      </c>
      <c r="Q42" s="20"/>
      <c r="R42" s="20">
        <f>(1 - CUSTOS!$M$33)*1</f>
        <v>0.6</v>
      </c>
      <c r="S42" s="20"/>
      <c r="T42" s="20">
        <f>1 - CUSTOS!$M$33</f>
        <v>0.6</v>
      </c>
      <c r="U42" s="20">
        <f>1 - CUSTOS!$M$33</f>
        <v>0.6</v>
      </c>
      <c r="V42" s="20">
        <f>1 - CUSTOS!$M$33</f>
        <v>0.6</v>
      </c>
      <c r="W42" s="20"/>
      <c r="X42" s="20"/>
      <c r="Y42" s="20"/>
      <c r="Z42" s="20">
        <f>1 - CUSTOS!$M$33</f>
        <v>0.6</v>
      </c>
      <c r="AA42" s="20"/>
      <c r="AB42" s="20"/>
    </row>
    <row r="44" spans="1:28" ht="11.25" customHeight="1" x14ac:dyDescent="0.3">
      <c r="K44" s="25" t="s">
        <v>516</v>
      </c>
      <c r="L44" s="20">
        <f t="shared" ref="L44:AB44" si="0">SUMPRODUCT($I$5:$I$42,L$5:L$42)</f>
        <v>43207.557200000003</v>
      </c>
      <c r="M44" s="20">
        <f t="shared" si="0"/>
        <v>43207.557200000003</v>
      </c>
      <c r="N44" s="20">
        <f t="shared" si="0"/>
        <v>43207.557200000003</v>
      </c>
      <c r="O44" s="20">
        <f t="shared" si="0"/>
        <v>43207.557200000003</v>
      </c>
      <c r="P44" s="20">
        <f t="shared" si="0"/>
        <v>43207.557200000003</v>
      </c>
      <c r="Q44" s="20">
        <f t="shared" si="0"/>
        <v>0</v>
      </c>
      <c r="R44" s="20">
        <f t="shared" si="0"/>
        <v>43207.557200000003</v>
      </c>
      <c r="S44" s="20">
        <f t="shared" si="0"/>
        <v>0</v>
      </c>
      <c r="T44" s="20">
        <f t="shared" si="0"/>
        <v>43207.557200000003</v>
      </c>
      <c r="U44" s="20">
        <f t="shared" si="0"/>
        <v>43207.557200000003</v>
      </c>
      <c r="V44" s="20">
        <f t="shared" si="0"/>
        <v>43207.557200000003</v>
      </c>
      <c r="W44" s="20">
        <f t="shared" si="0"/>
        <v>0</v>
      </c>
      <c r="X44" s="20">
        <f t="shared" si="0"/>
        <v>0</v>
      </c>
      <c r="Y44" s="20">
        <f t="shared" si="0"/>
        <v>0</v>
      </c>
      <c r="Z44" s="20">
        <f t="shared" si="0"/>
        <v>43207.557200000003</v>
      </c>
      <c r="AA44" s="20">
        <f t="shared" si="0"/>
        <v>0</v>
      </c>
      <c r="AB44" s="20">
        <f t="shared" si="0"/>
        <v>0</v>
      </c>
    </row>
    <row r="45" spans="1:28" ht="11.25" customHeight="1" x14ac:dyDescent="0.3">
      <c r="K45" s="25" t="s">
        <v>435</v>
      </c>
      <c r="L45" s="20">
        <f>CUSTOS!$D$30</f>
        <v>0</v>
      </c>
      <c r="M45" s="20">
        <f>CUSTOS!$D$31</f>
        <v>696110.48</v>
      </c>
      <c r="N45" s="20">
        <f>CUSTOS!$D$32</f>
        <v>0</v>
      </c>
      <c r="O45" s="20">
        <f>CUSTOS!$D$33</f>
        <v>0</v>
      </c>
      <c r="P45" s="20">
        <f>CUSTOS!$D$34</f>
        <v>0</v>
      </c>
      <c r="Q45" s="20">
        <f>CUSTOS!$D$35</f>
        <v>696110.48</v>
      </c>
      <c r="R45" s="20">
        <f>CUSTOS!$D$36</f>
        <v>9134698.25261865</v>
      </c>
      <c r="S45" s="20">
        <f>CUSTOS!$D$37</f>
        <v>9134698.25261865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9830808.7326186504</v>
      </c>
    </row>
    <row r="46" spans="1:28" ht="11.25" customHeight="1" x14ac:dyDescent="0.3">
      <c r="K46" s="25" t="s">
        <v>436</v>
      </c>
      <c r="L46" s="20">
        <f>CUSTOS!$E$30</f>
        <v>0</v>
      </c>
      <c r="M46" s="20">
        <f>CUSTOS!$E$31</f>
        <v>0</v>
      </c>
      <c r="N46" s="20">
        <f>CUSTOS!$E$32</f>
        <v>0</v>
      </c>
      <c r="O46" s="20">
        <f>CUSTOS!$E$33</f>
        <v>0</v>
      </c>
      <c r="P46" s="20">
        <f>CUSTOS!$E$34</f>
        <v>0</v>
      </c>
      <c r="Q46" s="20">
        <f>CUSTOS!$E$35</f>
        <v>0</v>
      </c>
      <c r="R46" s="20">
        <f>CUSTOS!$E$36</f>
        <v>-594186.99455570441</v>
      </c>
      <c r="S46" s="20">
        <f>CUSTOS!$E$37</f>
        <v>-594186.99455570441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-594186.99455570441</v>
      </c>
    </row>
    <row r="47" spans="1:28" ht="11.25" customHeight="1" x14ac:dyDescent="0.3">
      <c r="K47" s="25" t="s">
        <v>437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0</v>
      </c>
      <c r="S47" s="20">
        <f>CUSTOS!$F$37</f>
        <v>0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0</v>
      </c>
    </row>
    <row r="48" spans="1:28" ht="11.25" customHeight="1" x14ac:dyDescent="0.3">
      <c r="K48" s="25" t="s">
        <v>517</v>
      </c>
      <c r="L48" s="20">
        <f>IF(SUMPRODUCT($I$5:$I$42,$L$5:$L$42)&lt;&gt;0,L45/SUMPRODUCT($I$5:$I$42,$L$5:$L$42),0)</f>
        <v>0</v>
      </c>
      <c r="M48" s="20">
        <f>IF(SUMPRODUCT($I$5:$I$42,$M$5:$M$42)&lt;&gt;0,M45/SUMPRODUCT($I$5:$I$42,$M$5:$M$42),0)</f>
        <v>16.110850163961594</v>
      </c>
      <c r="N48" s="20">
        <f>IF(SUMPRODUCT($I$5:$I$42,$N$5:$N$42)&lt;&gt;0,N45/SUMPRODUCT($I$5:$I$42,$N$5:$N$42),0)</f>
        <v>0</v>
      </c>
      <c r="O48" s="20">
        <f>IF(SUMPRODUCT($I$5:$I$42,$O$5:$O$42)&lt;&gt;0,O45/SUMPRODUCT($I$5:$I$42,$O$5:$O$42),0)</f>
        <v>0</v>
      </c>
      <c r="P48" s="20">
        <f>IF(SUMPRODUCT($I$5:$I$42,$P$5:$P$42)&lt;&gt;0,P45/SUMPRODUCT($I$5:$I$42,$P$5:$P$42),0)</f>
        <v>0</v>
      </c>
      <c r="Q48" s="20"/>
      <c r="R48" s="20">
        <f>IF((CUSTOS!$M$12-CUSTOS!$M$13)&lt;&gt;0,(CUSTOS!$M$12*CUSTOS!$M$14)/(CUSTOS!$M$12-CUSTOS!$M$13),0)</f>
        <v>210.94851162535122</v>
      </c>
      <c r="S48" s="20"/>
      <c r="T48" s="20">
        <f>IF(SUMPRODUCT($I$5:$I$42,$T$5:$T$42)&lt;&gt;0,T45/SUMPRODUCT($I$5:$I$42,$T$5:$T$42),0)</f>
        <v>0</v>
      </c>
      <c r="U48" s="20">
        <f>IF(SUMPRODUCT($I$5:$I$42,$U$5:$U$42)&lt;&gt;0,U45/SUMPRODUCT($I$5:$I$42,$U$5:$U$42),0)</f>
        <v>0</v>
      </c>
      <c r="V48" s="20">
        <f>IF(SUMPRODUCT($I$5:$I$42,$V$5:$V$42)&lt;&gt;0,V45/SUMPRODUCT($I$5:$I$42,$V$5:$V$42),0)</f>
        <v>0</v>
      </c>
      <c r="W48" s="20"/>
      <c r="X48" s="20">
        <f>IF(SUMPRODUCT($I$5:$I$42,$X$5:$X$42)&lt;&gt;0,X45/SUMPRODUCT($I$5:$I$42,$X$5:$X$42),0)</f>
        <v>0</v>
      </c>
      <c r="Y48" s="20"/>
      <c r="Z48" s="20">
        <f>IF(SUMPRODUCT($I$5:$I$42,$Z$5:$Z$42)&lt;&gt;0,Z45/SUMPRODUCT($I$5:$I$42,$Z$5:$Z$42),0)</f>
        <v>0</v>
      </c>
      <c r="AA48" s="20"/>
      <c r="AB48" s="20"/>
    </row>
    <row r="49" spans="11:28" ht="11.25" customHeight="1" x14ac:dyDescent="0.3">
      <c r="K49" s="25" t="s">
        <v>518</v>
      </c>
      <c r="L49" s="20">
        <f>IF(L44&lt;&gt;0,(L45-L48*0)/(L44-0),0)</f>
        <v>0</v>
      </c>
      <c r="M49" s="20">
        <f>IF(M44&lt;&gt;0,(M45-M48*0)/(M44-0),0)</f>
        <v>16.110850163961594</v>
      </c>
      <c r="N49" s="20">
        <f>IF(N44&lt;&gt;0,(N45-N48*0)/(N44-0),0)</f>
        <v>0</v>
      </c>
      <c r="O49" s="20">
        <f>IF(O44&lt;&gt;0,(O45-O48*0)/(O44-0),0)</f>
        <v>0</v>
      </c>
      <c r="P49" s="20">
        <f>IF(P44&lt;&gt;0,(P45-P48*0)/(P44-0),0)</f>
        <v>0</v>
      </c>
      <c r="Q49" s="20"/>
      <c r="R49" s="20">
        <f>IF(R44&lt;&gt;0,(R45-R48*0)/(R44-0),0)</f>
        <v>211.41436462921928</v>
      </c>
      <c r="S49" s="20"/>
      <c r="T49" s="20">
        <f>IF(T44&lt;&gt;0,(T45-T48*0)/(T44-0),0)</f>
        <v>0</v>
      </c>
      <c r="U49" s="20">
        <f>IF(U44&lt;&gt;0,(U45-U48*0)/(U44-0),0)</f>
        <v>0</v>
      </c>
      <c r="V49" s="20">
        <f>IF(V44&lt;&gt;0,(V45-V48*0)/(V44-0),0)</f>
        <v>0</v>
      </c>
      <c r="W49" s="20"/>
      <c r="X49" s="20">
        <f>IF(X44&lt;&gt;0,(X45-X48*0)/(X44-0),0)</f>
        <v>0</v>
      </c>
      <c r="Y49" s="20"/>
      <c r="Z49" s="20">
        <f>IF(Z44&lt;&gt;0,(Z45-Z48*0)/(Z44-0),0)</f>
        <v>0</v>
      </c>
      <c r="AA49" s="20"/>
      <c r="AB49" s="20"/>
    </row>
    <row r="50" spans="11:28" ht="11.25" customHeight="1" x14ac:dyDescent="0.3">
      <c r="K50" s="25" t="s">
        <v>519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</sheetData>
  <mergeCells count="61"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  <mergeCell ref="E36:E38"/>
    <mergeCell ref="F36:F38"/>
    <mergeCell ref="A41:A42"/>
    <mergeCell ref="B41:B42"/>
    <mergeCell ref="C41:C42"/>
    <mergeCell ref="B33:B35"/>
    <mergeCell ref="C33:C35"/>
    <mergeCell ref="A36:A40"/>
    <mergeCell ref="B36:B38"/>
    <mergeCell ref="C36:C38"/>
    <mergeCell ref="D36:D38"/>
    <mergeCell ref="F25:F27"/>
    <mergeCell ref="B29:B31"/>
    <mergeCell ref="C29:C31"/>
    <mergeCell ref="D29:D31"/>
    <mergeCell ref="E29:E31"/>
    <mergeCell ref="F29:F31"/>
    <mergeCell ref="A21:A35"/>
    <mergeCell ref="B21:B23"/>
    <mergeCell ref="C21:C23"/>
    <mergeCell ref="D21:D23"/>
    <mergeCell ref="E21:E23"/>
    <mergeCell ref="F21:F23"/>
    <mergeCell ref="B25:B27"/>
    <mergeCell ref="C25:C27"/>
    <mergeCell ref="D25:D27"/>
    <mergeCell ref="E25:E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F5:F6"/>
    <mergeCell ref="A5:A7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C9C2-91D9-42BF-85ED-70EFF586FB7A}">
  <dimension ref="A1:AB50"/>
  <sheetViews>
    <sheetView showGridLines="0" topLeftCell="P32" workbookViewId="0">
      <selection activeCell="AB44" sqref="AB44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2" width="7.109375" style="9" bestFit="1" customWidth="1"/>
    <col min="13" max="13" width="7.88671875" style="9" bestFit="1" customWidth="1"/>
    <col min="14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1093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109375" style="9" bestFit="1" customWidth="1"/>
    <col min="29" max="16384" width="8.88671875" style="9"/>
  </cols>
  <sheetData>
    <row r="1" spans="1:28" ht="11.25" customHeight="1" x14ac:dyDescent="0.3">
      <c r="A1" s="100" t="s">
        <v>69</v>
      </c>
      <c r="B1" s="100" t="s">
        <v>70</v>
      </c>
      <c r="C1" s="100" t="s">
        <v>71</v>
      </c>
      <c r="D1" s="100" t="s">
        <v>72</v>
      </c>
      <c r="E1" s="100" t="s">
        <v>73</v>
      </c>
      <c r="F1" s="100" t="s">
        <v>15</v>
      </c>
      <c r="G1" s="100" t="s">
        <v>75</v>
      </c>
      <c r="H1" s="100" t="s">
        <v>76</v>
      </c>
      <c r="I1" s="100" t="s">
        <v>494</v>
      </c>
      <c r="J1" s="84"/>
      <c r="L1" s="101" t="s">
        <v>520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84"/>
      <c r="L2" s="101" t="s">
        <v>421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84"/>
      <c r="L3" s="101" t="s">
        <v>394</v>
      </c>
      <c r="M3" s="101"/>
      <c r="N3" s="101"/>
      <c r="O3" s="101"/>
      <c r="P3" s="101"/>
      <c r="Q3" s="101"/>
      <c r="R3" s="101" t="s">
        <v>425</v>
      </c>
      <c r="S3" s="101"/>
      <c r="T3" s="101" t="s">
        <v>403</v>
      </c>
      <c r="U3" s="101"/>
      <c r="V3" s="101"/>
      <c r="W3" s="101"/>
      <c r="X3" s="101" t="s">
        <v>413</v>
      </c>
      <c r="Y3" s="101"/>
      <c r="Z3" s="101" t="s">
        <v>416</v>
      </c>
      <c r="AA3" s="101"/>
      <c r="AB3" s="101" t="s">
        <v>402</v>
      </c>
    </row>
    <row r="4" spans="1:28" ht="11.25" customHeight="1" x14ac:dyDescent="0.3">
      <c r="A4" s="100"/>
      <c r="B4" s="100"/>
      <c r="C4" s="100"/>
      <c r="D4" s="100"/>
      <c r="E4" s="100"/>
      <c r="F4" s="100"/>
      <c r="G4" s="100"/>
      <c r="H4" s="100"/>
      <c r="I4" s="100"/>
      <c r="J4" s="84"/>
      <c r="L4" s="24" t="s">
        <v>396</v>
      </c>
      <c r="M4" s="24" t="s">
        <v>422</v>
      </c>
      <c r="N4" s="24" t="s">
        <v>423</v>
      </c>
      <c r="O4" s="24" t="s">
        <v>482</v>
      </c>
      <c r="P4" s="24" t="s">
        <v>424</v>
      </c>
      <c r="Q4" s="24" t="s">
        <v>402</v>
      </c>
      <c r="R4" s="24" t="s">
        <v>426</v>
      </c>
      <c r="S4" s="24" t="s">
        <v>402</v>
      </c>
      <c r="T4" s="24" t="s">
        <v>427</v>
      </c>
      <c r="U4" s="24" t="s">
        <v>428</v>
      </c>
      <c r="V4" s="24" t="s">
        <v>429</v>
      </c>
      <c r="W4" s="24" t="s">
        <v>402</v>
      </c>
      <c r="X4" s="24" t="s">
        <v>414</v>
      </c>
      <c r="Y4" s="24" t="s">
        <v>402</v>
      </c>
      <c r="Z4" s="24" t="s">
        <v>430</v>
      </c>
      <c r="AA4" s="24" t="s">
        <v>402</v>
      </c>
      <c r="AB4" s="102"/>
    </row>
    <row r="5" spans="1:28" ht="11.25" customHeight="1" x14ac:dyDescent="0.3">
      <c r="A5" s="99" t="s">
        <v>34</v>
      </c>
      <c r="B5" s="99" t="s">
        <v>78</v>
      </c>
      <c r="C5" s="99" t="s">
        <v>25</v>
      </c>
      <c r="D5" s="99" t="s">
        <v>25</v>
      </c>
      <c r="E5" s="99" t="s">
        <v>25</v>
      </c>
      <c r="F5" s="99" t="s">
        <v>25</v>
      </c>
      <c r="G5" s="23" t="s">
        <v>80</v>
      </c>
      <c r="H5" s="23" t="s">
        <v>79</v>
      </c>
      <c r="I5" s="23">
        <f>'MERCADO TE'!$U$2</f>
        <v>311.15300000000002</v>
      </c>
      <c r="J5" s="15"/>
      <c r="L5" s="20">
        <f>'TR TE'!$L$5*'TR TE'!$L$49</f>
        <v>0</v>
      </c>
      <c r="M5" s="20">
        <f>'TR TE'!$M$5*'TR TE'!$M$49</f>
        <v>16.110850163961594</v>
      </c>
      <c r="N5" s="20">
        <f>'TR TE'!$N$5*'TR TE'!$N$49</f>
        <v>0</v>
      </c>
      <c r="O5" s="20">
        <f>'TR TE'!$O$5*'TR TE'!$O$49</f>
        <v>0</v>
      </c>
      <c r="P5" s="20">
        <f>'TR TE'!$P$5*'TR TE'!$P$49</f>
        <v>0</v>
      </c>
      <c r="Q5" s="20">
        <f>SUM($L$5:$P$5)</f>
        <v>16.110850163961594</v>
      </c>
      <c r="R5" s="20">
        <f>'TR TE'!$R$5*'TR TE'!$R$49</f>
        <v>211.41436462921928</v>
      </c>
      <c r="S5" s="20">
        <f>SUM($R$5:$R$5)</f>
        <v>211.41436462921928</v>
      </c>
      <c r="T5" s="20">
        <f>'TR TE'!$T$5*'TR TE'!$T$49</f>
        <v>0</v>
      </c>
      <c r="U5" s="20">
        <f>'TR TE'!$U$5*'TR TE'!$U$49</f>
        <v>0</v>
      </c>
      <c r="V5" s="20">
        <f>'TR TE'!$V$5*'TR TE'!$V$49</f>
        <v>0</v>
      </c>
      <c r="W5" s="20">
        <f>SUM($T$5:$V$5)</f>
        <v>0</v>
      </c>
      <c r="X5" s="20"/>
      <c r="Y5" s="20">
        <f>SUM($X$5:$X$5)</f>
        <v>0</v>
      </c>
      <c r="Z5" s="20">
        <f>'TR TE'!$Z$5*'TR TE'!$Z$49</f>
        <v>0</v>
      </c>
      <c r="AA5" s="20">
        <f>SUM($Z$5:$Z$5)</f>
        <v>0</v>
      </c>
      <c r="AB5" s="20">
        <f>SUMIF($L$4:$AA$4,"SUBTOTAL",$L$5:$AA$5)</f>
        <v>227.52521479318088</v>
      </c>
    </row>
    <row r="6" spans="1:28" ht="11.25" customHeight="1" x14ac:dyDescent="0.3">
      <c r="A6" s="99"/>
      <c r="B6" s="99"/>
      <c r="C6" s="99"/>
      <c r="D6" s="99"/>
      <c r="E6" s="99"/>
      <c r="F6" s="99"/>
      <c r="G6" s="23" t="s">
        <v>81</v>
      </c>
      <c r="H6" s="23" t="s">
        <v>79</v>
      </c>
      <c r="I6" s="23">
        <f>'MERCADO TE'!$U$3</f>
        <v>7439.3039999999992</v>
      </c>
      <c r="J6" s="15"/>
      <c r="L6" s="20">
        <f>'TR TE'!$L$6*'TR TE'!$L$49</f>
        <v>0</v>
      </c>
      <c r="M6" s="20">
        <f>'TR TE'!$M$6*'TR TE'!$M$49</f>
        <v>16.110850163961594</v>
      </c>
      <c r="N6" s="20">
        <f>'TR TE'!$N$6*'TR TE'!$N$49</f>
        <v>0</v>
      </c>
      <c r="O6" s="20">
        <f>'TR TE'!$O$6*'TR TE'!$O$49</f>
        <v>0</v>
      </c>
      <c r="P6" s="20">
        <f>'TR TE'!$P$6*'TR TE'!$P$49</f>
        <v>0</v>
      </c>
      <c r="Q6" s="20">
        <f>SUM($L$6:$P$6)</f>
        <v>16.110850163961594</v>
      </c>
      <c r="R6" s="20">
        <f>'TR TE'!$R$6*'TR TE'!$R$49</f>
        <v>211.41436462921928</v>
      </c>
      <c r="S6" s="20">
        <f>SUM($R$6:$R$6)</f>
        <v>211.41436462921928</v>
      </c>
      <c r="T6" s="20">
        <f>'TR TE'!$T$6*'TR TE'!$T$49</f>
        <v>0</v>
      </c>
      <c r="U6" s="20">
        <f>'TR TE'!$U$6*'TR TE'!$U$49</f>
        <v>0</v>
      </c>
      <c r="V6" s="20">
        <f>'TR TE'!$V$6*'TR TE'!$V$49</f>
        <v>0</v>
      </c>
      <c r="W6" s="20">
        <f>SUM($T$6:$V$6)</f>
        <v>0</v>
      </c>
      <c r="X6" s="20"/>
      <c r="Y6" s="20">
        <f>SUM($X$6:$X$6)</f>
        <v>0</v>
      </c>
      <c r="Z6" s="20">
        <f>'TR TE'!$Z$6*'TR TE'!$Z$49</f>
        <v>0</v>
      </c>
      <c r="AA6" s="20">
        <f>SUM($Z$6:$Z$6)</f>
        <v>0</v>
      </c>
      <c r="AB6" s="20">
        <f>SUMIF($L$4:$AA$4,"SUBTOTAL",$L$6:$AA$6)</f>
        <v>227.52521479318088</v>
      </c>
    </row>
    <row r="7" spans="1:28" ht="11.25" customHeight="1" x14ac:dyDescent="0.3">
      <c r="A7" s="99"/>
      <c r="B7" s="22" t="s">
        <v>82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83</v>
      </c>
      <c r="H7" s="23" t="s">
        <v>79</v>
      </c>
      <c r="I7" s="23">
        <f>'MERCADO TE'!$U$4</f>
        <v>0</v>
      </c>
      <c r="J7" s="15"/>
      <c r="L7" s="20">
        <f>'TR TE'!$L$7*'TR TE'!$L$49</f>
        <v>0</v>
      </c>
      <c r="M7" s="20">
        <f>'TR TE'!$M$7*'TR TE'!$M$49</f>
        <v>16.110850163961594</v>
      </c>
      <c r="N7" s="20">
        <f>'TR TE'!$N$7*'TR TE'!$N$49</f>
        <v>0</v>
      </c>
      <c r="O7" s="20">
        <f>'TR TE'!$O$7*'TR TE'!$O$49</f>
        <v>0</v>
      </c>
      <c r="P7" s="20">
        <f>'TR TE'!$P$7*'TR TE'!$P$49</f>
        <v>0</v>
      </c>
      <c r="Q7" s="20">
        <f>SUM($L$7:$P$7)</f>
        <v>16.110850163961594</v>
      </c>
      <c r="R7" s="20">
        <f>'TR TE'!$R$7*'TR TE'!$R$49</f>
        <v>211.41436462921928</v>
      </c>
      <c r="S7" s="20">
        <f>SUM($R$7:$R$7)</f>
        <v>211.41436462921928</v>
      </c>
      <c r="T7" s="20">
        <f>'TR TE'!$T$7*'TR TE'!$T$49</f>
        <v>0</v>
      </c>
      <c r="U7" s="20">
        <f>'TR TE'!$U$7*'TR TE'!$U$49</f>
        <v>0</v>
      </c>
      <c r="V7" s="20">
        <f>'TR TE'!$V$7*'TR TE'!$V$49</f>
        <v>0</v>
      </c>
      <c r="W7" s="20">
        <f>SUM($T$7:$V$7)</f>
        <v>0</v>
      </c>
      <c r="X7" s="20"/>
      <c r="Y7" s="20">
        <f>SUM($X$7:$X$7)</f>
        <v>0</v>
      </c>
      <c r="Z7" s="20">
        <f>'TR TE'!$Z$7*'TR TE'!$Z$49</f>
        <v>0</v>
      </c>
      <c r="AA7" s="20">
        <f>SUM($Z$7:$Z$7)</f>
        <v>0</v>
      </c>
      <c r="AB7" s="20">
        <f>SUMIF($L$4:$AA$4,"SUBTOTAL",$L$7:$AA$7)</f>
        <v>227.52521479318088</v>
      </c>
    </row>
    <row r="8" spans="1:28" ht="11.25" customHeight="1" x14ac:dyDescent="0.3">
      <c r="A8" s="99" t="s">
        <v>22</v>
      </c>
      <c r="B8" s="99" t="s">
        <v>78</v>
      </c>
      <c r="C8" s="99" t="s">
        <v>24</v>
      </c>
      <c r="D8" s="99" t="s">
        <v>24</v>
      </c>
      <c r="E8" s="99" t="s">
        <v>25</v>
      </c>
      <c r="F8" s="99" t="s">
        <v>25</v>
      </c>
      <c r="G8" s="23" t="s">
        <v>80</v>
      </c>
      <c r="H8" s="23" t="s">
        <v>79</v>
      </c>
      <c r="I8" s="23">
        <f>'MERCADO TE'!$U$5</f>
        <v>0</v>
      </c>
      <c r="J8" s="15"/>
      <c r="L8" s="20">
        <f>'TR TE'!$L$8*'TR TE'!$L$49</f>
        <v>0</v>
      </c>
      <c r="M8" s="20">
        <f>'TR TE'!$M$8*'TR TE'!$M$49</f>
        <v>16.110850163961594</v>
      </c>
      <c r="N8" s="20">
        <f>'TR TE'!$N$8*'TR TE'!$N$49</f>
        <v>0</v>
      </c>
      <c r="O8" s="20">
        <f>'TR TE'!$O$8*'TR TE'!$O$49</f>
        <v>0</v>
      </c>
      <c r="P8" s="20">
        <f>'TR TE'!$P$8*'TR TE'!$P$49</f>
        <v>0</v>
      </c>
      <c r="Q8" s="20">
        <f>SUM($L$8:$P$8)</f>
        <v>16.110850163961594</v>
      </c>
      <c r="R8" s="20">
        <f>'TR TE'!$R$8*'TR TE'!$R$49</f>
        <v>211.41436462921928</v>
      </c>
      <c r="S8" s="20">
        <f>SUM($R$8:$R$8)</f>
        <v>211.41436462921928</v>
      </c>
      <c r="T8" s="20">
        <f>'TR TE'!$T$8*'TR TE'!$T$49</f>
        <v>0</v>
      </c>
      <c r="U8" s="20">
        <f>'TR TE'!$U$8*'TR TE'!$U$49</f>
        <v>0</v>
      </c>
      <c r="V8" s="20">
        <f>'TR TE'!$V$8*'TR TE'!$V$49</f>
        <v>0</v>
      </c>
      <c r="W8" s="20">
        <f>SUM($T$8:$V$8)</f>
        <v>0</v>
      </c>
      <c r="X8" s="20"/>
      <c r="Y8" s="20">
        <f>SUM($X$8:$X$8)</f>
        <v>0</v>
      </c>
      <c r="Z8" s="20">
        <f>'TR TE'!$Z$8*'TR TE'!$Z$49</f>
        <v>0</v>
      </c>
      <c r="AA8" s="20">
        <f>SUM($Z$8:$Z$8)</f>
        <v>0</v>
      </c>
      <c r="AB8" s="20">
        <f>SUMIF($L$4:$AA$4,"SUBTOTAL",$L$8:$AA$8)</f>
        <v>227.52521479318088</v>
      </c>
    </row>
    <row r="9" spans="1:28" ht="11.25" customHeight="1" x14ac:dyDescent="0.3">
      <c r="A9" s="99"/>
      <c r="B9" s="99"/>
      <c r="C9" s="99"/>
      <c r="D9" s="99"/>
      <c r="E9" s="99"/>
      <c r="F9" s="99"/>
      <c r="G9" s="23" t="s">
        <v>91</v>
      </c>
      <c r="H9" s="23" t="s">
        <v>79</v>
      </c>
      <c r="I9" s="23">
        <f>'MERCADO TE'!$U$6</f>
        <v>0</v>
      </c>
      <c r="J9" s="15"/>
      <c r="L9" s="20">
        <f>'TR TE'!$L$9*'TR TE'!$L$49</f>
        <v>0</v>
      </c>
      <c r="M9" s="20">
        <f>'TR TE'!$M$9*'TR TE'!$M$49</f>
        <v>16.110850163961594</v>
      </c>
      <c r="N9" s="20">
        <f>'TR TE'!$N$9*'TR TE'!$N$49</f>
        <v>0</v>
      </c>
      <c r="O9" s="20">
        <f>'TR TE'!$O$9*'TR TE'!$O$49</f>
        <v>0</v>
      </c>
      <c r="P9" s="20">
        <f>'TR TE'!$P$9*'TR TE'!$P$49</f>
        <v>0</v>
      </c>
      <c r="Q9" s="20">
        <f>SUM($L$9:$P$9)</f>
        <v>16.110850163961594</v>
      </c>
      <c r="R9" s="20">
        <f>'TR TE'!$R$9*'TR TE'!$R$49</f>
        <v>211.41436462921928</v>
      </c>
      <c r="S9" s="20">
        <f>SUM($R$9:$R$9)</f>
        <v>211.41436462921928</v>
      </c>
      <c r="T9" s="20">
        <f>'TR TE'!$T$9*'TR TE'!$T$49</f>
        <v>0</v>
      </c>
      <c r="U9" s="20">
        <f>'TR TE'!$U$9*'TR TE'!$U$49</f>
        <v>0</v>
      </c>
      <c r="V9" s="20">
        <f>'TR TE'!$V$9*'TR TE'!$V$49</f>
        <v>0</v>
      </c>
      <c r="W9" s="20">
        <f>SUM($T$9:$V$9)</f>
        <v>0</v>
      </c>
      <c r="X9" s="20"/>
      <c r="Y9" s="20">
        <f>SUM($X$9:$X$9)</f>
        <v>0</v>
      </c>
      <c r="Z9" s="20">
        <f>'TR TE'!$Z$9*'TR TE'!$Z$49</f>
        <v>0</v>
      </c>
      <c r="AA9" s="20">
        <f>SUM($Z$9:$Z$9)</f>
        <v>0</v>
      </c>
      <c r="AB9" s="20">
        <f>SUMIF($L$4:$AA$4,"SUBTOTAL",$L$9:$AA$9)</f>
        <v>227.52521479318088</v>
      </c>
    </row>
    <row r="10" spans="1:28" ht="11.25" customHeight="1" x14ac:dyDescent="0.3">
      <c r="A10" s="99"/>
      <c r="B10" s="99"/>
      <c r="C10" s="99"/>
      <c r="D10" s="99"/>
      <c r="E10" s="99"/>
      <c r="F10" s="99"/>
      <c r="G10" s="23" t="s">
        <v>81</v>
      </c>
      <c r="H10" s="23" t="s">
        <v>79</v>
      </c>
      <c r="I10" s="23">
        <f>'MERCADO TE'!$U$7</f>
        <v>0</v>
      </c>
      <c r="J10" s="15"/>
      <c r="L10" s="20">
        <f>'TR TE'!$L$10*'TR TE'!$L$49</f>
        <v>0</v>
      </c>
      <c r="M10" s="20">
        <f>'TR TE'!$M$10*'TR TE'!$M$49</f>
        <v>16.110850163961594</v>
      </c>
      <c r="N10" s="20">
        <f>'TR TE'!$N$10*'TR TE'!$N$49</f>
        <v>0</v>
      </c>
      <c r="O10" s="20">
        <f>'TR TE'!$O$10*'TR TE'!$O$49</f>
        <v>0</v>
      </c>
      <c r="P10" s="20">
        <f>'TR TE'!$P$10*'TR TE'!$P$49</f>
        <v>0</v>
      </c>
      <c r="Q10" s="20">
        <f>SUM($L$10:$P$10)</f>
        <v>16.110850163961594</v>
      </c>
      <c r="R10" s="20">
        <f>'TR TE'!$R$10*'TR TE'!$R$49</f>
        <v>211.41436462921928</v>
      </c>
      <c r="S10" s="20">
        <f>SUM($R$10:$R$10)</f>
        <v>211.41436462921928</v>
      </c>
      <c r="T10" s="20">
        <f>'TR TE'!$T$10*'TR TE'!$T$49</f>
        <v>0</v>
      </c>
      <c r="U10" s="20">
        <f>'TR TE'!$U$10*'TR TE'!$U$49</f>
        <v>0</v>
      </c>
      <c r="V10" s="20">
        <f>'TR TE'!$V$10*'TR TE'!$V$49</f>
        <v>0</v>
      </c>
      <c r="W10" s="20">
        <f>SUM($T$10:$V$10)</f>
        <v>0</v>
      </c>
      <c r="X10" s="20"/>
      <c r="Y10" s="20">
        <f>SUM($X$10:$X$10)</f>
        <v>0</v>
      </c>
      <c r="Z10" s="20">
        <f>'TR TE'!$Z$10*'TR TE'!$Z$49</f>
        <v>0</v>
      </c>
      <c r="AA10" s="20">
        <f>SUM($Z$10:$Z$10)</f>
        <v>0</v>
      </c>
      <c r="AB10" s="20">
        <f>SUMIF($L$4:$AA$4,"SUBTOTAL",$L$10:$AA$10)</f>
        <v>227.52521479318088</v>
      </c>
    </row>
    <row r="11" spans="1:28" ht="11.25" customHeight="1" x14ac:dyDescent="0.3">
      <c r="A11" s="99"/>
      <c r="B11" s="99" t="s">
        <v>82</v>
      </c>
      <c r="C11" s="99" t="s">
        <v>24</v>
      </c>
      <c r="D11" s="22" t="s">
        <v>24</v>
      </c>
      <c r="E11" s="22" t="s">
        <v>25</v>
      </c>
      <c r="F11" s="22" t="s">
        <v>25</v>
      </c>
      <c r="G11" s="23" t="s">
        <v>83</v>
      </c>
      <c r="H11" s="23" t="s">
        <v>79</v>
      </c>
      <c r="I11" s="23">
        <f>'MERCADO TE'!$U$8</f>
        <v>10969.981</v>
      </c>
      <c r="J11" s="15"/>
      <c r="L11" s="20">
        <f>'TR TE'!$L$11*'TR TE'!$L$49</f>
        <v>0</v>
      </c>
      <c r="M11" s="20">
        <f>'TR TE'!$M$11*'TR TE'!$M$49</f>
        <v>16.110850163961594</v>
      </c>
      <c r="N11" s="20">
        <f>'TR TE'!$N$11*'TR TE'!$N$49</f>
        <v>0</v>
      </c>
      <c r="O11" s="20">
        <f>'TR TE'!$O$11*'TR TE'!$O$49</f>
        <v>0</v>
      </c>
      <c r="P11" s="20">
        <f>'TR TE'!$P$11*'TR TE'!$P$49</f>
        <v>0</v>
      </c>
      <c r="Q11" s="20">
        <f>SUM($L$11:$P$11)</f>
        <v>16.110850163961594</v>
      </c>
      <c r="R11" s="20">
        <f>'TR TE'!$R$11*'TR TE'!$R$49</f>
        <v>211.41436462921928</v>
      </c>
      <c r="S11" s="20">
        <f>SUM($R$11:$R$11)</f>
        <v>211.41436462921928</v>
      </c>
      <c r="T11" s="20">
        <f>'TR TE'!$T$11*'TR TE'!$T$49</f>
        <v>0</v>
      </c>
      <c r="U11" s="20">
        <f>'TR TE'!$U$11*'TR TE'!$U$49</f>
        <v>0</v>
      </c>
      <c r="V11" s="20">
        <f>'TR TE'!$V$11*'TR TE'!$V$49</f>
        <v>0</v>
      </c>
      <c r="W11" s="20">
        <f>SUM($T$11:$V$11)</f>
        <v>0</v>
      </c>
      <c r="X11" s="20"/>
      <c r="Y11" s="20">
        <f>SUM($X$11:$X$11)</f>
        <v>0</v>
      </c>
      <c r="Z11" s="20">
        <f>'TR TE'!$Z$11*'TR TE'!$Z$49</f>
        <v>0</v>
      </c>
      <c r="AA11" s="20">
        <f>SUM($Z$11:$Z$11)</f>
        <v>0</v>
      </c>
      <c r="AB11" s="20">
        <f>SUMIF($L$4:$AA$4,"SUBTOTAL",$L$11:$AA$11)</f>
        <v>227.52521479318088</v>
      </c>
    </row>
    <row r="12" spans="1:28" ht="11.25" customHeight="1" x14ac:dyDescent="0.3">
      <c r="A12" s="99"/>
      <c r="B12" s="99"/>
      <c r="C12" s="99"/>
      <c r="D12" s="22" t="s">
        <v>28</v>
      </c>
      <c r="E12" s="22" t="s">
        <v>25</v>
      </c>
      <c r="F12" s="22" t="s">
        <v>25</v>
      </c>
      <c r="G12" s="23" t="s">
        <v>83</v>
      </c>
      <c r="H12" s="23" t="s">
        <v>79</v>
      </c>
      <c r="I12" s="23">
        <f>'MERCADO TE'!$U$9</f>
        <v>87.284999999999997</v>
      </c>
      <c r="J12" s="15"/>
      <c r="L12" s="20">
        <f>'TR TE'!$L$12*'TR TE'!$L$49</f>
        <v>0</v>
      </c>
      <c r="M12" s="20">
        <f>'TR TE'!$M$12*'TR TE'!$M$49</f>
        <v>16.110850163961594</v>
      </c>
      <c r="N12" s="20">
        <f>'TR TE'!$N$12*'TR TE'!$N$49</f>
        <v>0</v>
      </c>
      <c r="O12" s="20">
        <f>'TR TE'!$O$12*'TR TE'!$O$49</f>
        <v>0</v>
      </c>
      <c r="P12" s="20">
        <f>'TR TE'!$P$12*'TR TE'!$P$49</f>
        <v>0</v>
      </c>
      <c r="Q12" s="20">
        <f>SUM($L$12:$P$12)</f>
        <v>16.110850163961594</v>
      </c>
      <c r="R12" s="20">
        <f>'TR TE'!$R$12*'TR TE'!$R$49</f>
        <v>211.41436462921928</v>
      </c>
      <c r="S12" s="20">
        <f>SUM($R$12:$R$12)</f>
        <v>211.41436462921928</v>
      </c>
      <c r="T12" s="20">
        <f>'TR TE'!$T$12*'TR TE'!$T$49</f>
        <v>0</v>
      </c>
      <c r="U12" s="20">
        <f>'TR TE'!$U$12*'TR TE'!$U$49</f>
        <v>0</v>
      </c>
      <c r="V12" s="20">
        <f>'TR TE'!$V$12*'TR TE'!$V$49</f>
        <v>0</v>
      </c>
      <c r="W12" s="20">
        <f>SUM($T$12:$V$12)</f>
        <v>0</v>
      </c>
      <c r="X12" s="20"/>
      <c r="Y12" s="20">
        <f>SUM($X$12:$X$12)</f>
        <v>0</v>
      </c>
      <c r="Z12" s="20">
        <f>'TR TE'!$Z$12*'TR TE'!$Z$49</f>
        <v>0</v>
      </c>
      <c r="AA12" s="20">
        <f>SUM($Z$12:$Z$12)</f>
        <v>0</v>
      </c>
      <c r="AB12" s="20">
        <f>SUMIF($L$4:$AA$4,"SUBTOTAL",$L$12:$AA$12)</f>
        <v>227.52521479318088</v>
      </c>
    </row>
    <row r="13" spans="1:28" ht="11.25" customHeight="1" x14ac:dyDescent="0.3">
      <c r="A13" s="99"/>
      <c r="B13" s="99"/>
      <c r="C13" s="99"/>
      <c r="D13" s="22" t="s">
        <v>29</v>
      </c>
      <c r="E13" s="22" t="s">
        <v>25</v>
      </c>
      <c r="F13" s="22" t="s">
        <v>25</v>
      </c>
      <c r="G13" s="23" t="s">
        <v>83</v>
      </c>
      <c r="H13" s="23" t="s">
        <v>79</v>
      </c>
      <c r="I13" s="23">
        <f>'MERCADO TE'!$U$10</f>
        <v>183.16699999999997</v>
      </c>
      <c r="J13" s="15"/>
      <c r="L13" s="20">
        <f>'TR TE'!$L$13*'TR TE'!$L$49</f>
        <v>0</v>
      </c>
      <c r="M13" s="20">
        <f>'TR TE'!$M$13*'TR TE'!$M$49</f>
        <v>16.110850163961594</v>
      </c>
      <c r="N13" s="20">
        <f>'TR TE'!$N$13*'TR TE'!$N$49</f>
        <v>0</v>
      </c>
      <c r="O13" s="20">
        <f>'TR TE'!$O$13*'TR TE'!$O$49</f>
        <v>0</v>
      </c>
      <c r="P13" s="20">
        <f>'TR TE'!$P$13*'TR TE'!$P$49</f>
        <v>0</v>
      </c>
      <c r="Q13" s="20">
        <f>SUM($L$13:$P$13)</f>
        <v>16.110850163961594</v>
      </c>
      <c r="R13" s="20">
        <f>'TR TE'!$R$13*'TR TE'!$R$49</f>
        <v>211.41436462921928</v>
      </c>
      <c r="S13" s="20">
        <f>SUM($R$13:$R$13)</f>
        <v>211.41436462921928</v>
      </c>
      <c r="T13" s="20">
        <f>'TR TE'!$T$13*'TR TE'!$T$49</f>
        <v>0</v>
      </c>
      <c r="U13" s="20">
        <f>'TR TE'!$U$13*'TR TE'!$U$49</f>
        <v>0</v>
      </c>
      <c r="V13" s="20">
        <f>'TR TE'!$V$13*'TR TE'!$V$49</f>
        <v>0</v>
      </c>
      <c r="W13" s="20">
        <f>SUM($T$13:$V$13)</f>
        <v>0</v>
      </c>
      <c r="X13" s="20"/>
      <c r="Y13" s="20">
        <f>SUM($X$13:$X$13)</f>
        <v>0</v>
      </c>
      <c r="Z13" s="20">
        <f>'TR TE'!$Z$13*'TR TE'!$Z$49</f>
        <v>0</v>
      </c>
      <c r="AA13" s="20">
        <f>SUM($Z$13:$Z$13)</f>
        <v>0</v>
      </c>
      <c r="AB13" s="20">
        <f>SUMIF($L$4:$AA$4,"SUBTOTAL",$L$13:$AA$13)</f>
        <v>227.52521479318088</v>
      </c>
    </row>
    <row r="14" spans="1:28" ht="11.25" customHeight="1" x14ac:dyDescent="0.3">
      <c r="A14" s="99"/>
      <c r="B14" s="99"/>
      <c r="C14" s="99"/>
      <c r="D14" s="22" t="s">
        <v>30</v>
      </c>
      <c r="E14" s="22" t="s">
        <v>25</v>
      </c>
      <c r="F14" s="22" t="s">
        <v>25</v>
      </c>
      <c r="G14" s="23" t="s">
        <v>83</v>
      </c>
      <c r="H14" s="23" t="s">
        <v>79</v>
      </c>
      <c r="I14" s="23">
        <f>'MERCADO TE'!$U$11</f>
        <v>200.38</v>
      </c>
      <c r="J14" s="15"/>
      <c r="L14" s="20">
        <f>'TR TE'!$L$14*'TR TE'!$L$49</f>
        <v>0</v>
      </c>
      <c r="M14" s="20">
        <f>'TR TE'!$M$14*'TR TE'!$M$49</f>
        <v>16.110850163961594</v>
      </c>
      <c r="N14" s="20">
        <f>'TR TE'!$N$14*'TR TE'!$N$49</f>
        <v>0</v>
      </c>
      <c r="O14" s="20">
        <f>'TR TE'!$O$14*'TR TE'!$O$49</f>
        <v>0</v>
      </c>
      <c r="P14" s="20">
        <f>'TR TE'!$P$14*'TR TE'!$P$49</f>
        <v>0</v>
      </c>
      <c r="Q14" s="20">
        <f>SUM($L$14:$P$14)</f>
        <v>16.110850163961594</v>
      </c>
      <c r="R14" s="20">
        <f>'TR TE'!$R$14*'TR TE'!$R$49</f>
        <v>211.41436462921928</v>
      </c>
      <c r="S14" s="20">
        <f>SUM($R$14:$R$14)</f>
        <v>211.41436462921928</v>
      </c>
      <c r="T14" s="20">
        <f>'TR TE'!$T$14*'TR TE'!$T$49</f>
        <v>0</v>
      </c>
      <c r="U14" s="20">
        <f>'TR TE'!$U$14*'TR TE'!$U$49</f>
        <v>0</v>
      </c>
      <c r="V14" s="20">
        <f>'TR TE'!$V$14*'TR TE'!$V$49</f>
        <v>0</v>
      </c>
      <c r="W14" s="20">
        <f>SUM($T$14:$V$14)</f>
        <v>0</v>
      </c>
      <c r="X14" s="20"/>
      <c r="Y14" s="20">
        <f>SUM($X$14:$X$14)</f>
        <v>0</v>
      </c>
      <c r="Z14" s="20">
        <f>'TR TE'!$Z$14*'TR TE'!$Z$49</f>
        <v>0</v>
      </c>
      <c r="AA14" s="20">
        <f>SUM($Z$14:$Z$14)</f>
        <v>0</v>
      </c>
      <c r="AB14" s="20">
        <f>SUMIF($L$4:$AA$4,"SUBTOTAL",$L$14:$AA$14)</f>
        <v>227.52521479318088</v>
      </c>
    </row>
    <row r="15" spans="1:28" ht="11.25" customHeight="1" x14ac:dyDescent="0.3">
      <c r="A15" s="99"/>
      <c r="B15" s="99"/>
      <c r="C15" s="99"/>
      <c r="D15" s="22" t="s">
        <v>31</v>
      </c>
      <c r="E15" s="22" t="s">
        <v>25</v>
      </c>
      <c r="F15" s="22" t="s">
        <v>25</v>
      </c>
      <c r="G15" s="23" t="s">
        <v>83</v>
      </c>
      <c r="H15" s="23" t="s">
        <v>79</v>
      </c>
      <c r="I15" s="23">
        <f>'MERCADO TE'!$U$12</f>
        <v>80.955999999999989</v>
      </c>
      <c r="J15" s="15"/>
      <c r="L15" s="20">
        <f>'TR TE'!$L$15*'TR TE'!$L$49</f>
        <v>0</v>
      </c>
      <c r="M15" s="20">
        <f>'TR TE'!$M$15*'TR TE'!$M$49</f>
        <v>16.110850163961594</v>
      </c>
      <c r="N15" s="20">
        <f>'TR TE'!$N$15*'TR TE'!$N$49</f>
        <v>0</v>
      </c>
      <c r="O15" s="20">
        <f>'TR TE'!$O$15*'TR TE'!$O$49</f>
        <v>0</v>
      </c>
      <c r="P15" s="20">
        <f>'TR TE'!$P$15*'TR TE'!$P$49</f>
        <v>0</v>
      </c>
      <c r="Q15" s="20">
        <f>SUM($L$15:$P$15)</f>
        <v>16.110850163961594</v>
      </c>
      <c r="R15" s="20">
        <f>'TR TE'!$R$15*'TR TE'!$R$49</f>
        <v>211.41436462921928</v>
      </c>
      <c r="S15" s="20">
        <f>SUM($R$15:$R$15)</f>
        <v>211.41436462921928</v>
      </c>
      <c r="T15" s="20">
        <f>'TR TE'!$T$15*'TR TE'!$T$49</f>
        <v>0</v>
      </c>
      <c r="U15" s="20">
        <f>'TR TE'!$U$15*'TR TE'!$U$49</f>
        <v>0</v>
      </c>
      <c r="V15" s="20">
        <f>'TR TE'!$V$15*'TR TE'!$V$49</f>
        <v>0</v>
      </c>
      <c r="W15" s="20">
        <f>SUM($T$15:$V$15)</f>
        <v>0</v>
      </c>
      <c r="X15" s="20"/>
      <c r="Y15" s="20">
        <f>SUM($X$15:$X$15)</f>
        <v>0</v>
      </c>
      <c r="Z15" s="20">
        <f>'TR TE'!$Z$15*'TR TE'!$Z$49</f>
        <v>0</v>
      </c>
      <c r="AA15" s="20">
        <f>SUM($Z$15:$Z$15)</f>
        <v>0</v>
      </c>
      <c r="AB15" s="20">
        <f>SUMIF($L$4:$AA$4,"SUBTOTAL",$L$15:$AA$15)</f>
        <v>227.52521479318088</v>
      </c>
    </row>
    <row r="16" spans="1:28" ht="11.25" customHeight="1" x14ac:dyDescent="0.3">
      <c r="A16" s="99"/>
      <c r="B16" s="99" t="s">
        <v>93</v>
      </c>
      <c r="C16" s="99" t="s">
        <v>24</v>
      </c>
      <c r="D16" s="22" t="s">
        <v>24</v>
      </c>
      <c r="E16" s="22" t="s">
        <v>25</v>
      </c>
      <c r="F16" s="22" t="s">
        <v>25</v>
      </c>
      <c r="G16" s="23" t="s">
        <v>83</v>
      </c>
      <c r="H16" s="23" t="s">
        <v>79</v>
      </c>
      <c r="I16" s="23">
        <f>'MERCADO TE'!$U$13</f>
        <v>0</v>
      </c>
      <c r="J16" s="15"/>
      <c r="L16" s="20">
        <f>'TR TE'!$L$16*'TR TE'!$L$49</f>
        <v>0</v>
      </c>
      <c r="M16" s="20">
        <f>'TR TE'!$M$16*'TR TE'!$M$49</f>
        <v>16.110850163961594</v>
      </c>
      <c r="N16" s="20">
        <f>'TR TE'!$N$16*'TR TE'!$N$49</f>
        <v>0</v>
      </c>
      <c r="O16" s="20">
        <f>'TR TE'!$O$16*'TR TE'!$O$49</f>
        <v>0</v>
      </c>
      <c r="P16" s="20">
        <f>'TR TE'!$P$16*'TR TE'!$P$49</f>
        <v>0</v>
      </c>
      <c r="Q16" s="20">
        <f>SUM($L$16:$P$16)</f>
        <v>16.110850163961594</v>
      </c>
      <c r="R16" s="20">
        <f>'TR TE'!$R$16*'TR TE'!$R$49</f>
        <v>211.41436462921928</v>
      </c>
      <c r="S16" s="20">
        <f>SUM($R$16:$R$16)</f>
        <v>211.41436462921928</v>
      </c>
      <c r="T16" s="20">
        <f>'TR TE'!$T$16*'TR TE'!$T$49</f>
        <v>0</v>
      </c>
      <c r="U16" s="20">
        <f>'TR TE'!$U$16*'TR TE'!$U$49</f>
        <v>0</v>
      </c>
      <c r="V16" s="20">
        <f>'TR TE'!$V$16*'TR TE'!$V$49</f>
        <v>0</v>
      </c>
      <c r="W16" s="20">
        <f>SUM($T$16:$V$16)</f>
        <v>0</v>
      </c>
      <c r="X16" s="20"/>
      <c r="Y16" s="20">
        <f>SUM($X$16:$X$16)</f>
        <v>0</v>
      </c>
      <c r="Z16" s="20">
        <f>'TR TE'!$Z$16*'TR TE'!$Z$49</f>
        <v>0</v>
      </c>
      <c r="AA16" s="20">
        <f>SUM($Z$16:$Z$16)</f>
        <v>0</v>
      </c>
      <c r="AB16" s="20">
        <f>SUMIF($L$4:$AA$4,"SUBTOTAL",$L$16:$AA$16)</f>
        <v>227.52521479318088</v>
      </c>
    </row>
    <row r="17" spans="1:28" ht="11.25" customHeight="1" x14ac:dyDescent="0.3">
      <c r="A17" s="99"/>
      <c r="B17" s="99"/>
      <c r="C17" s="99"/>
      <c r="D17" s="22" t="s">
        <v>28</v>
      </c>
      <c r="E17" s="22" t="s">
        <v>25</v>
      </c>
      <c r="F17" s="22" t="s">
        <v>25</v>
      </c>
      <c r="G17" s="23" t="s">
        <v>83</v>
      </c>
      <c r="H17" s="23" t="s">
        <v>79</v>
      </c>
      <c r="I17" s="23">
        <f>'MERCADO TE'!$U$14</f>
        <v>0</v>
      </c>
      <c r="J17" s="15"/>
      <c r="L17" s="20">
        <f>'TR TE'!$L$17*'TR TE'!$L$49</f>
        <v>0</v>
      </c>
      <c r="M17" s="20">
        <f>'TR TE'!$M$17*'TR TE'!$M$49</f>
        <v>16.110850163961594</v>
      </c>
      <c r="N17" s="20">
        <f>'TR TE'!$N$17*'TR TE'!$N$49</f>
        <v>0</v>
      </c>
      <c r="O17" s="20">
        <f>'TR TE'!$O$17*'TR TE'!$O$49</f>
        <v>0</v>
      </c>
      <c r="P17" s="20">
        <f>'TR TE'!$P$17*'TR TE'!$P$49</f>
        <v>0</v>
      </c>
      <c r="Q17" s="20">
        <f>SUM($L$17:$P$17)</f>
        <v>16.110850163961594</v>
      </c>
      <c r="R17" s="20">
        <f>'TR TE'!$R$17*'TR TE'!$R$49</f>
        <v>211.41436462921928</v>
      </c>
      <c r="S17" s="20">
        <f>SUM($R$17:$R$17)</f>
        <v>211.41436462921928</v>
      </c>
      <c r="T17" s="20">
        <f>'TR TE'!$T$17*'TR TE'!$T$49</f>
        <v>0</v>
      </c>
      <c r="U17" s="20">
        <f>'TR TE'!$U$17*'TR TE'!$U$49</f>
        <v>0</v>
      </c>
      <c r="V17" s="20">
        <f>'TR TE'!$V$17*'TR TE'!$V$49</f>
        <v>0</v>
      </c>
      <c r="W17" s="20">
        <f>SUM($T$17:$V$17)</f>
        <v>0</v>
      </c>
      <c r="X17" s="20"/>
      <c r="Y17" s="20">
        <f>SUM($X$17:$X$17)</f>
        <v>0</v>
      </c>
      <c r="Z17" s="20">
        <f>'TR TE'!$Z$17*'TR TE'!$Z$49</f>
        <v>0</v>
      </c>
      <c r="AA17" s="20">
        <f>SUM($Z$17:$Z$17)</f>
        <v>0</v>
      </c>
      <c r="AB17" s="20">
        <f>SUMIF($L$4:$AA$4,"SUBTOTAL",$L$17:$AA$17)</f>
        <v>227.52521479318088</v>
      </c>
    </row>
    <row r="18" spans="1:28" ht="11.25" customHeight="1" x14ac:dyDescent="0.3">
      <c r="A18" s="99"/>
      <c r="B18" s="99"/>
      <c r="C18" s="99"/>
      <c r="D18" s="22" t="s">
        <v>29</v>
      </c>
      <c r="E18" s="22" t="s">
        <v>25</v>
      </c>
      <c r="F18" s="22" t="s">
        <v>25</v>
      </c>
      <c r="G18" s="23" t="s">
        <v>83</v>
      </c>
      <c r="H18" s="23" t="s">
        <v>79</v>
      </c>
      <c r="I18" s="23">
        <f>'MERCADO TE'!$U$15</f>
        <v>0</v>
      </c>
      <c r="J18" s="15"/>
      <c r="L18" s="20">
        <f>'TR TE'!$L$18*'TR TE'!$L$49</f>
        <v>0</v>
      </c>
      <c r="M18" s="20">
        <f>'TR TE'!$M$18*'TR TE'!$M$49</f>
        <v>16.110850163961594</v>
      </c>
      <c r="N18" s="20">
        <f>'TR TE'!$N$18*'TR TE'!$N$49</f>
        <v>0</v>
      </c>
      <c r="O18" s="20">
        <f>'TR TE'!$O$18*'TR TE'!$O$49</f>
        <v>0</v>
      </c>
      <c r="P18" s="20">
        <f>'TR TE'!$P$18*'TR TE'!$P$49</f>
        <v>0</v>
      </c>
      <c r="Q18" s="20">
        <f>SUM($L$18:$P$18)</f>
        <v>16.110850163961594</v>
      </c>
      <c r="R18" s="20">
        <f>'TR TE'!$R$18*'TR TE'!$R$49</f>
        <v>211.41436462921928</v>
      </c>
      <c r="S18" s="20">
        <f>SUM($R$18:$R$18)</f>
        <v>211.41436462921928</v>
      </c>
      <c r="T18" s="20">
        <f>'TR TE'!$T$18*'TR TE'!$T$49</f>
        <v>0</v>
      </c>
      <c r="U18" s="20">
        <f>'TR TE'!$U$18*'TR TE'!$U$49</f>
        <v>0</v>
      </c>
      <c r="V18" s="20">
        <f>'TR TE'!$V$18*'TR TE'!$V$49</f>
        <v>0</v>
      </c>
      <c r="W18" s="20">
        <f>SUM($T$18:$V$18)</f>
        <v>0</v>
      </c>
      <c r="X18" s="20"/>
      <c r="Y18" s="20">
        <f>SUM($X$18:$X$18)</f>
        <v>0</v>
      </c>
      <c r="Z18" s="20">
        <f>'TR TE'!$Z$18*'TR TE'!$Z$49</f>
        <v>0</v>
      </c>
      <c r="AA18" s="20">
        <f>SUM($Z$18:$Z$18)</f>
        <v>0</v>
      </c>
      <c r="AB18" s="20">
        <f>SUMIF($L$4:$AA$4,"SUBTOTAL",$L$18:$AA$18)</f>
        <v>227.52521479318088</v>
      </c>
    </row>
    <row r="19" spans="1:28" ht="11.25" customHeight="1" x14ac:dyDescent="0.3">
      <c r="A19" s="99"/>
      <c r="B19" s="99"/>
      <c r="C19" s="99"/>
      <c r="D19" s="22" t="s">
        <v>30</v>
      </c>
      <c r="E19" s="22" t="s">
        <v>25</v>
      </c>
      <c r="F19" s="22" t="s">
        <v>25</v>
      </c>
      <c r="G19" s="23" t="s">
        <v>83</v>
      </c>
      <c r="H19" s="23" t="s">
        <v>79</v>
      </c>
      <c r="I19" s="23">
        <f>'MERCADO TE'!$U$16</f>
        <v>0</v>
      </c>
      <c r="J19" s="15"/>
      <c r="L19" s="20">
        <f>'TR TE'!$L$19*'TR TE'!$L$49</f>
        <v>0</v>
      </c>
      <c r="M19" s="20">
        <f>'TR TE'!$M$19*'TR TE'!$M$49</f>
        <v>16.110850163961594</v>
      </c>
      <c r="N19" s="20">
        <f>'TR TE'!$N$19*'TR TE'!$N$49</f>
        <v>0</v>
      </c>
      <c r="O19" s="20">
        <f>'TR TE'!$O$19*'TR TE'!$O$49</f>
        <v>0</v>
      </c>
      <c r="P19" s="20">
        <f>'TR TE'!$P$19*'TR TE'!$P$49</f>
        <v>0</v>
      </c>
      <c r="Q19" s="20">
        <f>SUM($L$19:$P$19)</f>
        <v>16.110850163961594</v>
      </c>
      <c r="R19" s="20">
        <f>'TR TE'!$R$19*'TR TE'!$R$49</f>
        <v>211.41436462921928</v>
      </c>
      <c r="S19" s="20">
        <f>SUM($R$19:$R$19)</f>
        <v>211.41436462921928</v>
      </c>
      <c r="T19" s="20">
        <f>'TR TE'!$T$19*'TR TE'!$T$49</f>
        <v>0</v>
      </c>
      <c r="U19" s="20">
        <f>'TR TE'!$U$19*'TR TE'!$U$49</f>
        <v>0</v>
      </c>
      <c r="V19" s="20">
        <f>'TR TE'!$V$19*'TR TE'!$V$49</f>
        <v>0</v>
      </c>
      <c r="W19" s="20">
        <f>SUM($T$19:$V$19)</f>
        <v>0</v>
      </c>
      <c r="X19" s="20"/>
      <c r="Y19" s="20">
        <f>SUM($X$19:$X$19)</f>
        <v>0</v>
      </c>
      <c r="Z19" s="20">
        <f>'TR TE'!$Z$19*'TR TE'!$Z$49</f>
        <v>0</v>
      </c>
      <c r="AA19" s="20">
        <f>SUM($Z$19:$Z$19)</f>
        <v>0</v>
      </c>
      <c r="AB19" s="20">
        <f>SUMIF($L$4:$AA$4,"SUBTOTAL",$L$19:$AA$19)</f>
        <v>227.52521479318088</v>
      </c>
    </row>
    <row r="20" spans="1:28" ht="11.25" customHeight="1" x14ac:dyDescent="0.3">
      <c r="A20" s="99"/>
      <c r="B20" s="99"/>
      <c r="C20" s="99"/>
      <c r="D20" s="22" t="s">
        <v>31</v>
      </c>
      <c r="E20" s="22" t="s">
        <v>25</v>
      </c>
      <c r="F20" s="22" t="s">
        <v>25</v>
      </c>
      <c r="G20" s="23" t="s">
        <v>83</v>
      </c>
      <c r="H20" s="23" t="s">
        <v>79</v>
      </c>
      <c r="I20" s="23">
        <f>'MERCADO TE'!$U$17</f>
        <v>0</v>
      </c>
      <c r="J20" s="15"/>
      <c r="L20" s="20">
        <f>'TR TE'!$L$20*'TR TE'!$L$49</f>
        <v>0</v>
      </c>
      <c r="M20" s="20">
        <f>'TR TE'!$M$20*'TR TE'!$M$49</f>
        <v>16.110850163961594</v>
      </c>
      <c r="N20" s="20">
        <f>'TR TE'!$N$20*'TR TE'!$N$49</f>
        <v>0</v>
      </c>
      <c r="O20" s="20">
        <f>'TR TE'!$O$20*'TR TE'!$O$49</f>
        <v>0</v>
      </c>
      <c r="P20" s="20">
        <f>'TR TE'!$P$20*'TR TE'!$P$49</f>
        <v>0</v>
      </c>
      <c r="Q20" s="20">
        <f>SUM($L$20:$P$20)</f>
        <v>16.110850163961594</v>
      </c>
      <c r="R20" s="20">
        <f>'TR TE'!$R$20*'TR TE'!$R$49</f>
        <v>211.41436462921928</v>
      </c>
      <c r="S20" s="20">
        <f>SUM($R$20:$R$20)</f>
        <v>211.41436462921928</v>
      </c>
      <c r="T20" s="20">
        <f>'TR TE'!$T$20*'TR TE'!$T$49</f>
        <v>0</v>
      </c>
      <c r="U20" s="20">
        <f>'TR TE'!$U$20*'TR TE'!$U$49</f>
        <v>0</v>
      </c>
      <c r="V20" s="20">
        <f>'TR TE'!$V$20*'TR TE'!$V$49</f>
        <v>0</v>
      </c>
      <c r="W20" s="20">
        <f>SUM($T$20:$V$20)</f>
        <v>0</v>
      </c>
      <c r="X20" s="20"/>
      <c r="Y20" s="20">
        <f>SUM($X$20:$X$20)</f>
        <v>0</v>
      </c>
      <c r="Z20" s="20">
        <f>'TR TE'!$Z$20*'TR TE'!$Z$49</f>
        <v>0</v>
      </c>
      <c r="AA20" s="20">
        <f>SUM($Z$20:$Z$20)</f>
        <v>0</v>
      </c>
      <c r="AB20" s="20">
        <f>SUMIF($L$4:$AA$4,"SUBTOTAL",$L$20:$AA$20)</f>
        <v>227.52521479318088</v>
      </c>
    </row>
    <row r="21" spans="1:28" ht="11.25" customHeight="1" x14ac:dyDescent="0.3">
      <c r="A21" s="99" t="s">
        <v>40</v>
      </c>
      <c r="B21" s="99" t="s">
        <v>78</v>
      </c>
      <c r="C21" s="99" t="s">
        <v>41</v>
      </c>
      <c r="D21" s="99" t="s">
        <v>25</v>
      </c>
      <c r="E21" s="99" t="s">
        <v>25</v>
      </c>
      <c r="F21" s="99" t="s">
        <v>25</v>
      </c>
      <c r="G21" s="23" t="s">
        <v>80</v>
      </c>
      <c r="H21" s="23" t="s">
        <v>79</v>
      </c>
      <c r="I21" s="23">
        <f>'MERCADO TE'!$U$18</f>
        <v>0</v>
      </c>
      <c r="J21" s="15"/>
      <c r="L21" s="20">
        <f>'TR TE'!$L$21*'TR TE'!$L$49</f>
        <v>0</v>
      </c>
      <c r="M21" s="20">
        <f>'TR TE'!$M$21*'TR TE'!$M$49</f>
        <v>16.110850163961594</v>
      </c>
      <c r="N21" s="20">
        <f>'TR TE'!$N$21*'TR TE'!$N$49</f>
        <v>0</v>
      </c>
      <c r="O21" s="20">
        <f>'TR TE'!$O$21*'TR TE'!$O$49</f>
        <v>0</v>
      </c>
      <c r="P21" s="20">
        <f>'TR TE'!$P$21*'TR TE'!$P$49</f>
        <v>0</v>
      </c>
      <c r="Q21" s="20">
        <f>SUM($L$21:$P$21)</f>
        <v>16.110850163961594</v>
      </c>
      <c r="R21" s="20">
        <f>'TR TE'!$R$21*'TR TE'!$R$49</f>
        <v>211.41436462921928</v>
      </c>
      <c r="S21" s="20">
        <f>SUM($R$21:$R$21)</f>
        <v>211.41436462921928</v>
      </c>
      <c r="T21" s="20">
        <f>'TR TE'!$T$21*'TR TE'!$T$49</f>
        <v>0</v>
      </c>
      <c r="U21" s="20">
        <f>'TR TE'!$U$21*'TR TE'!$U$49</f>
        <v>0</v>
      </c>
      <c r="V21" s="20">
        <f>'TR TE'!$V$21*'TR TE'!$V$49</f>
        <v>0</v>
      </c>
      <c r="W21" s="20">
        <f>SUM($T$21:$V$21)</f>
        <v>0</v>
      </c>
      <c r="X21" s="20"/>
      <c r="Y21" s="20">
        <f>SUM($X$21:$X$21)</f>
        <v>0</v>
      </c>
      <c r="Z21" s="20">
        <f>'TR TE'!$Z$21*'TR TE'!$Z$49</f>
        <v>0</v>
      </c>
      <c r="AA21" s="20">
        <f>SUM($Z$21:$Z$21)</f>
        <v>0</v>
      </c>
      <c r="AB21" s="20">
        <f>SUMIF($L$4:$AA$4,"SUBTOTAL",$L$21:$AA$21)</f>
        <v>227.52521479318088</v>
      </c>
    </row>
    <row r="22" spans="1:28" ht="11.25" customHeight="1" x14ac:dyDescent="0.3">
      <c r="A22" s="99"/>
      <c r="B22" s="99"/>
      <c r="C22" s="99"/>
      <c r="D22" s="99"/>
      <c r="E22" s="99"/>
      <c r="F22" s="99"/>
      <c r="G22" s="23" t="s">
        <v>91</v>
      </c>
      <c r="H22" s="23" t="s">
        <v>79</v>
      </c>
      <c r="I22" s="23">
        <f>'MERCADO TE'!$U$19</f>
        <v>0</v>
      </c>
      <c r="J22" s="15"/>
      <c r="L22" s="20">
        <f>'TR TE'!$L$22*'TR TE'!$L$49</f>
        <v>0</v>
      </c>
      <c r="M22" s="20">
        <f>'TR TE'!$M$22*'TR TE'!$M$49</f>
        <v>16.110850163961594</v>
      </c>
      <c r="N22" s="20">
        <f>'TR TE'!$N$22*'TR TE'!$N$49</f>
        <v>0</v>
      </c>
      <c r="O22" s="20">
        <f>'TR TE'!$O$22*'TR TE'!$O$49</f>
        <v>0</v>
      </c>
      <c r="P22" s="20">
        <f>'TR TE'!$P$22*'TR TE'!$P$49</f>
        <v>0</v>
      </c>
      <c r="Q22" s="20">
        <f>SUM($L$22:$P$22)</f>
        <v>16.110850163961594</v>
      </c>
      <c r="R22" s="20">
        <f>'TR TE'!$R$22*'TR TE'!$R$49</f>
        <v>211.41436462921928</v>
      </c>
      <c r="S22" s="20">
        <f>SUM($R$22:$R$22)</f>
        <v>211.41436462921928</v>
      </c>
      <c r="T22" s="20">
        <f>'TR TE'!$T$22*'TR TE'!$T$49</f>
        <v>0</v>
      </c>
      <c r="U22" s="20">
        <f>'TR TE'!$U$22*'TR TE'!$U$49</f>
        <v>0</v>
      </c>
      <c r="V22" s="20">
        <f>'TR TE'!$V$22*'TR TE'!$V$49</f>
        <v>0</v>
      </c>
      <c r="W22" s="20">
        <f>SUM($T$22:$V$22)</f>
        <v>0</v>
      </c>
      <c r="X22" s="20"/>
      <c r="Y22" s="20">
        <f>SUM($X$22:$X$22)</f>
        <v>0</v>
      </c>
      <c r="Z22" s="20">
        <f>'TR TE'!$Z$22*'TR TE'!$Z$49</f>
        <v>0</v>
      </c>
      <c r="AA22" s="20">
        <f>SUM($Z$22:$Z$22)</f>
        <v>0</v>
      </c>
      <c r="AB22" s="20">
        <f>SUMIF($L$4:$AA$4,"SUBTOTAL",$L$22:$AA$22)</f>
        <v>227.52521479318088</v>
      </c>
    </row>
    <row r="23" spans="1:28" ht="11.25" customHeight="1" x14ac:dyDescent="0.3">
      <c r="A23" s="99"/>
      <c r="B23" s="99"/>
      <c r="C23" s="99"/>
      <c r="D23" s="99"/>
      <c r="E23" s="99"/>
      <c r="F23" s="99"/>
      <c r="G23" s="23" t="s">
        <v>81</v>
      </c>
      <c r="H23" s="23" t="s">
        <v>79</v>
      </c>
      <c r="I23" s="23">
        <f>'MERCADO TE'!$U$20</f>
        <v>0</v>
      </c>
      <c r="J23" s="15"/>
      <c r="L23" s="20">
        <f>'TR TE'!$L$23*'TR TE'!$L$49</f>
        <v>0</v>
      </c>
      <c r="M23" s="20">
        <f>'TR TE'!$M$23*'TR TE'!$M$49</f>
        <v>16.110850163961594</v>
      </c>
      <c r="N23" s="20">
        <f>'TR TE'!$N$23*'TR TE'!$N$49</f>
        <v>0</v>
      </c>
      <c r="O23" s="20">
        <f>'TR TE'!$O$23*'TR TE'!$O$49</f>
        <v>0</v>
      </c>
      <c r="P23" s="20">
        <f>'TR TE'!$P$23*'TR TE'!$P$49</f>
        <v>0</v>
      </c>
      <c r="Q23" s="20">
        <f>SUM($L$23:$P$23)</f>
        <v>16.110850163961594</v>
      </c>
      <c r="R23" s="20">
        <f>'TR TE'!$R$23*'TR TE'!$R$49</f>
        <v>211.41436462921928</v>
      </c>
      <c r="S23" s="20">
        <f>SUM($R$23:$R$23)</f>
        <v>211.41436462921928</v>
      </c>
      <c r="T23" s="20">
        <f>'TR TE'!$T$23*'TR TE'!$T$49</f>
        <v>0</v>
      </c>
      <c r="U23" s="20">
        <f>'TR TE'!$U$23*'TR TE'!$U$49</f>
        <v>0</v>
      </c>
      <c r="V23" s="20">
        <f>'TR TE'!$V$23*'TR TE'!$V$49</f>
        <v>0</v>
      </c>
      <c r="W23" s="20">
        <f>SUM($T$23:$V$23)</f>
        <v>0</v>
      </c>
      <c r="X23" s="20"/>
      <c r="Y23" s="20">
        <f>SUM($X$23:$X$23)</f>
        <v>0</v>
      </c>
      <c r="Z23" s="20">
        <f>'TR TE'!$Z$23*'TR TE'!$Z$49</f>
        <v>0</v>
      </c>
      <c r="AA23" s="20">
        <f>SUM($Z$23:$Z$23)</f>
        <v>0</v>
      </c>
      <c r="AB23" s="20">
        <f>SUMIF($L$4:$AA$4,"SUBTOTAL",$L$23:$AA$23)</f>
        <v>227.52521479318088</v>
      </c>
    </row>
    <row r="24" spans="1:28" ht="11.25" customHeight="1" x14ac:dyDescent="0.3">
      <c r="A24" s="99"/>
      <c r="B24" s="22" t="s">
        <v>82</v>
      </c>
      <c r="C24" s="22" t="s">
        <v>41</v>
      </c>
      <c r="D24" s="22" t="s">
        <v>25</v>
      </c>
      <c r="E24" s="22" t="s">
        <v>25</v>
      </c>
      <c r="F24" s="22" t="s">
        <v>25</v>
      </c>
      <c r="G24" s="23" t="s">
        <v>83</v>
      </c>
      <c r="H24" s="23" t="s">
        <v>79</v>
      </c>
      <c r="I24" s="23">
        <f>'MERCADO TE'!$U$21</f>
        <v>15119.107000000002</v>
      </c>
      <c r="J24" s="15"/>
      <c r="L24" s="20">
        <f>'TR TE'!$L$24*'TR TE'!$L$49</f>
        <v>0</v>
      </c>
      <c r="M24" s="20">
        <f>'TR TE'!$M$24*'TR TE'!$M$49</f>
        <v>16.110850163961594</v>
      </c>
      <c r="N24" s="20">
        <f>'TR TE'!$N$24*'TR TE'!$N$49</f>
        <v>0</v>
      </c>
      <c r="O24" s="20">
        <f>'TR TE'!$O$24*'TR TE'!$O$49</f>
        <v>0</v>
      </c>
      <c r="P24" s="20">
        <f>'TR TE'!$P$24*'TR TE'!$P$49</f>
        <v>0</v>
      </c>
      <c r="Q24" s="20">
        <f>SUM($L$24:$P$24)</f>
        <v>16.110850163961594</v>
      </c>
      <c r="R24" s="20">
        <f>'TR TE'!$R$24*'TR TE'!$R$49</f>
        <v>211.41436462921928</v>
      </c>
      <c r="S24" s="20">
        <f>SUM($R$24:$R$24)</f>
        <v>211.41436462921928</v>
      </c>
      <c r="T24" s="20">
        <f>'TR TE'!$T$24*'TR TE'!$T$49</f>
        <v>0</v>
      </c>
      <c r="U24" s="20">
        <f>'TR TE'!$U$24*'TR TE'!$U$49</f>
        <v>0</v>
      </c>
      <c r="V24" s="20">
        <f>'TR TE'!$V$24*'TR TE'!$V$49</f>
        <v>0</v>
      </c>
      <c r="W24" s="20">
        <f>SUM($T$24:$V$24)</f>
        <v>0</v>
      </c>
      <c r="X24" s="20"/>
      <c r="Y24" s="20">
        <f>SUM($X$24:$X$24)</f>
        <v>0</v>
      </c>
      <c r="Z24" s="20">
        <f>'TR TE'!$Z$24*'TR TE'!$Z$49</f>
        <v>0</v>
      </c>
      <c r="AA24" s="20">
        <f>SUM($Z$24:$Z$24)</f>
        <v>0</v>
      </c>
      <c r="AB24" s="20">
        <f>SUMIF($L$4:$AA$4,"SUBTOTAL",$L$24:$AA$24)</f>
        <v>227.52521479318088</v>
      </c>
    </row>
    <row r="25" spans="1:28" ht="11.25" customHeight="1" x14ac:dyDescent="0.3">
      <c r="A25" s="99"/>
      <c r="B25" s="99" t="s">
        <v>78</v>
      </c>
      <c r="C25" s="99" t="s">
        <v>41</v>
      </c>
      <c r="D25" s="99" t="s">
        <v>95</v>
      </c>
      <c r="E25" s="99" t="s">
        <v>25</v>
      </c>
      <c r="F25" s="99" t="s">
        <v>25</v>
      </c>
      <c r="G25" s="23" t="s">
        <v>80</v>
      </c>
      <c r="H25" s="23" t="s">
        <v>79</v>
      </c>
      <c r="I25" s="23">
        <f>'MERCADO TE'!$U$22</f>
        <v>0</v>
      </c>
      <c r="J25" s="15"/>
      <c r="L25" s="20">
        <f>'TR TE'!$L$25*'TR TE'!$L$49</f>
        <v>0</v>
      </c>
      <c r="M25" s="20">
        <f>'TR TE'!$M$25*'TR TE'!$M$49</f>
        <v>16.110850163961594</v>
      </c>
      <c r="N25" s="20">
        <f>'TR TE'!$N$25*'TR TE'!$N$49</f>
        <v>0</v>
      </c>
      <c r="O25" s="20">
        <f>'TR TE'!$O$25*'TR TE'!$O$49</f>
        <v>0</v>
      </c>
      <c r="P25" s="20">
        <f>'TR TE'!$P$25*'TR TE'!$P$49</f>
        <v>0</v>
      </c>
      <c r="Q25" s="20">
        <f>SUM($L$25:$P$25)</f>
        <v>16.110850163961594</v>
      </c>
      <c r="R25" s="20">
        <f>'TR TE'!$R$25*'TR TE'!$R$49</f>
        <v>211.41436462921928</v>
      </c>
      <c r="S25" s="20">
        <f>SUM($R$25:$R$25)</f>
        <v>211.41436462921928</v>
      </c>
      <c r="T25" s="20">
        <f>'TR TE'!$T$25*'TR TE'!$T$49</f>
        <v>0</v>
      </c>
      <c r="U25" s="20">
        <f>'TR TE'!$U$25*'TR TE'!$U$49</f>
        <v>0</v>
      </c>
      <c r="V25" s="20">
        <f>'TR TE'!$V$25*'TR TE'!$V$49</f>
        <v>0</v>
      </c>
      <c r="W25" s="20">
        <f>SUM($T$25:$V$25)</f>
        <v>0</v>
      </c>
      <c r="X25" s="20"/>
      <c r="Y25" s="20">
        <f>SUM($X$25:$X$25)</f>
        <v>0</v>
      </c>
      <c r="Z25" s="20">
        <f>'TR TE'!$Z$25*'TR TE'!$Z$49</f>
        <v>0</v>
      </c>
      <c r="AA25" s="20">
        <f>SUM($Z$25:$Z$25)</f>
        <v>0</v>
      </c>
      <c r="AB25" s="20">
        <f>SUMIF($L$4:$AA$4,"SUBTOTAL",$L$25:$AA$25)</f>
        <v>227.52521479318088</v>
      </c>
    </row>
    <row r="26" spans="1:28" ht="11.25" customHeight="1" x14ac:dyDescent="0.3">
      <c r="A26" s="99"/>
      <c r="B26" s="99"/>
      <c r="C26" s="99"/>
      <c r="D26" s="99"/>
      <c r="E26" s="99"/>
      <c r="F26" s="99"/>
      <c r="G26" s="23" t="s">
        <v>91</v>
      </c>
      <c r="H26" s="23" t="s">
        <v>79</v>
      </c>
      <c r="I26" s="23">
        <f>'MERCADO TE'!$U$23</f>
        <v>0</v>
      </c>
      <c r="J26" s="15"/>
      <c r="L26" s="20">
        <f>'TR TE'!$L$26*'TR TE'!$L$49</f>
        <v>0</v>
      </c>
      <c r="M26" s="20">
        <f>'TR TE'!$M$26*'TR TE'!$M$49</f>
        <v>16.110850163961594</v>
      </c>
      <c r="N26" s="20">
        <f>'TR TE'!$N$26*'TR TE'!$N$49</f>
        <v>0</v>
      </c>
      <c r="O26" s="20">
        <f>'TR TE'!$O$26*'TR TE'!$O$49</f>
        <v>0</v>
      </c>
      <c r="P26" s="20">
        <f>'TR TE'!$P$26*'TR TE'!$P$49</f>
        <v>0</v>
      </c>
      <c r="Q26" s="20">
        <f>SUM($L$26:$P$26)</f>
        <v>16.110850163961594</v>
      </c>
      <c r="R26" s="20">
        <f>'TR TE'!$R$26*'TR TE'!$R$49</f>
        <v>211.41436462921928</v>
      </c>
      <c r="S26" s="20">
        <f>SUM($R$26:$R$26)</f>
        <v>211.41436462921928</v>
      </c>
      <c r="T26" s="20">
        <f>'TR TE'!$T$26*'TR TE'!$T$49</f>
        <v>0</v>
      </c>
      <c r="U26" s="20">
        <f>'TR TE'!$U$26*'TR TE'!$U$49</f>
        <v>0</v>
      </c>
      <c r="V26" s="20">
        <f>'TR TE'!$V$26*'TR TE'!$V$49</f>
        <v>0</v>
      </c>
      <c r="W26" s="20">
        <f>SUM($T$26:$V$26)</f>
        <v>0</v>
      </c>
      <c r="X26" s="20"/>
      <c r="Y26" s="20">
        <f>SUM($X$26:$X$26)</f>
        <v>0</v>
      </c>
      <c r="Z26" s="20">
        <f>'TR TE'!$Z$26*'TR TE'!$Z$49</f>
        <v>0</v>
      </c>
      <c r="AA26" s="20">
        <f>SUM($Z$26:$Z$26)</f>
        <v>0</v>
      </c>
      <c r="AB26" s="20">
        <f>SUMIF($L$4:$AA$4,"SUBTOTAL",$L$26:$AA$26)</f>
        <v>227.52521479318088</v>
      </c>
    </row>
    <row r="27" spans="1:28" ht="11.25" customHeight="1" x14ac:dyDescent="0.3">
      <c r="A27" s="99"/>
      <c r="B27" s="99"/>
      <c r="C27" s="99"/>
      <c r="D27" s="99"/>
      <c r="E27" s="99"/>
      <c r="F27" s="99"/>
      <c r="G27" s="23" t="s">
        <v>81</v>
      </c>
      <c r="H27" s="23" t="s">
        <v>79</v>
      </c>
      <c r="I27" s="23">
        <f>'MERCADO TE'!$U$24</f>
        <v>0</v>
      </c>
      <c r="J27" s="15"/>
      <c r="L27" s="20">
        <f>'TR TE'!$L$27*'TR TE'!$L$49</f>
        <v>0</v>
      </c>
      <c r="M27" s="20">
        <f>'TR TE'!$M$27*'TR TE'!$M$49</f>
        <v>16.110850163961594</v>
      </c>
      <c r="N27" s="20">
        <f>'TR TE'!$N$27*'TR TE'!$N$49</f>
        <v>0</v>
      </c>
      <c r="O27" s="20">
        <f>'TR TE'!$O$27*'TR TE'!$O$49</f>
        <v>0</v>
      </c>
      <c r="P27" s="20">
        <f>'TR TE'!$P$27*'TR TE'!$P$49</f>
        <v>0</v>
      </c>
      <c r="Q27" s="20">
        <f>SUM($L$27:$P$27)</f>
        <v>16.110850163961594</v>
      </c>
      <c r="R27" s="20">
        <f>'TR TE'!$R$27*'TR TE'!$R$49</f>
        <v>211.41436462921928</v>
      </c>
      <c r="S27" s="20">
        <f>SUM($R$27:$R$27)</f>
        <v>211.41436462921928</v>
      </c>
      <c r="T27" s="20">
        <f>'TR TE'!$T$27*'TR TE'!$T$49</f>
        <v>0</v>
      </c>
      <c r="U27" s="20">
        <f>'TR TE'!$U$27*'TR TE'!$U$49</f>
        <v>0</v>
      </c>
      <c r="V27" s="20">
        <f>'TR TE'!$V$27*'TR TE'!$V$49</f>
        <v>0</v>
      </c>
      <c r="W27" s="20">
        <f>SUM($T$27:$V$27)</f>
        <v>0</v>
      </c>
      <c r="X27" s="20"/>
      <c r="Y27" s="20">
        <f>SUM($X$27:$X$27)</f>
        <v>0</v>
      </c>
      <c r="Z27" s="20">
        <f>'TR TE'!$Z$27*'TR TE'!$Z$49</f>
        <v>0</v>
      </c>
      <c r="AA27" s="20">
        <f>SUM($Z$27:$Z$27)</f>
        <v>0</v>
      </c>
      <c r="AB27" s="20">
        <f>SUMIF($L$4:$AA$4,"SUBTOTAL",$L$27:$AA$27)</f>
        <v>227.52521479318088</v>
      </c>
    </row>
    <row r="28" spans="1:28" ht="11.25" customHeight="1" x14ac:dyDescent="0.3">
      <c r="A28" s="99"/>
      <c r="B28" s="22" t="s">
        <v>82</v>
      </c>
      <c r="C28" s="22" t="s">
        <v>41</v>
      </c>
      <c r="D28" s="22" t="s">
        <v>95</v>
      </c>
      <c r="E28" s="22" t="s">
        <v>25</v>
      </c>
      <c r="F28" s="22" t="s">
        <v>25</v>
      </c>
      <c r="G28" s="23" t="s">
        <v>83</v>
      </c>
      <c r="H28" s="23" t="s">
        <v>79</v>
      </c>
      <c r="I28" s="23">
        <f>'MERCADO TE'!$U$25</f>
        <v>0</v>
      </c>
      <c r="J28" s="15"/>
      <c r="L28" s="20">
        <f>'TR TE'!$L$28*'TR TE'!$L$49</f>
        <v>0</v>
      </c>
      <c r="M28" s="20">
        <f>'TR TE'!$M$28*'TR TE'!$M$49</f>
        <v>16.110850163961594</v>
      </c>
      <c r="N28" s="20">
        <f>'TR TE'!$N$28*'TR TE'!$N$49</f>
        <v>0</v>
      </c>
      <c r="O28" s="20">
        <f>'TR TE'!$O$28*'TR TE'!$O$49</f>
        <v>0</v>
      </c>
      <c r="P28" s="20">
        <f>'TR TE'!$P$28*'TR TE'!$P$49</f>
        <v>0</v>
      </c>
      <c r="Q28" s="20">
        <f>SUM($L$28:$P$28)</f>
        <v>16.110850163961594</v>
      </c>
      <c r="R28" s="20">
        <f>'TR TE'!$R$28*'TR TE'!$R$49</f>
        <v>211.41436462921928</v>
      </c>
      <c r="S28" s="20">
        <f>SUM($R$28:$R$28)</f>
        <v>211.41436462921928</v>
      </c>
      <c r="T28" s="20">
        <f>'TR TE'!$T$28*'TR TE'!$T$49</f>
        <v>0</v>
      </c>
      <c r="U28" s="20">
        <f>'TR TE'!$U$28*'TR TE'!$U$49</f>
        <v>0</v>
      </c>
      <c r="V28" s="20">
        <f>'TR TE'!$V$28*'TR TE'!$V$49</f>
        <v>0</v>
      </c>
      <c r="W28" s="20">
        <f>SUM($T$28:$V$28)</f>
        <v>0</v>
      </c>
      <c r="X28" s="20"/>
      <c r="Y28" s="20">
        <f>SUM($X$28:$X$28)</f>
        <v>0</v>
      </c>
      <c r="Z28" s="20">
        <f>'TR TE'!$Z$28*'TR TE'!$Z$49</f>
        <v>0</v>
      </c>
      <c r="AA28" s="20">
        <f>SUM($Z$28:$Z$28)</f>
        <v>0</v>
      </c>
      <c r="AB28" s="20">
        <f>SUMIF($L$4:$AA$4,"SUBTOTAL",$L$28:$AA$28)</f>
        <v>227.52521479318088</v>
      </c>
    </row>
    <row r="29" spans="1:28" ht="11.25" customHeight="1" x14ac:dyDescent="0.3">
      <c r="A29" s="99"/>
      <c r="B29" s="99" t="s">
        <v>78</v>
      </c>
      <c r="C29" s="99" t="s">
        <v>41</v>
      </c>
      <c r="D29" s="99" t="s">
        <v>96</v>
      </c>
      <c r="E29" s="99" t="s">
        <v>25</v>
      </c>
      <c r="F29" s="99" t="s">
        <v>25</v>
      </c>
      <c r="G29" s="23" t="s">
        <v>80</v>
      </c>
      <c r="H29" s="23" t="s">
        <v>79</v>
      </c>
      <c r="I29" s="23">
        <f>'MERCADO TE'!$U$26</f>
        <v>0</v>
      </c>
      <c r="J29" s="15"/>
      <c r="L29" s="20">
        <f>'TR TE'!$L$29*'TR TE'!$L$49</f>
        <v>0</v>
      </c>
      <c r="M29" s="20">
        <f>'TR TE'!$M$29*'TR TE'!$M$49</f>
        <v>16.110850163961594</v>
      </c>
      <c r="N29" s="20">
        <f>'TR TE'!$N$29*'TR TE'!$N$49</f>
        <v>0</v>
      </c>
      <c r="O29" s="20">
        <f>'TR TE'!$O$29*'TR TE'!$O$49</f>
        <v>0</v>
      </c>
      <c r="P29" s="20">
        <f>'TR TE'!$P$29*'TR TE'!$P$49</f>
        <v>0</v>
      </c>
      <c r="Q29" s="20">
        <f>SUM($L$29:$P$29)</f>
        <v>16.110850163961594</v>
      </c>
      <c r="R29" s="20">
        <f>'TR TE'!$R$29*'TR TE'!$R$49</f>
        <v>211.41436462921928</v>
      </c>
      <c r="S29" s="20">
        <f>SUM($R$29:$R$29)</f>
        <v>211.41436462921928</v>
      </c>
      <c r="T29" s="20">
        <f>'TR TE'!$T$29*'TR TE'!$T$49</f>
        <v>0</v>
      </c>
      <c r="U29" s="20">
        <f>'TR TE'!$U$29*'TR TE'!$U$49</f>
        <v>0</v>
      </c>
      <c r="V29" s="20">
        <f>'TR TE'!$V$29*'TR TE'!$V$49</f>
        <v>0</v>
      </c>
      <c r="W29" s="20">
        <f>SUM($T$29:$V$29)</f>
        <v>0</v>
      </c>
      <c r="X29" s="20"/>
      <c r="Y29" s="20">
        <f>SUM($X$29:$X$29)</f>
        <v>0</v>
      </c>
      <c r="Z29" s="20">
        <f>'TR TE'!$Z$29*'TR TE'!$Z$49</f>
        <v>0</v>
      </c>
      <c r="AA29" s="20">
        <f>SUM($Z$29:$Z$29)</f>
        <v>0</v>
      </c>
      <c r="AB29" s="20">
        <f>SUMIF($L$4:$AA$4,"SUBTOTAL",$L$29:$AA$29)</f>
        <v>227.52521479318088</v>
      </c>
    </row>
    <row r="30" spans="1:28" ht="11.25" customHeight="1" x14ac:dyDescent="0.3">
      <c r="A30" s="99"/>
      <c r="B30" s="99"/>
      <c r="C30" s="99"/>
      <c r="D30" s="99"/>
      <c r="E30" s="99"/>
      <c r="F30" s="99"/>
      <c r="G30" s="23" t="s">
        <v>91</v>
      </c>
      <c r="H30" s="23" t="s">
        <v>79</v>
      </c>
      <c r="I30" s="23">
        <f>'MERCADO TE'!$U$27</f>
        <v>0</v>
      </c>
      <c r="J30" s="15"/>
      <c r="L30" s="20">
        <f>'TR TE'!$L$30*'TR TE'!$L$49</f>
        <v>0</v>
      </c>
      <c r="M30" s="20">
        <f>'TR TE'!$M$30*'TR TE'!$M$49</f>
        <v>16.110850163961594</v>
      </c>
      <c r="N30" s="20">
        <f>'TR TE'!$N$30*'TR TE'!$N$49</f>
        <v>0</v>
      </c>
      <c r="O30" s="20">
        <f>'TR TE'!$O$30*'TR TE'!$O$49</f>
        <v>0</v>
      </c>
      <c r="P30" s="20">
        <f>'TR TE'!$P$30*'TR TE'!$P$49</f>
        <v>0</v>
      </c>
      <c r="Q30" s="20">
        <f>SUM($L$30:$P$30)</f>
        <v>16.110850163961594</v>
      </c>
      <c r="R30" s="20">
        <f>'TR TE'!$R$30*'TR TE'!$R$49</f>
        <v>211.41436462921928</v>
      </c>
      <c r="S30" s="20">
        <f>SUM($R$30:$R$30)</f>
        <v>211.41436462921928</v>
      </c>
      <c r="T30" s="20">
        <f>'TR TE'!$T$30*'TR TE'!$T$49</f>
        <v>0</v>
      </c>
      <c r="U30" s="20">
        <f>'TR TE'!$U$30*'TR TE'!$U$49</f>
        <v>0</v>
      </c>
      <c r="V30" s="20">
        <f>'TR TE'!$V$30*'TR TE'!$V$49</f>
        <v>0</v>
      </c>
      <c r="W30" s="20">
        <f>SUM($T$30:$V$30)</f>
        <v>0</v>
      </c>
      <c r="X30" s="20"/>
      <c r="Y30" s="20">
        <f>SUM($X$30:$X$30)</f>
        <v>0</v>
      </c>
      <c r="Z30" s="20">
        <f>'TR TE'!$Z$30*'TR TE'!$Z$49</f>
        <v>0</v>
      </c>
      <c r="AA30" s="20">
        <f>SUM($Z$30:$Z$30)</f>
        <v>0</v>
      </c>
      <c r="AB30" s="20">
        <f>SUMIF($L$4:$AA$4,"SUBTOTAL",$L$30:$AA$30)</f>
        <v>227.52521479318088</v>
      </c>
    </row>
    <row r="31" spans="1:28" ht="11.25" customHeight="1" x14ac:dyDescent="0.3">
      <c r="A31" s="99"/>
      <c r="B31" s="99"/>
      <c r="C31" s="99"/>
      <c r="D31" s="99"/>
      <c r="E31" s="99"/>
      <c r="F31" s="99"/>
      <c r="G31" s="23" t="s">
        <v>81</v>
      </c>
      <c r="H31" s="23" t="s">
        <v>79</v>
      </c>
      <c r="I31" s="23">
        <f>'MERCADO TE'!$U$28</f>
        <v>0</v>
      </c>
      <c r="J31" s="15"/>
      <c r="L31" s="20">
        <f>'TR TE'!$L$31*'TR TE'!$L$49</f>
        <v>0</v>
      </c>
      <c r="M31" s="20">
        <f>'TR TE'!$M$31*'TR TE'!$M$49</f>
        <v>16.110850163961594</v>
      </c>
      <c r="N31" s="20">
        <f>'TR TE'!$N$31*'TR TE'!$N$49</f>
        <v>0</v>
      </c>
      <c r="O31" s="20">
        <f>'TR TE'!$O$31*'TR TE'!$O$49</f>
        <v>0</v>
      </c>
      <c r="P31" s="20">
        <f>'TR TE'!$P$31*'TR TE'!$P$49</f>
        <v>0</v>
      </c>
      <c r="Q31" s="20">
        <f>SUM($L$31:$P$31)</f>
        <v>16.110850163961594</v>
      </c>
      <c r="R31" s="20">
        <f>'TR TE'!$R$31*'TR TE'!$R$49</f>
        <v>211.41436462921928</v>
      </c>
      <c r="S31" s="20">
        <f>SUM($R$31:$R$31)</f>
        <v>211.41436462921928</v>
      </c>
      <c r="T31" s="20">
        <f>'TR TE'!$T$31*'TR TE'!$T$49</f>
        <v>0</v>
      </c>
      <c r="U31" s="20">
        <f>'TR TE'!$U$31*'TR TE'!$U$49</f>
        <v>0</v>
      </c>
      <c r="V31" s="20">
        <f>'TR TE'!$V$31*'TR TE'!$V$49</f>
        <v>0</v>
      </c>
      <c r="W31" s="20">
        <f>SUM($T$31:$V$31)</f>
        <v>0</v>
      </c>
      <c r="X31" s="20"/>
      <c r="Y31" s="20">
        <f>SUM($X$31:$X$31)</f>
        <v>0</v>
      </c>
      <c r="Z31" s="20">
        <f>'TR TE'!$Z$31*'TR TE'!$Z$49</f>
        <v>0</v>
      </c>
      <c r="AA31" s="20">
        <f>SUM($Z$31:$Z$31)</f>
        <v>0</v>
      </c>
      <c r="AB31" s="20">
        <f>SUMIF($L$4:$AA$4,"SUBTOTAL",$L$31:$AA$31)</f>
        <v>227.52521479318088</v>
      </c>
    </row>
    <row r="32" spans="1:28" ht="11.25" customHeight="1" x14ac:dyDescent="0.3">
      <c r="A32" s="99"/>
      <c r="B32" s="22" t="s">
        <v>82</v>
      </c>
      <c r="C32" s="22" t="s">
        <v>41</v>
      </c>
      <c r="D32" s="22" t="s">
        <v>96</v>
      </c>
      <c r="E32" s="22" t="s">
        <v>25</v>
      </c>
      <c r="F32" s="22" t="s">
        <v>25</v>
      </c>
      <c r="G32" s="23" t="s">
        <v>83</v>
      </c>
      <c r="H32" s="23" t="s">
        <v>79</v>
      </c>
      <c r="I32" s="23">
        <f>'MERCADO TE'!$U$29</f>
        <v>0</v>
      </c>
      <c r="J32" s="15"/>
      <c r="L32" s="20">
        <f>'TR TE'!$L$32*'TR TE'!$L$49</f>
        <v>0</v>
      </c>
      <c r="M32" s="20">
        <f>'TR TE'!$M$32*'TR TE'!$M$49</f>
        <v>16.110850163961594</v>
      </c>
      <c r="N32" s="20">
        <f>'TR TE'!$N$32*'TR TE'!$N$49</f>
        <v>0</v>
      </c>
      <c r="O32" s="20">
        <f>'TR TE'!$O$32*'TR TE'!$O$49</f>
        <v>0</v>
      </c>
      <c r="P32" s="20">
        <f>'TR TE'!$P$32*'TR TE'!$P$49</f>
        <v>0</v>
      </c>
      <c r="Q32" s="20">
        <f>SUM($L$32:$P$32)</f>
        <v>16.110850163961594</v>
      </c>
      <c r="R32" s="20">
        <f>'TR TE'!$R$32*'TR TE'!$R$49</f>
        <v>211.41436462921928</v>
      </c>
      <c r="S32" s="20">
        <f>SUM($R$32:$R$32)</f>
        <v>211.41436462921928</v>
      </c>
      <c r="T32" s="20">
        <f>'TR TE'!$T$32*'TR TE'!$T$49</f>
        <v>0</v>
      </c>
      <c r="U32" s="20">
        <f>'TR TE'!$U$32*'TR TE'!$U$49</f>
        <v>0</v>
      </c>
      <c r="V32" s="20">
        <f>'TR TE'!$V$32*'TR TE'!$V$49</f>
        <v>0</v>
      </c>
      <c r="W32" s="20">
        <f>SUM($T$32:$V$32)</f>
        <v>0</v>
      </c>
      <c r="X32" s="20"/>
      <c r="Y32" s="20">
        <f>SUM($X$32:$X$32)</f>
        <v>0</v>
      </c>
      <c r="Z32" s="20">
        <f>'TR TE'!$Z$32*'TR TE'!$Z$49</f>
        <v>0</v>
      </c>
      <c r="AA32" s="20">
        <f>SUM($Z$32:$Z$32)</f>
        <v>0</v>
      </c>
      <c r="AB32" s="20">
        <f>SUMIF($L$4:$AA$4,"SUBTOTAL",$L$32:$AA$32)</f>
        <v>227.52521479318088</v>
      </c>
    </row>
    <row r="33" spans="1:28" ht="11.25" customHeight="1" x14ac:dyDescent="0.3">
      <c r="A33" s="99"/>
      <c r="B33" s="99" t="s">
        <v>93</v>
      </c>
      <c r="C33" s="99" t="s">
        <v>41</v>
      </c>
      <c r="D33" s="22" t="s">
        <v>25</v>
      </c>
      <c r="E33" s="22" t="s">
        <v>25</v>
      </c>
      <c r="F33" s="22" t="s">
        <v>25</v>
      </c>
      <c r="G33" s="23" t="s">
        <v>83</v>
      </c>
      <c r="H33" s="23" t="s">
        <v>79</v>
      </c>
      <c r="I33" s="23">
        <f>'MERCADO TE'!$U$30</f>
        <v>0</v>
      </c>
      <c r="J33" s="15"/>
      <c r="L33" s="20">
        <f>'TR TE'!$L$33*'TR TE'!$L$49</f>
        <v>0</v>
      </c>
      <c r="M33" s="20">
        <f>'TR TE'!$M$33*'TR TE'!$M$49</f>
        <v>16.110850163961594</v>
      </c>
      <c r="N33" s="20">
        <f>'TR TE'!$N$33*'TR TE'!$N$49</f>
        <v>0</v>
      </c>
      <c r="O33" s="20">
        <f>'TR TE'!$O$33*'TR TE'!$O$49</f>
        <v>0</v>
      </c>
      <c r="P33" s="20">
        <f>'TR TE'!$P$33*'TR TE'!$P$49</f>
        <v>0</v>
      </c>
      <c r="Q33" s="20">
        <f>SUM($L$33:$P$33)</f>
        <v>16.110850163961594</v>
      </c>
      <c r="R33" s="20">
        <f>'TR TE'!$R$33*'TR TE'!$R$49</f>
        <v>211.41436462921928</v>
      </c>
      <c r="S33" s="20">
        <f>SUM($R$33:$R$33)</f>
        <v>211.41436462921928</v>
      </c>
      <c r="T33" s="20">
        <f>'TR TE'!$T$33*'TR TE'!$T$49</f>
        <v>0</v>
      </c>
      <c r="U33" s="20">
        <f>'TR TE'!$U$33*'TR TE'!$U$49</f>
        <v>0</v>
      </c>
      <c r="V33" s="20">
        <f>'TR TE'!$V$33*'TR TE'!$V$49</f>
        <v>0</v>
      </c>
      <c r="W33" s="20">
        <f>SUM($T$33:$V$33)</f>
        <v>0</v>
      </c>
      <c r="X33" s="20"/>
      <c r="Y33" s="20">
        <f>SUM($X$33:$X$33)</f>
        <v>0</v>
      </c>
      <c r="Z33" s="20">
        <f>'TR TE'!$Z$33*'TR TE'!$Z$49</f>
        <v>0</v>
      </c>
      <c r="AA33" s="20">
        <f>SUM($Z$33:$Z$33)</f>
        <v>0</v>
      </c>
      <c r="AB33" s="20">
        <f>SUMIF($L$4:$AA$4,"SUBTOTAL",$L$33:$AA$33)</f>
        <v>227.52521479318088</v>
      </c>
    </row>
    <row r="34" spans="1:28" ht="11.25" customHeight="1" x14ac:dyDescent="0.3">
      <c r="A34" s="99"/>
      <c r="B34" s="99"/>
      <c r="C34" s="99"/>
      <c r="D34" s="22" t="s">
        <v>95</v>
      </c>
      <c r="E34" s="22" t="s">
        <v>25</v>
      </c>
      <c r="F34" s="22" t="s">
        <v>25</v>
      </c>
      <c r="G34" s="23" t="s">
        <v>83</v>
      </c>
      <c r="H34" s="23" t="s">
        <v>79</v>
      </c>
      <c r="I34" s="23">
        <f>'MERCADO TE'!$U$31</f>
        <v>0</v>
      </c>
      <c r="J34" s="15"/>
      <c r="L34" s="20">
        <f>'TR TE'!$L$34*'TR TE'!$L$49</f>
        <v>0</v>
      </c>
      <c r="M34" s="20">
        <f>'TR TE'!$M$34*'TR TE'!$M$49</f>
        <v>16.110850163961594</v>
      </c>
      <c r="N34" s="20">
        <f>'TR TE'!$N$34*'TR TE'!$N$49</f>
        <v>0</v>
      </c>
      <c r="O34" s="20">
        <f>'TR TE'!$O$34*'TR TE'!$O$49</f>
        <v>0</v>
      </c>
      <c r="P34" s="20">
        <f>'TR TE'!$P$34*'TR TE'!$P$49</f>
        <v>0</v>
      </c>
      <c r="Q34" s="20">
        <f>SUM($L$34:$P$34)</f>
        <v>16.110850163961594</v>
      </c>
      <c r="R34" s="20">
        <f>'TR TE'!$R$34*'TR TE'!$R$49</f>
        <v>211.41436462921928</v>
      </c>
      <c r="S34" s="20">
        <f>SUM($R$34:$R$34)</f>
        <v>211.41436462921928</v>
      </c>
      <c r="T34" s="20">
        <f>'TR TE'!$T$34*'TR TE'!$T$49</f>
        <v>0</v>
      </c>
      <c r="U34" s="20">
        <f>'TR TE'!$U$34*'TR TE'!$U$49</f>
        <v>0</v>
      </c>
      <c r="V34" s="20">
        <f>'TR TE'!$V$34*'TR TE'!$V$49</f>
        <v>0</v>
      </c>
      <c r="W34" s="20">
        <f>SUM($T$34:$V$34)</f>
        <v>0</v>
      </c>
      <c r="X34" s="20"/>
      <c r="Y34" s="20">
        <f>SUM($X$34:$X$34)</f>
        <v>0</v>
      </c>
      <c r="Z34" s="20">
        <f>'TR TE'!$Z$34*'TR TE'!$Z$49</f>
        <v>0</v>
      </c>
      <c r="AA34" s="20">
        <f>SUM($Z$34:$Z$34)</f>
        <v>0</v>
      </c>
      <c r="AB34" s="20">
        <f>SUMIF($L$4:$AA$4,"SUBTOTAL",$L$34:$AA$34)</f>
        <v>227.52521479318088</v>
      </c>
    </row>
    <row r="35" spans="1:28" ht="11.25" customHeight="1" x14ac:dyDescent="0.3">
      <c r="A35" s="99"/>
      <c r="B35" s="99"/>
      <c r="C35" s="99"/>
      <c r="D35" s="22" t="s">
        <v>96</v>
      </c>
      <c r="E35" s="22" t="s">
        <v>25</v>
      </c>
      <c r="F35" s="22" t="s">
        <v>25</v>
      </c>
      <c r="G35" s="23" t="s">
        <v>83</v>
      </c>
      <c r="H35" s="23" t="s">
        <v>79</v>
      </c>
      <c r="I35" s="23">
        <f>'MERCADO TE'!$U$32</f>
        <v>0</v>
      </c>
      <c r="J35" s="15"/>
      <c r="L35" s="20">
        <f>'TR TE'!$L$35*'TR TE'!$L$49</f>
        <v>0</v>
      </c>
      <c r="M35" s="20">
        <f>'TR TE'!$M$35*'TR TE'!$M$49</f>
        <v>16.110850163961594</v>
      </c>
      <c r="N35" s="20">
        <f>'TR TE'!$N$35*'TR TE'!$N$49</f>
        <v>0</v>
      </c>
      <c r="O35" s="20">
        <f>'TR TE'!$O$35*'TR TE'!$O$49</f>
        <v>0</v>
      </c>
      <c r="P35" s="20">
        <f>'TR TE'!$P$35*'TR TE'!$P$49</f>
        <v>0</v>
      </c>
      <c r="Q35" s="20">
        <f>SUM($L$35:$P$35)</f>
        <v>16.110850163961594</v>
      </c>
      <c r="R35" s="20">
        <f>'TR TE'!$R$35*'TR TE'!$R$49</f>
        <v>211.41436462921928</v>
      </c>
      <c r="S35" s="20">
        <f>SUM($R$35:$R$35)</f>
        <v>211.41436462921928</v>
      </c>
      <c r="T35" s="20">
        <f>'TR TE'!$T$35*'TR TE'!$T$49</f>
        <v>0</v>
      </c>
      <c r="U35" s="20">
        <f>'TR TE'!$U$35*'TR TE'!$U$49</f>
        <v>0</v>
      </c>
      <c r="V35" s="20">
        <f>'TR TE'!$V$35*'TR TE'!$V$49</f>
        <v>0</v>
      </c>
      <c r="W35" s="20">
        <f>SUM($T$35:$V$35)</f>
        <v>0</v>
      </c>
      <c r="X35" s="20"/>
      <c r="Y35" s="20">
        <f>SUM($X$35:$X$35)</f>
        <v>0</v>
      </c>
      <c r="Z35" s="20">
        <f>'TR TE'!$Z$35*'TR TE'!$Z$49</f>
        <v>0</v>
      </c>
      <c r="AA35" s="20">
        <f>SUM($Z$35:$Z$35)</f>
        <v>0</v>
      </c>
      <c r="AB35" s="20">
        <f>SUMIF($L$4:$AA$4,"SUBTOTAL",$L$35:$AA$35)</f>
        <v>227.52521479318088</v>
      </c>
    </row>
    <row r="36" spans="1:28" ht="11.25" customHeight="1" x14ac:dyDescent="0.3">
      <c r="A36" s="99" t="s">
        <v>32</v>
      </c>
      <c r="B36" s="99" t="s">
        <v>78</v>
      </c>
      <c r="C36" s="99" t="s">
        <v>25</v>
      </c>
      <c r="D36" s="99" t="s">
        <v>25</v>
      </c>
      <c r="E36" s="99" t="s">
        <v>25</v>
      </c>
      <c r="F36" s="99" t="s">
        <v>25</v>
      </c>
      <c r="G36" s="23" t="s">
        <v>80</v>
      </c>
      <c r="H36" s="23" t="s">
        <v>79</v>
      </c>
      <c r="I36" s="23">
        <f>'MERCADO TE'!$U$33</f>
        <v>0</v>
      </c>
      <c r="J36" s="15"/>
      <c r="L36" s="20">
        <f>'TR TE'!$L$36*'TR TE'!$L$49</f>
        <v>0</v>
      </c>
      <c r="M36" s="20">
        <f>'TR TE'!$M$36*'TR TE'!$M$49</f>
        <v>16.110850163961594</v>
      </c>
      <c r="N36" s="20">
        <f>'TR TE'!$N$36*'TR TE'!$N$49</f>
        <v>0</v>
      </c>
      <c r="O36" s="20">
        <f>'TR TE'!$O$36*'TR TE'!$O$49</f>
        <v>0</v>
      </c>
      <c r="P36" s="20">
        <f>'TR TE'!$P$36*'TR TE'!$P$49</f>
        <v>0</v>
      </c>
      <c r="Q36" s="20">
        <f>SUM($L$36:$P$36)</f>
        <v>16.110850163961594</v>
      </c>
      <c r="R36" s="20">
        <f>'TR TE'!$R$36*'TR TE'!$R$49</f>
        <v>211.41436462921928</v>
      </c>
      <c r="S36" s="20">
        <f>SUM($R$36:$R$36)</f>
        <v>211.41436462921928</v>
      </c>
      <c r="T36" s="20">
        <f>'TR TE'!$T$36*'TR TE'!$T$49</f>
        <v>0</v>
      </c>
      <c r="U36" s="20">
        <f>'TR TE'!$U$36*'TR TE'!$U$49</f>
        <v>0</v>
      </c>
      <c r="V36" s="20">
        <f>'TR TE'!$V$36*'TR TE'!$V$49</f>
        <v>0</v>
      </c>
      <c r="W36" s="20">
        <f>SUM($T$36:$V$36)</f>
        <v>0</v>
      </c>
      <c r="X36" s="20"/>
      <c r="Y36" s="20">
        <f>SUM($X$36:$X$36)</f>
        <v>0</v>
      </c>
      <c r="Z36" s="20">
        <f>'TR TE'!$Z$36*'TR TE'!$Z$49</f>
        <v>0</v>
      </c>
      <c r="AA36" s="20">
        <f>SUM($Z$36:$Z$36)</f>
        <v>0</v>
      </c>
      <c r="AB36" s="20">
        <f>SUMIF($L$4:$AA$4,"SUBTOTAL",$L$36:$AA$36)</f>
        <v>227.52521479318088</v>
      </c>
    </row>
    <row r="37" spans="1:28" ht="11.25" customHeight="1" x14ac:dyDescent="0.3">
      <c r="A37" s="99"/>
      <c r="B37" s="99"/>
      <c r="C37" s="99"/>
      <c r="D37" s="99"/>
      <c r="E37" s="99"/>
      <c r="F37" s="99"/>
      <c r="G37" s="23" t="s">
        <v>91</v>
      </c>
      <c r="H37" s="23" t="s">
        <v>79</v>
      </c>
      <c r="I37" s="23">
        <f>'MERCADO TE'!$U$34</f>
        <v>0</v>
      </c>
      <c r="J37" s="15"/>
      <c r="L37" s="20">
        <f>'TR TE'!$L$37*'TR TE'!$L$49</f>
        <v>0</v>
      </c>
      <c r="M37" s="20">
        <f>'TR TE'!$M$37*'TR TE'!$M$49</f>
        <v>16.110850163961594</v>
      </c>
      <c r="N37" s="20">
        <f>'TR TE'!$N$37*'TR TE'!$N$49</f>
        <v>0</v>
      </c>
      <c r="O37" s="20">
        <f>'TR TE'!$O$37*'TR TE'!$O$49</f>
        <v>0</v>
      </c>
      <c r="P37" s="20">
        <f>'TR TE'!$P$37*'TR TE'!$P$49</f>
        <v>0</v>
      </c>
      <c r="Q37" s="20">
        <f>SUM($L$37:$P$37)</f>
        <v>16.110850163961594</v>
      </c>
      <c r="R37" s="20">
        <f>'TR TE'!$R$37*'TR TE'!$R$49</f>
        <v>211.41436462921928</v>
      </c>
      <c r="S37" s="20">
        <f>SUM($R$37:$R$37)</f>
        <v>211.41436462921928</v>
      </c>
      <c r="T37" s="20">
        <f>'TR TE'!$T$37*'TR TE'!$T$49</f>
        <v>0</v>
      </c>
      <c r="U37" s="20">
        <f>'TR TE'!$U$37*'TR TE'!$U$49</f>
        <v>0</v>
      </c>
      <c r="V37" s="20">
        <f>'TR TE'!$V$37*'TR TE'!$V$49</f>
        <v>0</v>
      </c>
      <c r="W37" s="20">
        <f>SUM($T$37:$V$37)</f>
        <v>0</v>
      </c>
      <c r="X37" s="20"/>
      <c r="Y37" s="20">
        <f>SUM($X$37:$X$37)</f>
        <v>0</v>
      </c>
      <c r="Z37" s="20">
        <f>'TR TE'!$Z$37*'TR TE'!$Z$49</f>
        <v>0</v>
      </c>
      <c r="AA37" s="20">
        <f>SUM($Z$37:$Z$37)</f>
        <v>0</v>
      </c>
      <c r="AB37" s="20">
        <f>SUMIF($L$4:$AA$4,"SUBTOTAL",$L$37:$AA$37)</f>
        <v>227.52521479318088</v>
      </c>
    </row>
    <row r="38" spans="1:28" ht="11.25" customHeight="1" x14ac:dyDescent="0.3">
      <c r="A38" s="99"/>
      <c r="B38" s="99"/>
      <c r="C38" s="99"/>
      <c r="D38" s="99"/>
      <c r="E38" s="99"/>
      <c r="F38" s="99"/>
      <c r="G38" s="23" t="s">
        <v>81</v>
      </c>
      <c r="H38" s="23" t="s">
        <v>79</v>
      </c>
      <c r="I38" s="23">
        <f>'MERCADO TE'!$U$35</f>
        <v>0</v>
      </c>
      <c r="J38" s="15"/>
      <c r="L38" s="20">
        <f>'TR TE'!$L$38*'TR TE'!$L$49</f>
        <v>0</v>
      </c>
      <c r="M38" s="20">
        <f>'TR TE'!$M$38*'TR TE'!$M$49</f>
        <v>16.110850163961594</v>
      </c>
      <c r="N38" s="20">
        <f>'TR TE'!$N$38*'TR TE'!$N$49</f>
        <v>0</v>
      </c>
      <c r="O38" s="20">
        <f>'TR TE'!$O$38*'TR TE'!$O$49</f>
        <v>0</v>
      </c>
      <c r="P38" s="20">
        <f>'TR TE'!$P$38*'TR TE'!$P$49</f>
        <v>0</v>
      </c>
      <c r="Q38" s="20">
        <f>SUM($L$38:$P$38)</f>
        <v>16.110850163961594</v>
      </c>
      <c r="R38" s="20">
        <f>'TR TE'!$R$38*'TR TE'!$R$49</f>
        <v>211.41436462921928</v>
      </c>
      <c r="S38" s="20">
        <f>SUM($R$38:$R$38)</f>
        <v>211.41436462921928</v>
      </c>
      <c r="T38" s="20">
        <f>'TR TE'!$T$38*'TR TE'!$T$49</f>
        <v>0</v>
      </c>
      <c r="U38" s="20">
        <f>'TR TE'!$U$38*'TR TE'!$U$49</f>
        <v>0</v>
      </c>
      <c r="V38" s="20">
        <f>'TR TE'!$V$38*'TR TE'!$V$49</f>
        <v>0</v>
      </c>
      <c r="W38" s="20">
        <f>SUM($T$38:$V$38)</f>
        <v>0</v>
      </c>
      <c r="X38" s="20"/>
      <c r="Y38" s="20">
        <f>SUM($X$38:$X$38)</f>
        <v>0</v>
      </c>
      <c r="Z38" s="20">
        <f>'TR TE'!$Z$38*'TR TE'!$Z$49</f>
        <v>0</v>
      </c>
      <c r="AA38" s="20">
        <f>SUM($Z$38:$Z$38)</f>
        <v>0</v>
      </c>
      <c r="AB38" s="20">
        <f>SUMIF($L$4:$AA$4,"SUBTOTAL",$L$38:$AA$38)</f>
        <v>227.52521479318088</v>
      </c>
    </row>
    <row r="39" spans="1:28" ht="11.25" customHeight="1" x14ac:dyDescent="0.3">
      <c r="A39" s="99"/>
      <c r="B39" s="22" t="s">
        <v>82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83</v>
      </c>
      <c r="H39" s="23" t="s">
        <v>79</v>
      </c>
      <c r="I39" s="23">
        <f>'MERCADO TE'!$U$36</f>
        <v>7750.1880000000001</v>
      </c>
      <c r="J39" s="15"/>
      <c r="L39" s="20">
        <f>'TR TE'!$L$39*'TR TE'!$L$49</f>
        <v>0</v>
      </c>
      <c r="M39" s="20">
        <f>'TR TE'!$M$39*'TR TE'!$M$49</f>
        <v>16.110850163961594</v>
      </c>
      <c r="N39" s="20">
        <f>'TR TE'!$N$39*'TR TE'!$N$49</f>
        <v>0</v>
      </c>
      <c r="O39" s="20">
        <f>'TR TE'!$O$39*'TR TE'!$O$49</f>
        <v>0</v>
      </c>
      <c r="P39" s="20">
        <f>'TR TE'!$P$39*'TR TE'!$P$49</f>
        <v>0</v>
      </c>
      <c r="Q39" s="20">
        <f>SUM($L$39:$P$39)</f>
        <v>16.110850163961594</v>
      </c>
      <c r="R39" s="20">
        <f>'TR TE'!$R$39*'TR TE'!$R$49</f>
        <v>211.41436462921928</v>
      </c>
      <c r="S39" s="20">
        <f>SUM($R$39:$R$39)</f>
        <v>211.41436462921928</v>
      </c>
      <c r="T39" s="20">
        <f>'TR TE'!$T$39*'TR TE'!$T$49</f>
        <v>0</v>
      </c>
      <c r="U39" s="20">
        <f>'TR TE'!$U$39*'TR TE'!$U$49</f>
        <v>0</v>
      </c>
      <c r="V39" s="20">
        <f>'TR TE'!$V$39*'TR TE'!$V$49</f>
        <v>0</v>
      </c>
      <c r="W39" s="20">
        <f>SUM($T$39:$V$39)</f>
        <v>0</v>
      </c>
      <c r="X39" s="20"/>
      <c r="Y39" s="20">
        <f>SUM($X$39:$X$39)</f>
        <v>0</v>
      </c>
      <c r="Z39" s="20">
        <f>'TR TE'!$Z$39*'TR TE'!$Z$49</f>
        <v>0</v>
      </c>
      <c r="AA39" s="20">
        <f>SUM($Z$39:$Z$39)</f>
        <v>0</v>
      </c>
      <c r="AB39" s="20">
        <f>SUMIF($L$4:$AA$4,"SUBTOTAL",$L$39:$AA$39)</f>
        <v>227.52521479318088</v>
      </c>
    </row>
    <row r="40" spans="1:28" ht="11.25" customHeight="1" x14ac:dyDescent="0.3">
      <c r="A40" s="99"/>
      <c r="B40" s="22" t="s">
        <v>93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83</v>
      </c>
      <c r="H40" s="23" t="s">
        <v>79</v>
      </c>
      <c r="I40" s="23">
        <f>'MERCADO TE'!$U$37</f>
        <v>0</v>
      </c>
      <c r="J40" s="15"/>
      <c r="L40" s="20">
        <f>'TR TE'!$L$40*'TR TE'!$L$49</f>
        <v>0</v>
      </c>
      <c r="M40" s="20">
        <f>'TR TE'!$M$40*'TR TE'!$M$49</f>
        <v>16.110850163961594</v>
      </c>
      <c r="N40" s="20">
        <f>'TR TE'!$N$40*'TR TE'!$N$49</f>
        <v>0</v>
      </c>
      <c r="O40" s="20">
        <f>'TR TE'!$O$40*'TR TE'!$O$49</f>
        <v>0</v>
      </c>
      <c r="P40" s="20">
        <f>'TR TE'!$P$40*'TR TE'!$P$49</f>
        <v>0</v>
      </c>
      <c r="Q40" s="20">
        <f>SUM($L$40:$P$40)</f>
        <v>16.110850163961594</v>
      </c>
      <c r="R40" s="20">
        <f>'TR TE'!$R$40*'TR TE'!$R$49</f>
        <v>211.41436462921928</v>
      </c>
      <c r="S40" s="20">
        <f>SUM($R$40:$R$40)</f>
        <v>211.41436462921928</v>
      </c>
      <c r="T40" s="20">
        <f>'TR TE'!$T$40*'TR TE'!$T$49</f>
        <v>0</v>
      </c>
      <c r="U40" s="20">
        <f>'TR TE'!$U$40*'TR TE'!$U$49</f>
        <v>0</v>
      </c>
      <c r="V40" s="20">
        <f>'TR TE'!$V$40*'TR TE'!$V$49</f>
        <v>0</v>
      </c>
      <c r="W40" s="20">
        <f>SUM($T$40:$V$40)</f>
        <v>0</v>
      </c>
      <c r="X40" s="20"/>
      <c r="Y40" s="20">
        <f>SUM($X$40:$X$40)</f>
        <v>0</v>
      </c>
      <c r="Z40" s="20">
        <f>'TR TE'!$Z$40*'TR TE'!$Z$49</f>
        <v>0</v>
      </c>
      <c r="AA40" s="20">
        <f>SUM($Z$40:$Z$40)</f>
        <v>0</v>
      </c>
      <c r="AB40" s="20">
        <f>SUMIF($L$4:$AA$4,"SUBTOTAL",$L$40:$AA$40)</f>
        <v>227.52521479318088</v>
      </c>
    </row>
    <row r="41" spans="1:28" ht="11.25" customHeight="1" x14ac:dyDescent="0.3">
      <c r="A41" s="99" t="s">
        <v>43</v>
      </c>
      <c r="B41" s="99" t="s">
        <v>82</v>
      </c>
      <c r="C41" s="99" t="s">
        <v>44</v>
      </c>
      <c r="D41" s="22" t="s">
        <v>97</v>
      </c>
      <c r="E41" s="22" t="s">
        <v>25</v>
      </c>
      <c r="F41" s="22" t="s">
        <v>25</v>
      </c>
      <c r="G41" s="23" t="s">
        <v>83</v>
      </c>
      <c r="H41" s="23" t="s">
        <v>79</v>
      </c>
      <c r="I41" s="23">
        <f>'MERCADO TE'!$U$38</f>
        <v>0</v>
      </c>
      <c r="J41" s="15"/>
      <c r="L41" s="20">
        <f>'TR TE'!$L$41*'TR TE'!$L$49</f>
        <v>0</v>
      </c>
      <c r="M41" s="20">
        <f>'TR TE'!$M$41*'TR TE'!$M$49</f>
        <v>8.8609675901788769</v>
      </c>
      <c r="N41" s="20">
        <f>'TR TE'!$N$41*'TR TE'!$N$49</f>
        <v>0</v>
      </c>
      <c r="O41" s="20">
        <f>'TR TE'!$O$41*'TR TE'!$O$49</f>
        <v>0</v>
      </c>
      <c r="P41" s="20">
        <f>'TR TE'!$P$41*'TR TE'!$P$49</f>
        <v>0</v>
      </c>
      <c r="Q41" s="20">
        <f>SUM($L$41:$P$41)</f>
        <v>8.8609675901788769</v>
      </c>
      <c r="R41" s="20">
        <f>'TR TE'!$R$41*'TR TE'!$R$49</f>
        <v>116.27790054607061</v>
      </c>
      <c r="S41" s="20">
        <f>SUM($R$41:$R$41)</f>
        <v>116.27790054607061</v>
      </c>
      <c r="T41" s="20">
        <f>'TR TE'!$T$41*'TR TE'!$T$49</f>
        <v>0</v>
      </c>
      <c r="U41" s="20">
        <f>'TR TE'!$U$41*'TR TE'!$U$49</f>
        <v>0</v>
      </c>
      <c r="V41" s="20">
        <f>'TR TE'!$V$41*'TR TE'!$V$49</f>
        <v>0</v>
      </c>
      <c r="W41" s="20">
        <f>SUM($T$41:$V$41)</f>
        <v>0</v>
      </c>
      <c r="X41" s="20"/>
      <c r="Y41" s="20">
        <f>SUM($X$41:$X$41)</f>
        <v>0</v>
      </c>
      <c r="Z41" s="20">
        <f>'TR TE'!$Z$41*'TR TE'!$Z$49</f>
        <v>0</v>
      </c>
      <c r="AA41" s="20">
        <f>SUM($Z$41:$Z$41)</f>
        <v>0</v>
      </c>
      <c r="AB41" s="20">
        <f>SUMIF($L$4:$AA$4,"SUBTOTAL",$L$41:$AA$41)</f>
        <v>125.13886813624949</v>
      </c>
    </row>
    <row r="42" spans="1:28" ht="11.25" customHeight="1" x14ac:dyDescent="0.3">
      <c r="A42" s="99"/>
      <c r="B42" s="99"/>
      <c r="C42" s="99"/>
      <c r="D42" s="23" t="s">
        <v>45</v>
      </c>
      <c r="E42" s="23" t="s">
        <v>25</v>
      </c>
      <c r="F42" s="23" t="s">
        <v>25</v>
      </c>
      <c r="G42" s="23" t="s">
        <v>83</v>
      </c>
      <c r="H42" s="23" t="s">
        <v>79</v>
      </c>
      <c r="I42" s="23">
        <f>'MERCADO TE'!$U$39</f>
        <v>1776.7269999999999</v>
      </c>
      <c r="J42" s="15"/>
      <c r="L42" s="20">
        <f>'TR TE'!$L$42*'TR TE'!$L$49</f>
        <v>0</v>
      </c>
      <c r="M42" s="20">
        <f>'TR TE'!$M$42*'TR TE'!$M$49</f>
        <v>9.6665100983769552</v>
      </c>
      <c r="N42" s="20">
        <f>'TR TE'!$N$42*'TR TE'!$N$49</f>
        <v>0</v>
      </c>
      <c r="O42" s="20">
        <f>'TR TE'!$O$42*'TR TE'!$O$49</f>
        <v>0</v>
      </c>
      <c r="P42" s="20">
        <f>'TR TE'!$P$42*'TR TE'!$P$49</f>
        <v>0</v>
      </c>
      <c r="Q42" s="20">
        <f>SUM($L$42:$P$42)</f>
        <v>9.6665100983769552</v>
      </c>
      <c r="R42" s="20">
        <f>'TR TE'!$R$42*'TR TE'!$R$49</f>
        <v>126.84861877753156</v>
      </c>
      <c r="S42" s="20">
        <f>SUM($R$42:$R$42)</f>
        <v>126.84861877753156</v>
      </c>
      <c r="T42" s="20">
        <f>'TR TE'!$T$42*'TR TE'!$T$49</f>
        <v>0</v>
      </c>
      <c r="U42" s="20">
        <f>'TR TE'!$U$42*'TR TE'!$U$49</f>
        <v>0</v>
      </c>
      <c r="V42" s="20">
        <f>'TR TE'!$V$42*'TR TE'!$V$49</f>
        <v>0</v>
      </c>
      <c r="W42" s="20">
        <f>SUM($T$42:$V$42)</f>
        <v>0</v>
      </c>
      <c r="X42" s="20"/>
      <c r="Y42" s="20">
        <f>SUM($X$42:$X$42)</f>
        <v>0</v>
      </c>
      <c r="Z42" s="20">
        <f>'TR TE'!$Z$42*'TR TE'!$Z$49</f>
        <v>0</v>
      </c>
      <c r="AA42" s="20">
        <f>SUM($Z$42:$Z$42)</f>
        <v>0</v>
      </c>
      <c r="AB42" s="20">
        <f>SUMIF($L$4:$AA$4,"SUBTOTAL",$L$42:$AA$42)</f>
        <v>136.51512887590852</v>
      </c>
    </row>
    <row r="44" spans="1:28" ht="11.25" customHeight="1" x14ac:dyDescent="0.3">
      <c r="K44" s="25" t="s">
        <v>516</v>
      </c>
      <c r="L44" s="20">
        <f t="shared" ref="L44:AB44" si="0">SUMPRODUCT($I$5:$I$42,L$5:L$42)</f>
        <v>0</v>
      </c>
      <c r="M44" s="20">
        <f t="shared" si="0"/>
        <v>696110.47999999986</v>
      </c>
      <c r="N44" s="20">
        <f t="shared" si="0"/>
        <v>0</v>
      </c>
      <c r="O44" s="20">
        <f t="shared" si="0"/>
        <v>0</v>
      </c>
      <c r="P44" s="20">
        <f t="shared" si="0"/>
        <v>0</v>
      </c>
      <c r="Q44" s="20">
        <f t="shared" si="0"/>
        <v>696110.47999999986</v>
      </c>
      <c r="R44" s="20">
        <f t="shared" si="0"/>
        <v>9134698.2526186481</v>
      </c>
      <c r="S44" s="20">
        <f t="shared" si="0"/>
        <v>9134698.2526186481</v>
      </c>
      <c r="T44" s="20">
        <f t="shared" si="0"/>
        <v>0</v>
      </c>
      <c r="U44" s="20">
        <f t="shared" si="0"/>
        <v>0</v>
      </c>
      <c r="V44" s="20">
        <f t="shared" si="0"/>
        <v>0</v>
      </c>
      <c r="W44" s="20">
        <f t="shared" si="0"/>
        <v>0</v>
      </c>
      <c r="X44" s="20">
        <f t="shared" si="0"/>
        <v>0</v>
      </c>
      <c r="Y44" s="20">
        <f t="shared" si="0"/>
        <v>0</v>
      </c>
      <c r="Z44" s="20">
        <f t="shared" si="0"/>
        <v>0</v>
      </c>
      <c r="AA44" s="20">
        <f t="shared" si="0"/>
        <v>0</v>
      </c>
      <c r="AB44" s="20">
        <f t="shared" si="0"/>
        <v>9830808.7326186486</v>
      </c>
    </row>
    <row r="45" spans="1:28" ht="11.25" customHeight="1" x14ac:dyDescent="0.3">
      <c r="K45" s="25" t="s">
        <v>435</v>
      </c>
      <c r="L45" s="20">
        <f>CUSTOS!$D$30</f>
        <v>0</v>
      </c>
      <c r="M45" s="20">
        <f>CUSTOS!$D$31</f>
        <v>696110.48</v>
      </c>
      <c r="N45" s="20">
        <f>CUSTOS!$D$32</f>
        <v>0</v>
      </c>
      <c r="O45" s="20">
        <f>CUSTOS!$D$33</f>
        <v>0</v>
      </c>
      <c r="P45" s="20">
        <f>CUSTOS!$D$34</f>
        <v>0</v>
      </c>
      <c r="Q45" s="20">
        <f>CUSTOS!$D$35</f>
        <v>696110.48</v>
      </c>
      <c r="R45" s="20">
        <f>CUSTOS!$D$36</f>
        <v>9134698.25261865</v>
      </c>
      <c r="S45" s="20">
        <f>CUSTOS!$D$37</f>
        <v>9134698.25261865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9830808.7326186504</v>
      </c>
    </row>
    <row r="46" spans="1:28" ht="11.25" customHeight="1" x14ac:dyDescent="0.3">
      <c r="K46" s="25" t="s">
        <v>436</v>
      </c>
      <c r="L46" s="20">
        <f>CUSTOS!$E$30</f>
        <v>0</v>
      </c>
      <c r="M46" s="20">
        <f>CUSTOS!$E$31</f>
        <v>0</v>
      </c>
      <c r="N46" s="20">
        <f>CUSTOS!$E$32</f>
        <v>0</v>
      </c>
      <c r="O46" s="20">
        <f>CUSTOS!$E$33</f>
        <v>0</v>
      </c>
      <c r="P46" s="20">
        <f>CUSTOS!$E$34</f>
        <v>0</v>
      </c>
      <c r="Q46" s="20">
        <f>CUSTOS!$E$35</f>
        <v>0</v>
      </c>
      <c r="R46" s="20">
        <f>CUSTOS!$E$36</f>
        <v>-594186.99455570441</v>
      </c>
      <c r="S46" s="20">
        <f>CUSTOS!$E$37</f>
        <v>-594186.99455570441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-594186.99455570441</v>
      </c>
    </row>
    <row r="47" spans="1:28" ht="11.25" customHeight="1" x14ac:dyDescent="0.3">
      <c r="K47" s="25" t="s">
        <v>437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0</v>
      </c>
      <c r="S47" s="20">
        <f>CUSTOS!$F$37</f>
        <v>0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0</v>
      </c>
    </row>
    <row r="48" spans="1:28" ht="11.25" customHeight="1" x14ac:dyDescent="0.3">
      <c r="K48" s="25" t="s">
        <v>517</v>
      </c>
      <c r="L48" s="20">
        <f>'TR TE'!$L$48*L49</f>
        <v>0</v>
      </c>
      <c r="M48" s="20">
        <f>'TR TE'!$M$48*M49</f>
        <v>0</v>
      </c>
      <c r="N48" s="20">
        <f>'TR TE'!$N$48*N49</f>
        <v>0</v>
      </c>
      <c r="O48" s="20">
        <f>'TR TE'!$O$48*O49</f>
        <v>0</v>
      </c>
      <c r="P48" s="20">
        <f>'TR TE'!$P$48*P49</f>
        <v>0</v>
      </c>
      <c r="Q48" s="20"/>
      <c r="R48" s="20">
        <f>'TR TE'!$R$48*R49</f>
        <v>-13.721620426020575</v>
      </c>
      <c r="S48" s="20"/>
      <c r="T48" s="20">
        <f>'TR TE'!$T$48*T49</f>
        <v>0</v>
      </c>
      <c r="U48" s="20">
        <f>'TR TE'!$U$48*U49</f>
        <v>0</v>
      </c>
      <c r="V48" s="20">
        <f>'TR TE'!$V$48*V49</f>
        <v>0</v>
      </c>
      <c r="W48" s="20"/>
      <c r="X48" s="20"/>
      <c r="Y48" s="20"/>
      <c r="Z48" s="20">
        <f>'TR TE'!$Z$48*Z49</f>
        <v>0</v>
      </c>
      <c r="AA48" s="20"/>
      <c r="AB48" s="20"/>
    </row>
    <row r="49" spans="11:28" ht="11.25" customHeight="1" x14ac:dyDescent="0.3">
      <c r="K49" s="25" t="s">
        <v>504</v>
      </c>
      <c r="L49" s="20">
        <f>IF(L45&lt;&gt;0,L46/L45,0)</f>
        <v>0</v>
      </c>
      <c r="M49" s="20">
        <f>IF(M45&lt;&gt;0,M46/M45,0)</f>
        <v>0</v>
      </c>
      <c r="N49" s="20">
        <f>IF(N45&lt;&gt;0,N46/N45,0)</f>
        <v>0</v>
      </c>
      <c r="O49" s="20">
        <f>IF(O45&lt;&gt;0,O46/O45,0)</f>
        <v>0</v>
      </c>
      <c r="P49" s="20">
        <f>IF(P45&lt;&gt;0,P46/P45,0)</f>
        <v>0</v>
      </c>
      <c r="Q49" s="20"/>
      <c r="R49" s="20">
        <f>IF(R45&lt;&gt;0,R46/R45,0)</f>
        <v>-6.5047249304088228E-2</v>
      </c>
      <c r="S49" s="20"/>
      <c r="T49" s="20">
        <f>IF(T45&lt;&gt;0,T46/T45,0)</f>
        <v>0</v>
      </c>
      <c r="U49" s="20">
        <f>IF(U45&lt;&gt;0,U46/U45,0)</f>
        <v>0</v>
      </c>
      <c r="V49" s="20">
        <f>IF(V45&lt;&gt;0,V46/V45,0)</f>
        <v>0</v>
      </c>
      <c r="W49" s="20"/>
      <c r="X49" s="20">
        <f>IF(($AB45-0)&lt;&gt;0,X46/($AB45-0),0)</f>
        <v>0</v>
      </c>
      <c r="Y49" s="20"/>
      <c r="Z49" s="20">
        <f>IF(Z45&lt;&gt;0,Z46/Z45,0)</f>
        <v>0</v>
      </c>
      <c r="AA49" s="20"/>
      <c r="AB49" s="20"/>
    </row>
    <row r="50" spans="11:28" ht="11.25" customHeight="1" x14ac:dyDescent="0.3">
      <c r="K50" s="25" t="s">
        <v>519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E36:E38"/>
    <mergeCell ref="F36:F38"/>
    <mergeCell ref="A41:A42"/>
    <mergeCell ref="B41:B42"/>
    <mergeCell ref="C41:C42"/>
    <mergeCell ref="D36:D38"/>
  </mergeCells>
  <conditionalFormatting sqref="L44">
    <cfRule type="cellIs" dxfId="776" priority="33" operator="notEqual">
      <formula>$L$45</formula>
    </cfRule>
    <cfRule type="cellIs" dxfId="775" priority="34" operator="equal">
      <formula>$L$45</formula>
    </cfRule>
  </conditionalFormatting>
  <conditionalFormatting sqref="M44">
    <cfRule type="cellIs" dxfId="774" priority="31" operator="notEqual">
      <formula>$M$45</formula>
    </cfRule>
    <cfRule type="cellIs" dxfId="773" priority="32" operator="equal">
      <formula>$M$45</formula>
    </cfRule>
  </conditionalFormatting>
  <conditionalFormatting sqref="N44">
    <cfRule type="cellIs" dxfId="772" priority="29" operator="notEqual">
      <formula>$N$45</formula>
    </cfRule>
    <cfRule type="cellIs" dxfId="771" priority="30" operator="equal">
      <formula>$N$45</formula>
    </cfRule>
  </conditionalFormatting>
  <conditionalFormatting sqref="O44">
    <cfRule type="cellIs" dxfId="770" priority="27" operator="notEqual">
      <formula>$O$45</formula>
    </cfRule>
    <cfRule type="cellIs" dxfId="769" priority="28" operator="equal">
      <formula>$O$45</formula>
    </cfRule>
  </conditionalFormatting>
  <conditionalFormatting sqref="P44">
    <cfRule type="cellIs" dxfId="768" priority="25" operator="notEqual">
      <formula>$P$45</formula>
    </cfRule>
    <cfRule type="cellIs" dxfId="767" priority="26" operator="equal">
      <formula>$P$45</formula>
    </cfRule>
  </conditionalFormatting>
  <conditionalFormatting sqref="Q44">
    <cfRule type="cellIs" dxfId="766" priority="23" operator="notEqual">
      <formula>$Q$45</formula>
    </cfRule>
    <cfRule type="cellIs" dxfId="765" priority="24" operator="equal">
      <formula>$Q$45</formula>
    </cfRule>
  </conditionalFormatting>
  <conditionalFormatting sqref="R44">
    <cfRule type="cellIs" dxfId="764" priority="21" operator="notEqual">
      <formula>$R$45</formula>
    </cfRule>
    <cfRule type="cellIs" dxfId="763" priority="22" operator="equal">
      <formula>$R$45</formula>
    </cfRule>
  </conditionalFormatting>
  <conditionalFormatting sqref="S44">
    <cfRule type="cellIs" dxfId="762" priority="19" operator="notEqual">
      <formula>$S$45</formula>
    </cfRule>
    <cfRule type="cellIs" dxfId="761" priority="20" operator="equal">
      <formula>$S$45</formula>
    </cfRule>
  </conditionalFormatting>
  <conditionalFormatting sqref="T44">
    <cfRule type="cellIs" dxfId="760" priority="17" operator="notEqual">
      <formula>$T$45</formula>
    </cfRule>
    <cfRule type="cellIs" dxfId="759" priority="18" operator="equal">
      <formula>$T$45</formula>
    </cfRule>
  </conditionalFormatting>
  <conditionalFormatting sqref="U44">
    <cfRule type="cellIs" dxfId="758" priority="15" operator="notEqual">
      <formula>$U$45</formula>
    </cfRule>
    <cfRule type="cellIs" dxfId="757" priority="16" operator="equal">
      <formula>$U$45</formula>
    </cfRule>
  </conditionalFormatting>
  <conditionalFormatting sqref="V44">
    <cfRule type="cellIs" dxfId="756" priority="13" operator="notEqual">
      <formula>$V$45</formula>
    </cfRule>
    <cfRule type="cellIs" dxfId="755" priority="14" operator="equal">
      <formula>$V$45</formula>
    </cfRule>
  </conditionalFormatting>
  <conditionalFormatting sqref="W44">
    <cfRule type="cellIs" dxfId="754" priority="11" operator="notEqual">
      <formula>$W$45</formula>
    </cfRule>
    <cfRule type="cellIs" dxfId="753" priority="12" operator="equal">
      <formula>$W$45</formula>
    </cfRule>
  </conditionalFormatting>
  <conditionalFormatting sqref="X44">
    <cfRule type="cellIs" dxfId="752" priority="9" operator="notEqual">
      <formula>$X$45</formula>
    </cfRule>
    <cfRule type="cellIs" dxfId="751" priority="10" operator="equal">
      <formula>$X$45</formula>
    </cfRule>
  </conditionalFormatting>
  <conditionalFormatting sqref="Y44">
    <cfRule type="cellIs" dxfId="750" priority="7" operator="notEqual">
      <formula>$Y$45</formula>
    </cfRule>
    <cfRule type="cellIs" dxfId="749" priority="8" operator="equal">
      <formula>$Y$45</formula>
    </cfRule>
  </conditionalFormatting>
  <conditionalFormatting sqref="Z44">
    <cfRule type="cellIs" dxfId="748" priority="5" operator="notEqual">
      <formula>$Z$45</formula>
    </cfRule>
    <cfRule type="cellIs" dxfId="747" priority="6" operator="equal">
      <formula>$Z$45</formula>
    </cfRule>
  </conditionalFormatting>
  <conditionalFormatting sqref="AA44">
    <cfRule type="cellIs" dxfId="746" priority="3" operator="notEqual">
      <formula>$AA$45</formula>
    </cfRule>
    <cfRule type="cellIs" dxfId="745" priority="4" operator="equal">
      <formula>$AA$45</formula>
    </cfRule>
  </conditionalFormatting>
  <conditionalFormatting sqref="AB44">
    <cfRule type="cellIs" dxfId="744" priority="1" operator="notEqual">
      <formula>$AB$45</formula>
    </cfRule>
    <cfRule type="cellIs" dxfId="743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54A0-F8D5-41A3-A5FD-0F1CD040EA07}">
  <dimension ref="A1:AB50"/>
  <sheetViews>
    <sheetView showGridLines="0" topLeftCell="P32" workbookViewId="0">
      <selection activeCell="AB44" sqref="AB44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2" width="7.109375" style="9" bestFit="1" customWidth="1"/>
    <col min="13" max="13" width="7.88671875" style="9" bestFit="1" customWidth="1"/>
    <col min="14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1093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109375" style="9" bestFit="1" customWidth="1"/>
    <col min="29" max="16384" width="8.88671875" style="9"/>
  </cols>
  <sheetData>
    <row r="1" spans="1:28" ht="11.25" customHeight="1" x14ac:dyDescent="0.3">
      <c r="A1" s="100" t="s">
        <v>69</v>
      </c>
      <c r="B1" s="100" t="s">
        <v>70</v>
      </c>
      <c r="C1" s="100" t="s">
        <v>71</v>
      </c>
      <c r="D1" s="100" t="s">
        <v>72</v>
      </c>
      <c r="E1" s="100" t="s">
        <v>73</v>
      </c>
      <c r="F1" s="100" t="s">
        <v>15</v>
      </c>
      <c r="G1" s="100" t="s">
        <v>75</v>
      </c>
      <c r="H1" s="100" t="s">
        <v>76</v>
      </c>
      <c r="I1" s="100" t="s">
        <v>494</v>
      </c>
      <c r="J1" s="84"/>
      <c r="L1" s="101" t="s">
        <v>521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84"/>
      <c r="L2" s="101" t="s">
        <v>421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84"/>
      <c r="L3" s="101" t="s">
        <v>394</v>
      </c>
      <c r="M3" s="101"/>
      <c r="N3" s="101"/>
      <c r="O3" s="101"/>
      <c r="P3" s="101"/>
      <c r="Q3" s="101"/>
      <c r="R3" s="101" t="s">
        <v>425</v>
      </c>
      <c r="S3" s="101"/>
      <c r="T3" s="101" t="s">
        <v>403</v>
      </c>
      <c r="U3" s="101"/>
      <c r="V3" s="101"/>
      <c r="W3" s="101"/>
      <c r="X3" s="101" t="s">
        <v>413</v>
      </c>
      <c r="Y3" s="101"/>
      <c r="Z3" s="101" t="s">
        <v>416</v>
      </c>
      <c r="AA3" s="101"/>
      <c r="AB3" s="101" t="s">
        <v>402</v>
      </c>
    </row>
    <row r="4" spans="1:28" ht="11.25" customHeight="1" x14ac:dyDescent="0.3">
      <c r="A4" s="100"/>
      <c r="B4" s="100"/>
      <c r="C4" s="100"/>
      <c r="D4" s="100"/>
      <c r="E4" s="100"/>
      <c r="F4" s="100"/>
      <c r="G4" s="100"/>
      <c r="H4" s="100"/>
      <c r="I4" s="100"/>
      <c r="J4" s="84"/>
      <c r="L4" s="24" t="s">
        <v>396</v>
      </c>
      <c r="M4" s="24" t="s">
        <v>422</v>
      </c>
      <c r="N4" s="24" t="s">
        <v>423</v>
      </c>
      <c r="O4" s="24" t="s">
        <v>482</v>
      </c>
      <c r="P4" s="24" t="s">
        <v>424</v>
      </c>
      <c r="Q4" s="24" t="s">
        <v>402</v>
      </c>
      <c r="R4" s="24" t="s">
        <v>426</v>
      </c>
      <c r="S4" s="24" t="s">
        <v>402</v>
      </c>
      <c r="T4" s="24" t="s">
        <v>427</v>
      </c>
      <c r="U4" s="24" t="s">
        <v>428</v>
      </c>
      <c r="V4" s="24" t="s">
        <v>429</v>
      </c>
      <c r="W4" s="24" t="s">
        <v>402</v>
      </c>
      <c r="X4" s="24" t="s">
        <v>414</v>
      </c>
      <c r="Y4" s="24" t="s">
        <v>402</v>
      </c>
      <c r="Z4" s="24" t="s">
        <v>430</v>
      </c>
      <c r="AA4" s="24" t="s">
        <v>402</v>
      </c>
      <c r="AB4" s="102"/>
    </row>
    <row r="5" spans="1:28" ht="11.25" customHeight="1" x14ac:dyDescent="0.3">
      <c r="A5" s="99" t="s">
        <v>34</v>
      </c>
      <c r="B5" s="99" t="s">
        <v>78</v>
      </c>
      <c r="C5" s="99" t="s">
        <v>25</v>
      </c>
      <c r="D5" s="99" t="s">
        <v>25</v>
      </c>
      <c r="E5" s="99" t="s">
        <v>25</v>
      </c>
      <c r="F5" s="99" t="s">
        <v>25</v>
      </c>
      <c r="G5" s="23" t="s">
        <v>80</v>
      </c>
      <c r="H5" s="23" t="s">
        <v>79</v>
      </c>
      <c r="I5" s="23">
        <f>'MERCADO TE'!$U$2</f>
        <v>311.15300000000002</v>
      </c>
      <c r="J5" s="15"/>
      <c r="L5" s="20">
        <f>'TE BE'!$L$5*'TE BE'!$L$49</f>
        <v>0</v>
      </c>
      <c r="M5" s="20">
        <f>'TE BE'!$M$5*'TE BE'!$M$49</f>
        <v>0</v>
      </c>
      <c r="N5" s="20">
        <f>'TE BE'!$N$5*'TE BE'!$N$49</f>
        <v>0</v>
      </c>
      <c r="O5" s="20">
        <f>'TE BE'!$O$5*'TE BE'!$O$49</f>
        <v>0</v>
      </c>
      <c r="P5" s="20">
        <f>'TE BE'!$P$5*'TE BE'!$P$49</f>
        <v>0</v>
      </c>
      <c r="Q5" s="20">
        <f>SUM($L$5:$P$5)</f>
        <v>0</v>
      </c>
      <c r="R5" s="20">
        <f>'TE BE'!$R$5*'TE BE'!$R$49</f>
        <v>-13.751922882502239</v>
      </c>
      <c r="S5" s="20">
        <f>SUM($R$5:$R$5)</f>
        <v>-13.751922882502239</v>
      </c>
      <c r="T5" s="20">
        <f>'TE BE'!$T$5*'TE BE'!$T$49</f>
        <v>0</v>
      </c>
      <c r="U5" s="20">
        <f>'TE BE'!$U$5*'TE BE'!$U$49</f>
        <v>0</v>
      </c>
      <c r="V5" s="20">
        <f>'TE BE'!$V$5*'TE BE'!$V$49</f>
        <v>0</v>
      </c>
      <c r="W5" s="20">
        <f>SUM($T$5:$V$5)</f>
        <v>0</v>
      </c>
      <c r="X5" s="20">
        <f>'TE BE'!$AB$5*'TE BE'!$X$49</f>
        <v>0</v>
      </c>
      <c r="Y5" s="20">
        <f>SUM($X$5:$X$5)</f>
        <v>0</v>
      </c>
      <c r="Z5" s="20">
        <f>'TE BE'!$Z$5*'TE BE'!$Z$49</f>
        <v>0</v>
      </c>
      <c r="AA5" s="20">
        <f>SUM($Z$5:$Z$5)</f>
        <v>0</v>
      </c>
      <c r="AB5" s="20">
        <f>SUMIF($L$4:$AA$4,"SUBTOTAL",$L$5:$AA$5)</f>
        <v>-13.751922882502239</v>
      </c>
    </row>
    <row r="6" spans="1:28" ht="11.25" customHeight="1" x14ac:dyDescent="0.3">
      <c r="A6" s="99"/>
      <c r="B6" s="99"/>
      <c r="C6" s="99"/>
      <c r="D6" s="99"/>
      <c r="E6" s="99"/>
      <c r="F6" s="99"/>
      <c r="G6" s="23" t="s">
        <v>81</v>
      </c>
      <c r="H6" s="23" t="s">
        <v>79</v>
      </c>
      <c r="I6" s="23">
        <f>'MERCADO TE'!$U$3</f>
        <v>7439.3039999999992</v>
      </c>
      <c r="J6" s="15"/>
      <c r="L6" s="20">
        <f>'TE BE'!$L$6*'TE BE'!$L$49</f>
        <v>0</v>
      </c>
      <c r="M6" s="20">
        <f>'TE BE'!$M$6*'TE BE'!$M$49</f>
        <v>0</v>
      </c>
      <c r="N6" s="20">
        <f>'TE BE'!$N$6*'TE BE'!$N$49</f>
        <v>0</v>
      </c>
      <c r="O6" s="20">
        <f>'TE BE'!$O$6*'TE BE'!$O$49</f>
        <v>0</v>
      </c>
      <c r="P6" s="20">
        <f>'TE BE'!$P$6*'TE BE'!$P$49</f>
        <v>0</v>
      </c>
      <c r="Q6" s="20">
        <f>SUM($L$6:$P$6)</f>
        <v>0</v>
      </c>
      <c r="R6" s="20">
        <f>'TE BE'!$R$6*'TE BE'!$R$49</f>
        <v>-13.751922882502239</v>
      </c>
      <c r="S6" s="20">
        <f>SUM($R$6:$R$6)</f>
        <v>-13.751922882502239</v>
      </c>
      <c r="T6" s="20">
        <f>'TE BE'!$T$6*'TE BE'!$T$49</f>
        <v>0</v>
      </c>
      <c r="U6" s="20">
        <f>'TE BE'!$U$6*'TE BE'!$U$49</f>
        <v>0</v>
      </c>
      <c r="V6" s="20">
        <f>'TE BE'!$V$6*'TE BE'!$V$49</f>
        <v>0</v>
      </c>
      <c r="W6" s="20">
        <f>SUM($T$6:$V$6)</f>
        <v>0</v>
      </c>
      <c r="X6" s="20">
        <f>'TE BE'!$AB$6*'TE BE'!$X$49</f>
        <v>0</v>
      </c>
      <c r="Y6" s="20">
        <f>SUM($X$6:$X$6)</f>
        <v>0</v>
      </c>
      <c r="Z6" s="20">
        <f>'TE BE'!$Z$6*'TE BE'!$Z$49</f>
        <v>0</v>
      </c>
      <c r="AA6" s="20">
        <f>SUM($Z$6:$Z$6)</f>
        <v>0</v>
      </c>
      <c r="AB6" s="20">
        <f>SUMIF($L$4:$AA$4,"SUBTOTAL",$L$6:$AA$6)</f>
        <v>-13.751922882502239</v>
      </c>
    </row>
    <row r="7" spans="1:28" ht="11.25" customHeight="1" x14ac:dyDescent="0.3">
      <c r="A7" s="99"/>
      <c r="B7" s="22" t="s">
        <v>82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83</v>
      </c>
      <c r="H7" s="23" t="s">
        <v>79</v>
      </c>
      <c r="I7" s="23">
        <f>'MERCADO TE'!$U$4</f>
        <v>0</v>
      </c>
      <c r="J7" s="15"/>
      <c r="L7" s="20">
        <f>'TE BE'!$L$7*'TE BE'!$L$49</f>
        <v>0</v>
      </c>
      <c r="M7" s="20">
        <f>'TE BE'!$M$7*'TE BE'!$M$49</f>
        <v>0</v>
      </c>
      <c r="N7" s="20">
        <f>'TE BE'!$N$7*'TE BE'!$N$49</f>
        <v>0</v>
      </c>
      <c r="O7" s="20">
        <f>'TE BE'!$O$7*'TE BE'!$O$49</f>
        <v>0</v>
      </c>
      <c r="P7" s="20">
        <f>'TE BE'!$P$7*'TE BE'!$P$49</f>
        <v>0</v>
      </c>
      <c r="Q7" s="20">
        <f>SUM($L$7:$P$7)</f>
        <v>0</v>
      </c>
      <c r="R7" s="20">
        <f>'TE BE'!$R$7*'TE BE'!$R$49</f>
        <v>-13.751922882502239</v>
      </c>
      <c r="S7" s="20">
        <f>SUM($R$7:$R$7)</f>
        <v>-13.751922882502239</v>
      </c>
      <c r="T7" s="20">
        <f>'TE BE'!$T$7*'TE BE'!$T$49</f>
        <v>0</v>
      </c>
      <c r="U7" s="20">
        <f>'TE BE'!$U$7*'TE BE'!$U$49</f>
        <v>0</v>
      </c>
      <c r="V7" s="20">
        <f>'TE BE'!$V$7*'TE BE'!$V$49</f>
        <v>0</v>
      </c>
      <c r="W7" s="20">
        <f>SUM($T$7:$V$7)</f>
        <v>0</v>
      </c>
      <c r="X7" s="20">
        <f>'TE BE'!$AB$7*'TE BE'!$X$49</f>
        <v>0</v>
      </c>
      <c r="Y7" s="20">
        <f>SUM($X$7:$X$7)</f>
        <v>0</v>
      </c>
      <c r="Z7" s="20">
        <f>'TE BE'!$Z$7*'TE BE'!$Z$49</f>
        <v>0</v>
      </c>
      <c r="AA7" s="20">
        <f>SUM($Z$7:$Z$7)</f>
        <v>0</v>
      </c>
      <c r="AB7" s="20">
        <f>SUMIF($L$4:$AA$4,"SUBTOTAL",$L$7:$AA$7)</f>
        <v>-13.751922882502239</v>
      </c>
    </row>
    <row r="8" spans="1:28" ht="11.25" customHeight="1" x14ac:dyDescent="0.3">
      <c r="A8" s="99" t="s">
        <v>22</v>
      </c>
      <c r="B8" s="99" t="s">
        <v>78</v>
      </c>
      <c r="C8" s="99" t="s">
        <v>24</v>
      </c>
      <c r="D8" s="99" t="s">
        <v>24</v>
      </c>
      <c r="E8" s="99" t="s">
        <v>25</v>
      </c>
      <c r="F8" s="99" t="s">
        <v>25</v>
      </c>
      <c r="G8" s="23" t="s">
        <v>80</v>
      </c>
      <c r="H8" s="23" t="s">
        <v>79</v>
      </c>
      <c r="I8" s="23">
        <f>'MERCADO TE'!$U$5</f>
        <v>0</v>
      </c>
      <c r="J8" s="15"/>
      <c r="L8" s="20">
        <f>'TE BE'!$L$8*'TE BE'!$L$49</f>
        <v>0</v>
      </c>
      <c r="M8" s="20">
        <f>'TE BE'!$M$8*'TE BE'!$M$49</f>
        <v>0</v>
      </c>
      <c r="N8" s="20">
        <f>'TE BE'!$N$8*'TE BE'!$N$49</f>
        <v>0</v>
      </c>
      <c r="O8" s="20">
        <f>'TE BE'!$O$8*'TE BE'!$O$49</f>
        <v>0</v>
      </c>
      <c r="P8" s="20">
        <f>'TE BE'!$P$8*'TE BE'!$P$49</f>
        <v>0</v>
      </c>
      <c r="Q8" s="20">
        <f>SUM($L$8:$P$8)</f>
        <v>0</v>
      </c>
      <c r="R8" s="20">
        <f>'TE BE'!$R$8*'TE BE'!$R$49</f>
        <v>-13.751922882502239</v>
      </c>
      <c r="S8" s="20">
        <f>SUM($R$8:$R$8)</f>
        <v>-13.751922882502239</v>
      </c>
      <c r="T8" s="20">
        <f>'TE BE'!$T$8*'TE BE'!$T$49</f>
        <v>0</v>
      </c>
      <c r="U8" s="20">
        <f>'TE BE'!$U$8*'TE BE'!$U$49</f>
        <v>0</v>
      </c>
      <c r="V8" s="20">
        <f>'TE BE'!$V$8*'TE BE'!$V$49</f>
        <v>0</v>
      </c>
      <c r="W8" s="20">
        <f>SUM($T$8:$V$8)</f>
        <v>0</v>
      </c>
      <c r="X8" s="20">
        <f>'TE BE'!$AB$8*'TE BE'!$X$49</f>
        <v>0</v>
      </c>
      <c r="Y8" s="20">
        <f>SUM($X$8:$X$8)</f>
        <v>0</v>
      </c>
      <c r="Z8" s="20">
        <f>'TE BE'!$Z$8*'TE BE'!$Z$49</f>
        <v>0</v>
      </c>
      <c r="AA8" s="20">
        <f>SUM($Z$8:$Z$8)</f>
        <v>0</v>
      </c>
      <c r="AB8" s="20">
        <f>SUMIF($L$4:$AA$4,"SUBTOTAL",$L$8:$AA$8)</f>
        <v>-13.751922882502239</v>
      </c>
    </row>
    <row r="9" spans="1:28" ht="11.25" customHeight="1" x14ac:dyDescent="0.3">
      <c r="A9" s="99"/>
      <c r="B9" s="99"/>
      <c r="C9" s="99"/>
      <c r="D9" s="99"/>
      <c r="E9" s="99"/>
      <c r="F9" s="99"/>
      <c r="G9" s="23" t="s">
        <v>91</v>
      </c>
      <c r="H9" s="23" t="s">
        <v>79</v>
      </c>
      <c r="I9" s="23">
        <f>'MERCADO TE'!$U$6</f>
        <v>0</v>
      </c>
      <c r="J9" s="15"/>
      <c r="L9" s="20">
        <f>'TE BE'!$L$9*'TE BE'!$L$49</f>
        <v>0</v>
      </c>
      <c r="M9" s="20">
        <f>'TE BE'!$M$9*'TE BE'!$M$49</f>
        <v>0</v>
      </c>
      <c r="N9" s="20">
        <f>'TE BE'!$N$9*'TE BE'!$N$49</f>
        <v>0</v>
      </c>
      <c r="O9" s="20">
        <f>'TE BE'!$O$9*'TE BE'!$O$49</f>
        <v>0</v>
      </c>
      <c r="P9" s="20">
        <f>'TE BE'!$P$9*'TE BE'!$P$49</f>
        <v>0</v>
      </c>
      <c r="Q9" s="20">
        <f>SUM($L$9:$P$9)</f>
        <v>0</v>
      </c>
      <c r="R9" s="20">
        <f>'TE BE'!$R$9*'TE BE'!$R$49</f>
        <v>-13.751922882502239</v>
      </c>
      <c r="S9" s="20">
        <f>SUM($R$9:$R$9)</f>
        <v>-13.751922882502239</v>
      </c>
      <c r="T9" s="20">
        <f>'TE BE'!$T$9*'TE BE'!$T$49</f>
        <v>0</v>
      </c>
      <c r="U9" s="20">
        <f>'TE BE'!$U$9*'TE BE'!$U$49</f>
        <v>0</v>
      </c>
      <c r="V9" s="20">
        <f>'TE BE'!$V$9*'TE BE'!$V$49</f>
        <v>0</v>
      </c>
      <c r="W9" s="20">
        <f>SUM($T$9:$V$9)</f>
        <v>0</v>
      </c>
      <c r="X9" s="20">
        <f>'TE BE'!$AB$9*'TE BE'!$X$49</f>
        <v>0</v>
      </c>
      <c r="Y9" s="20">
        <f>SUM($X$9:$X$9)</f>
        <v>0</v>
      </c>
      <c r="Z9" s="20">
        <f>'TE BE'!$Z$9*'TE BE'!$Z$49</f>
        <v>0</v>
      </c>
      <c r="AA9" s="20">
        <f>SUM($Z$9:$Z$9)</f>
        <v>0</v>
      </c>
      <c r="AB9" s="20">
        <f>SUMIF($L$4:$AA$4,"SUBTOTAL",$L$9:$AA$9)</f>
        <v>-13.751922882502239</v>
      </c>
    </row>
    <row r="10" spans="1:28" ht="11.25" customHeight="1" x14ac:dyDescent="0.3">
      <c r="A10" s="99"/>
      <c r="B10" s="99"/>
      <c r="C10" s="99"/>
      <c r="D10" s="99"/>
      <c r="E10" s="99"/>
      <c r="F10" s="99"/>
      <c r="G10" s="23" t="s">
        <v>81</v>
      </c>
      <c r="H10" s="23" t="s">
        <v>79</v>
      </c>
      <c r="I10" s="23">
        <f>'MERCADO TE'!$U$7</f>
        <v>0</v>
      </c>
      <c r="J10" s="15"/>
      <c r="L10" s="20">
        <f>'TE BE'!$L$10*'TE BE'!$L$49</f>
        <v>0</v>
      </c>
      <c r="M10" s="20">
        <f>'TE BE'!$M$10*'TE BE'!$M$49</f>
        <v>0</v>
      </c>
      <c r="N10" s="20">
        <f>'TE BE'!$N$10*'TE BE'!$N$49</f>
        <v>0</v>
      </c>
      <c r="O10" s="20">
        <f>'TE BE'!$O$10*'TE BE'!$O$49</f>
        <v>0</v>
      </c>
      <c r="P10" s="20">
        <f>'TE BE'!$P$10*'TE BE'!$P$49</f>
        <v>0</v>
      </c>
      <c r="Q10" s="20">
        <f>SUM($L$10:$P$10)</f>
        <v>0</v>
      </c>
      <c r="R10" s="20">
        <f>'TE BE'!$R$10*'TE BE'!$R$49</f>
        <v>-13.751922882502239</v>
      </c>
      <c r="S10" s="20">
        <f>SUM($R$10:$R$10)</f>
        <v>-13.751922882502239</v>
      </c>
      <c r="T10" s="20">
        <f>'TE BE'!$T$10*'TE BE'!$T$49</f>
        <v>0</v>
      </c>
      <c r="U10" s="20">
        <f>'TE BE'!$U$10*'TE BE'!$U$49</f>
        <v>0</v>
      </c>
      <c r="V10" s="20">
        <f>'TE BE'!$V$10*'TE BE'!$V$49</f>
        <v>0</v>
      </c>
      <c r="W10" s="20">
        <f>SUM($T$10:$V$10)</f>
        <v>0</v>
      </c>
      <c r="X10" s="20">
        <f>'TE BE'!$AB$10*'TE BE'!$X$49</f>
        <v>0</v>
      </c>
      <c r="Y10" s="20">
        <f>SUM($X$10:$X$10)</f>
        <v>0</v>
      </c>
      <c r="Z10" s="20">
        <f>'TE BE'!$Z$10*'TE BE'!$Z$49</f>
        <v>0</v>
      </c>
      <c r="AA10" s="20">
        <f>SUM($Z$10:$Z$10)</f>
        <v>0</v>
      </c>
      <c r="AB10" s="20">
        <f>SUMIF($L$4:$AA$4,"SUBTOTAL",$L$10:$AA$10)</f>
        <v>-13.751922882502239</v>
      </c>
    </row>
    <row r="11" spans="1:28" ht="11.25" customHeight="1" x14ac:dyDescent="0.3">
      <c r="A11" s="99"/>
      <c r="B11" s="99" t="s">
        <v>82</v>
      </c>
      <c r="C11" s="99" t="s">
        <v>24</v>
      </c>
      <c r="D11" s="22" t="s">
        <v>24</v>
      </c>
      <c r="E11" s="22" t="s">
        <v>25</v>
      </c>
      <c r="F11" s="22" t="s">
        <v>25</v>
      </c>
      <c r="G11" s="23" t="s">
        <v>83</v>
      </c>
      <c r="H11" s="23" t="s">
        <v>79</v>
      </c>
      <c r="I11" s="23">
        <f>'MERCADO TE'!$U$8</f>
        <v>10969.981</v>
      </c>
      <c r="J11" s="15"/>
      <c r="L11" s="20">
        <f>'TE BE'!$L$11*'TE BE'!$L$49</f>
        <v>0</v>
      </c>
      <c r="M11" s="20">
        <f>'TE BE'!$M$11*'TE BE'!$M$49</f>
        <v>0</v>
      </c>
      <c r="N11" s="20">
        <f>'TE BE'!$N$11*'TE BE'!$N$49</f>
        <v>0</v>
      </c>
      <c r="O11" s="20">
        <f>'TE BE'!$O$11*'TE BE'!$O$49</f>
        <v>0</v>
      </c>
      <c r="P11" s="20">
        <f>'TE BE'!$P$11*'TE BE'!$P$49</f>
        <v>0</v>
      </c>
      <c r="Q11" s="20">
        <f>SUM($L$11:$P$11)</f>
        <v>0</v>
      </c>
      <c r="R11" s="20">
        <f>'TE BE'!$R$11*'TE BE'!$R$49</f>
        <v>-13.751922882502239</v>
      </c>
      <c r="S11" s="20">
        <f>SUM($R$11:$R$11)</f>
        <v>-13.751922882502239</v>
      </c>
      <c r="T11" s="20">
        <f>'TE BE'!$T$11*'TE BE'!$T$49</f>
        <v>0</v>
      </c>
      <c r="U11" s="20">
        <f>'TE BE'!$U$11*'TE BE'!$U$49</f>
        <v>0</v>
      </c>
      <c r="V11" s="20">
        <f>'TE BE'!$V$11*'TE BE'!$V$49</f>
        <v>0</v>
      </c>
      <c r="W11" s="20">
        <f>SUM($T$11:$V$11)</f>
        <v>0</v>
      </c>
      <c r="X11" s="20">
        <f>'TE BE'!$AB$11*'TE BE'!$X$49</f>
        <v>0</v>
      </c>
      <c r="Y11" s="20">
        <f>SUM($X$11:$X$11)</f>
        <v>0</v>
      </c>
      <c r="Z11" s="20">
        <f>'TE BE'!$Z$11*'TE BE'!$Z$49</f>
        <v>0</v>
      </c>
      <c r="AA11" s="20">
        <f>SUM($Z$11:$Z$11)</f>
        <v>0</v>
      </c>
      <c r="AB11" s="20">
        <f>SUMIF($L$4:$AA$4,"SUBTOTAL",$L$11:$AA$11)</f>
        <v>-13.751922882502239</v>
      </c>
    </row>
    <row r="12" spans="1:28" ht="11.25" customHeight="1" x14ac:dyDescent="0.3">
      <c r="A12" s="99"/>
      <c r="B12" s="99"/>
      <c r="C12" s="99"/>
      <c r="D12" s="22" t="s">
        <v>28</v>
      </c>
      <c r="E12" s="22" t="s">
        <v>25</v>
      </c>
      <c r="F12" s="22" t="s">
        <v>25</v>
      </c>
      <c r="G12" s="23" t="s">
        <v>83</v>
      </c>
      <c r="H12" s="23" t="s">
        <v>79</v>
      </c>
      <c r="I12" s="23">
        <f>'MERCADO TE'!$U$9</f>
        <v>87.284999999999997</v>
      </c>
      <c r="J12" s="15"/>
      <c r="L12" s="20">
        <f>'TE BE'!$L$12*'TE BE'!$L$49</f>
        <v>0</v>
      </c>
      <c r="M12" s="20">
        <f>'TE BE'!$M$12*'TE BE'!$M$49</f>
        <v>0</v>
      </c>
      <c r="N12" s="20">
        <f>'TE BE'!$N$12*'TE BE'!$N$49</f>
        <v>0</v>
      </c>
      <c r="O12" s="20">
        <f>'TE BE'!$O$12*'TE BE'!$O$49</f>
        <v>0</v>
      </c>
      <c r="P12" s="20">
        <f>'TE BE'!$P$12*'TE BE'!$P$49</f>
        <v>0</v>
      </c>
      <c r="Q12" s="20">
        <f>SUM($L$12:$P$12)</f>
        <v>0</v>
      </c>
      <c r="R12" s="20">
        <f>'TE BE'!$R$12*'TE BE'!$R$49</f>
        <v>-13.751922882502239</v>
      </c>
      <c r="S12" s="20">
        <f>SUM($R$12:$R$12)</f>
        <v>-13.751922882502239</v>
      </c>
      <c r="T12" s="20">
        <f>'TE BE'!$T$12*'TE BE'!$T$49</f>
        <v>0</v>
      </c>
      <c r="U12" s="20">
        <f>'TE BE'!$U$12*'TE BE'!$U$49</f>
        <v>0</v>
      </c>
      <c r="V12" s="20">
        <f>'TE BE'!$V$12*'TE BE'!$V$49</f>
        <v>0</v>
      </c>
      <c r="W12" s="20">
        <f>SUM($T$12:$V$12)</f>
        <v>0</v>
      </c>
      <c r="X12" s="20">
        <f>'TE BE'!$AB$12*'TE BE'!$X$49</f>
        <v>0</v>
      </c>
      <c r="Y12" s="20">
        <f>SUM($X$12:$X$12)</f>
        <v>0</v>
      </c>
      <c r="Z12" s="20">
        <f>'TE BE'!$Z$12*'TE BE'!$Z$49</f>
        <v>0</v>
      </c>
      <c r="AA12" s="20">
        <f>SUM($Z$12:$Z$12)</f>
        <v>0</v>
      </c>
      <c r="AB12" s="20">
        <f>SUMIF($L$4:$AA$4,"SUBTOTAL",$L$12:$AA$12)</f>
        <v>-13.751922882502239</v>
      </c>
    </row>
    <row r="13" spans="1:28" ht="11.25" customHeight="1" x14ac:dyDescent="0.3">
      <c r="A13" s="99"/>
      <c r="B13" s="99"/>
      <c r="C13" s="99"/>
      <c r="D13" s="22" t="s">
        <v>29</v>
      </c>
      <c r="E13" s="22" t="s">
        <v>25</v>
      </c>
      <c r="F13" s="22" t="s">
        <v>25</v>
      </c>
      <c r="G13" s="23" t="s">
        <v>83</v>
      </c>
      <c r="H13" s="23" t="s">
        <v>79</v>
      </c>
      <c r="I13" s="23">
        <f>'MERCADO TE'!$U$10</f>
        <v>183.16699999999997</v>
      </c>
      <c r="J13" s="15"/>
      <c r="L13" s="20">
        <f>'TE BE'!$L$13*'TE BE'!$L$49</f>
        <v>0</v>
      </c>
      <c r="M13" s="20">
        <f>'TE BE'!$M$13*'TE BE'!$M$49</f>
        <v>0</v>
      </c>
      <c r="N13" s="20">
        <f>'TE BE'!$N$13*'TE BE'!$N$49</f>
        <v>0</v>
      </c>
      <c r="O13" s="20">
        <f>'TE BE'!$O$13*'TE BE'!$O$49</f>
        <v>0</v>
      </c>
      <c r="P13" s="20">
        <f>'TE BE'!$P$13*'TE BE'!$P$49</f>
        <v>0</v>
      </c>
      <c r="Q13" s="20">
        <f>SUM($L$13:$P$13)</f>
        <v>0</v>
      </c>
      <c r="R13" s="20">
        <f>'TE BE'!$R$13*'TE BE'!$R$49</f>
        <v>-13.751922882502239</v>
      </c>
      <c r="S13" s="20">
        <f>SUM($R$13:$R$13)</f>
        <v>-13.751922882502239</v>
      </c>
      <c r="T13" s="20">
        <f>'TE BE'!$T$13*'TE BE'!$T$49</f>
        <v>0</v>
      </c>
      <c r="U13" s="20">
        <f>'TE BE'!$U$13*'TE BE'!$U$49</f>
        <v>0</v>
      </c>
      <c r="V13" s="20">
        <f>'TE BE'!$V$13*'TE BE'!$V$49</f>
        <v>0</v>
      </c>
      <c r="W13" s="20">
        <f>SUM($T$13:$V$13)</f>
        <v>0</v>
      </c>
      <c r="X13" s="20">
        <f>'TE BE'!$AB$13*'TE BE'!$X$49</f>
        <v>0</v>
      </c>
      <c r="Y13" s="20">
        <f>SUM($X$13:$X$13)</f>
        <v>0</v>
      </c>
      <c r="Z13" s="20">
        <f>'TE BE'!$Z$13*'TE BE'!$Z$49</f>
        <v>0</v>
      </c>
      <c r="AA13" s="20">
        <f>SUM($Z$13:$Z$13)</f>
        <v>0</v>
      </c>
      <c r="AB13" s="20">
        <f>SUMIF($L$4:$AA$4,"SUBTOTAL",$L$13:$AA$13)</f>
        <v>-13.751922882502239</v>
      </c>
    </row>
    <row r="14" spans="1:28" ht="11.25" customHeight="1" x14ac:dyDescent="0.3">
      <c r="A14" s="99"/>
      <c r="B14" s="99"/>
      <c r="C14" s="99"/>
      <c r="D14" s="22" t="s">
        <v>30</v>
      </c>
      <c r="E14" s="22" t="s">
        <v>25</v>
      </c>
      <c r="F14" s="22" t="s">
        <v>25</v>
      </c>
      <c r="G14" s="23" t="s">
        <v>83</v>
      </c>
      <c r="H14" s="23" t="s">
        <v>79</v>
      </c>
      <c r="I14" s="23">
        <f>'MERCADO TE'!$U$11</f>
        <v>200.38</v>
      </c>
      <c r="J14" s="15"/>
      <c r="L14" s="20">
        <f>'TE BE'!$L$14*'TE BE'!$L$49</f>
        <v>0</v>
      </c>
      <c r="M14" s="20">
        <f>'TE BE'!$M$14*'TE BE'!$M$49</f>
        <v>0</v>
      </c>
      <c r="N14" s="20">
        <f>'TE BE'!$N$14*'TE BE'!$N$49</f>
        <v>0</v>
      </c>
      <c r="O14" s="20">
        <f>'TE BE'!$O$14*'TE BE'!$O$49</f>
        <v>0</v>
      </c>
      <c r="P14" s="20">
        <f>'TE BE'!$P$14*'TE BE'!$P$49</f>
        <v>0</v>
      </c>
      <c r="Q14" s="20">
        <f>SUM($L$14:$P$14)</f>
        <v>0</v>
      </c>
      <c r="R14" s="20">
        <f>'TE BE'!$R$14*'TE BE'!$R$49</f>
        <v>-13.751922882502239</v>
      </c>
      <c r="S14" s="20">
        <f>SUM($R$14:$R$14)</f>
        <v>-13.751922882502239</v>
      </c>
      <c r="T14" s="20">
        <f>'TE BE'!$T$14*'TE BE'!$T$49</f>
        <v>0</v>
      </c>
      <c r="U14" s="20">
        <f>'TE BE'!$U$14*'TE BE'!$U$49</f>
        <v>0</v>
      </c>
      <c r="V14" s="20">
        <f>'TE BE'!$V$14*'TE BE'!$V$49</f>
        <v>0</v>
      </c>
      <c r="W14" s="20">
        <f>SUM($T$14:$V$14)</f>
        <v>0</v>
      </c>
      <c r="X14" s="20">
        <f>'TE BE'!$AB$14*'TE BE'!$X$49</f>
        <v>0</v>
      </c>
      <c r="Y14" s="20">
        <f>SUM($X$14:$X$14)</f>
        <v>0</v>
      </c>
      <c r="Z14" s="20">
        <f>'TE BE'!$Z$14*'TE BE'!$Z$49</f>
        <v>0</v>
      </c>
      <c r="AA14" s="20">
        <f>SUM($Z$14:$Z$14)</f>
        <v>0</v>
      </c>
      <c r="AB14" s="20">
        <f>SUMIF($L$4:$AA$4,"SUBTOTAL",$L$14:$AA$14)</f>
        <v>-13.751922882502239</v>
      </c>
    </row>
    <row r="15" spans="1:28" ht="11.25" customHeight="1" x14ac:dyDescent="0.3">
      <c r="A15" s="99"/>
      <c r="B15" s="99"/>
      <c r="C15" s="99"/>
      <c r="D15" s="22" t="s">
        <v>31</v>
      </c>
      <c r="E15" s="22" t="s">
        <v>25</v>
      </c>
      <c r="F15" s="22" t="s">
        <v>25</v>
      </c>
      <c r="G15" s="23" t="s">
        <v>83</v>
      </c>
      <c r="H15" s="23" t="s">
        <v>79</v>
      </c>
      <c r="I15" s="23">
        <f>'MERCADO TE'!$U$12</f>
        <v>80.955999999999989</v>
      </c>
      <c r="J15" s="15"/>
      <c r="L15" s="20">
        <f>'TE BE'!$L$15*'TE BE'!$L$49</f>
        <v>0</v>
      </c>
      <c r="M15" s="20">
        <f>'TE BE'!$M$15*'TE BE'!$M$49</f>
        <v>0</v>
      </c>
      <c r="N15" s="20">
        <f>'TE BE'!$N$15*'TE BE'!$N$49</f>
        <v>0</v>
      </c>
      <c r="O15" s="20">
        <f>'TE BE'!$O$15*'TE BE'!$O$49</f>
        <v>0</v>
      </c>
      <c r="P15" s="20">
        <f>'TE BE'!$P$15*'TE BE'!$P$49</f>
        <v>0</v>
      </c>
      <c r="Q15" s="20">
        <f>SUM($L$15:$P$15)</f>
        <v>0</v>
      </c>
      <c r="R15" s="20">
        <f>'TE BE'!$R$15*'TE BE'!$R$49</f>
        <v>-13.751922882502239</v>
      </c>
      <c r="S15" s="20">
        <f>SUM($R$15:$R$15)</f>
        <v>-13.751922882502239</v>
      </c>
      <c r="T15" s="20">
        <f>'TE BE'!$T$15*'TE BE'!$T$49</f>
        <v>0</v>
      </c>
      <c r="U15" s="20">
        <f>'TE BE'!$U$15*'TE BE'!$U$49</f>
        <v>0</v>
      </c>
      <c r="V15" s="20">
        <f>'TE BE'!$V$15*'TE BE'!$V$49</f>
        <v>0</v>
      </c>
      <c r="W15" s="20">
        <f>SUM($T$15:$V$15)</f>
        <v>0</v>
      </c>
      <c r="X15" s="20">
        <f>'TE BE'!$AB$15*'TE BE'!$X$49</f>
        <v>0</v>
      </c>
      <c r="Y15" s="20">
        <f>SUM($X$15:$X$15)</f>
        <v>0</v>
      </c>
      <c r="Z15" s="20">
        <f>'TE BE'!$Z$15*'TE BE'!$Z$49</f>
        <v>0</v>
      </c>
      <c r="AA15" s="20">
        <f>SUM($Z$15:$Z$15)</f>
        <v>0</v>
      </c>
      <c r="AB15" s="20">
        <f>SUMIF($L$4:$AA$4,"SUBTOTAL",$L$15:$AA$15)</f>
        <v>-13.751922882502239</v>
      </c>
    </row>
    <row r="16" spans="1:28" ht="11.25" customHeight="1" x14ac:dyDescent="0.3">
      <c r="A16" s="99"/>
      <c r="B16" s="99" t="s">
        <v>93</v>
      </c>
      <c r="C16" s="99" t="s">
        <v>24</v>
      </c>
      <c r="D16" s="22" t="s">
        <v>24</v>
      </c>
      <c r="E16" s="22" t="s">
        <v>25</v>
      </c>
      <c r="F16" s="22" t="s">
        <v>25</v>
      </c>
      <c r="G16" s="23" t="s">
        <v>83</v>
      </c>
      <c r="H16" s="23" t="s">
        <v>79</v>
      </c>
      <c r="I16" s="23">
        <f>'MERCADO TE'!$U$13</f>
        <v>0</v>
      </c>
      <c r="J16" s="15"/>
      <c r="L16" s="20">
        <f>'TE BE'!$L$16*'TE BE'!$L$49</f>
        <v>0</v>
      </c>
      <c r="M16" s="20">
        <f>'TE BE'!$M$16*'TE BE'!$M$49</f>
        <v>0</v>
      </c>
      <c r="N16" s="20">
        <f>'TE BE'!$N$16*'TE BE'!$N$49</f>
        <v>0</v>
      </c>
      <c r="O16" s="20">
        <f>'TE BE'!$O$16*'TE BE'!$O$49</f>
        <v>0</v>
      </c>
      <c r="P16" s="20">
        <f>'TE BE'!$P$16*'TE BE'!$P$49</f>
        <v>0</v>
      </c>
      <c r="Q16" s="20">
        <f>SUM($L$16:$P$16)</f>
        <v>0</v>
      </c>
      <c r="R16" s="20">
        <f>'TE BE'!$R$16*'TE BE'!$R$49</f>
        <v>-13.751922882502239</v>
      </c>
      <c r="S16" s="20">
        <f>SUM($R$16:$R$16)</f>
        <v>-13.751922882502239</v>
      </c>
      <c r="T16" s="20">
        <f>'TE BE'!$T$16*'TE BE'!$T$49</f>
        <v>0</v>
      </c>
      <c r="U16" s="20">
        <f>'TE BE'!$U$16*'TE BE'!$U$49</f>
        <v>0</v>
      </c>
      <c r="V16" s="20">
        <f>'TE BE'!$V$16*'TE BE'!$V$49</f>
        <v>0</v>
      </c>
      <c r="W16" s="20">
        <f>SUM($T$16:$V$16)</f>
        <v>0</v>
      </c>
      <c r="X16" s="20">
        <f>'TE BE'!$AB$16*'TE BE'!$X$49</f>
        <v>0</v>
      </c>
      <c r="Y16" s="20">
        <f>SUM($X$16:$X$16)</f>
        <v>0</v>
      </c>
      <c r="Z16" s="20">
        <f>'TE BE'!$Z$16*'TE BE'!$Z$49</f>
        <v>0</v>
      </c>
      <c r="AA16" s="20">
        <f>SUM($Z$16:$Z$16)</f>
        <v>0</v>
      </c>
      <c r="AB16" s="20">
        <f>SUMIF($L$4:$AA$4,"SUBTOTAL",$L$16:$AA$16)</f>
        <v>-13.751922882502239</v>
      </c>
    </row>
    <row r="17" spans="1:28" ht="11.25" customHeight="1" x14ac:dyDescent="0.3">
      <c r="A17" s="99"/>
      <c r="B17" s="99"/>
      <c r="C17" s="99"/>
      <c r="D17" s="22" t="s">
        <v>28</v>
      </c>
      <c r="E17" s="22" t="s">
        <v>25</v>
      </c>
      <c r="F17" s="22" t="s">
        <v>25</v>
      </c>
      <c r="G17" s="23" t="s">
        <v>83</v>
      </c>
      <c r="H17" s="23" t="s">
        <v>79</v>
      </c>
      <c r="I17" s="23">
        <f>'MERCADO TE'!$U$14</f>
        <v>0</v>
      </c>
      <c r="J17" s="15"/>
      <c r="L17" s="20">
        <f>'TE BE'!$L$17*'TE BE'!$L$49</f>
        <v>0</v>
      </c>
      <c r="M17" s="20">
        <f>'TE BE'!$M$17*'TE BE'!$M$49</f>
        <v>0</v>
      </c>
      <c r="N17" s="20">
        <f>'TE BE'!$N$17*'TE BE'!$N$49</f>
        <v>0</v>
      </c>
      <c r="O17" s="20">
        <f>'TE BE'!$O$17*'TE BE'!$O$49</f>
        <v>0</v>
      </c>
      <c r="P17" s="20">
        <f>'TE BE'!$P$17*'TE BE'!$P$49</f>
        <v>0</v>
      </c>
      <c r="Q17" s="20">
        <f>SUM($L$17:$P$17)</f>
        <v>0</v>
      </c>
      <c r="R17" s="20">
        <f>'TE BE'!$R$17*'TE BE'!$R$49</f>
        <v>-13.751922882502239</v>
      </c>
      <c r="S17" s="20">
        <f>SUM($R$17:$R$17)</f>
        <v>-13.751922882502239</v>
      </c>
      <c r="T17" s="20">
        <f>'TE BE'!$T$17*'TE BE'!$T$49</f>
        <v>0</v>
      </c>
      <c r="U17" s="20">
        <f>'TE BE'!$U$17*'TE BE'!$U$49</f>
        <v>0</v>
      </c>
      <c r="V17" s="20">
        <f>'TE BE'!$V$17*'TE BE'!$V$49</f>
        <v>0</v>
      </c>
      <c r="W17" s="20">
        <f>SUM($T$17:$V$17)</f>
        <v>0</v>
      </c>
      <c r="X17" s="20">
        <f>'TE BE'!$AB$17*'TE BE'!$X$49</f>
        <v>0</v>
      </c>
      <c r="Y17" s="20">
        <f>SUM($X$17:$X$17)</f>
        <v>0</v>
      </c>
      <c r="Z17" s="20">
        <f>'TE BE'!$Z$17*'TE BE'!$Z$49</f>
        <v>0</v>
      </c>
      <c r="AA17" s="20">
        <f>SUM($Z$17:$Z$17)</f>
        <v>0</v>
      </c>
      <c r="AB17" s="20">
        <f>SUMIF($L$4:$AA$4,"SUBTOTAL",$L$17:$AA$17)</f>
        <v>-13.751922882502239</v>
      </c>
    </row>
    <row r="18" spans="1:28" ht="11.25" customHeight="1" x14ac:dyDescent="0.3">
      <c r="A18" s="99"/>
      <c r="B18" s="99"/>
      <c r="C18" s="99"/>
      <c r="D18" s="22" t="s">
        <v>29</v>
      </c>
      <c r="E18" s="22" t="s">
        <v>25</v>
      </c>
      <c r="F18" s="22" t="s">
        <v>25</v>
      </c>
      <c r="G18" s="23" t="s">
        <v>83</v>
      </c>
      <c r="H18" s="23" t="s">
        <v>79</v>
      </c>
      <c r="I18" s="23">
        <f>'MERCADO TE'!$U$15</f>
        <v>0</v>
      </c>
      <c r="J18" s="15"/>
      <c r="L18" s="20">
        <f>'TE BE'!$L$18*'TE BE'!$L$49</f>
        <v>0</v>
      </c>
      <c r="M18" s="20">
        <f>'TE BE'!$M$18*'TE BE'!$M$49</f>
        <v>0</v>
      </c>
      <c r="N18" s="20">
        <f>'TE BE'!$N$18*'TE BE'!$N$49</f>
        <v>0</v>
      </c>
      <c r="O18" s="20">
        <f>'TE BE'!$O$18*'TE BE'!$O$49</f>
        <v>0</v>
      </c>
      <c r="P18" s="20">
        <f>'TE BE'!$P$18*'TE BE'!$P$49</f>
        <v>0</v>
      </c>
      <c r="Q18" s="20">
        <f>SUM($L$18:$P$18)</f>
        <v>0</v>
      </c>
      <c r="R18" s="20">
        <f>'TE BE'!$R$18*'TE BE'!$R$49</f>
        <v>-13.751922882502239</v>
      </c>
      <c r="S18" s="20">
        <f>SUM($R$18:$R$18)</f>
        <v>-13.751922882502239</v>
      </c>
      <c r="T18" s="20">
        <f>'TE BE'!$T$18*'TE BE'!$T$49</f>
        <v>0</v>
      </c>
      <c r="U18" s="20">
        <f>'TE BE'!$U$18*'TE BE'!$U$49</f>
        <v>0</v>
      </c>
      <c r="V18" s="20">
        <f>'TE BE'!$V$18*'TE BE'!$V$49</f>
        <v>0</v>
      </c>
      <c r="W18" s="20">
        <f>SUM($T$18:$V$18)</f>
        <v>0</v>
      </c>
      <c r="X18" s="20">
        <f>'TE BE'!$AB$18*'TE BE'!$X$49</f>
        <v>0</v>
      </c>
      <c r="Y18" s="20">
        <f>SUM($X$18:$X$18)</f>
        <v>0</v>
      </c>
      <c r="Z18" s="20">
        <f>'TE BE'!$Z$18*'TE BE'!$Z$49</f>
        <v>0</v>
      </c>
      <c r="AA18" s="20">
        <f>SUM($Z$18:$Z$18)</f>
        <v>0</v>
      </c>
      <c r="AB18" s="20">
        <f>SUMIF($L$4:$AA$4,"SUBTOTAL",$L$18:$AA$18)</f>
        <v>-13.751922882502239</v>
      </c>
    </row>
    <row r="19" spans="1:28" ht="11.25" customHeight="1" x14ac:dyDescent="0.3">
      <c r="A19" s="99"/>
      <c r="B19" s="99"/>
      <c r="C19" s="99"/>
      <c r="D19" s="22" t="s">
        <v>30</v>
      </c>
      <c r="E19" s="22" t="s">
        <v>25</v>
      </c>
      <c r="F19" s="22" t="s">
        <v>25</v>
      </c>
      <c r="G19" s="23" t="s">
        <v>83</v>
      </c>
      <c r="H19" s="23" t="s">
        <v>79</v>
      </c>
      <c r="I19" s="23">
        <f>'MERCADO TE'!$U$16</f>
        <v>0</v>
      </c>
      <c r="J19" s="15"/>
      <c r="L19" s="20">
        <f>'TE BE'!$L$19*'TE BE'!$L$49</f>
        <v>0</v>
      </c>
      <c r="M19" s="20">
        <f>'TE BE'!$M$19*'TE BE'!$M$49</f>
        <v>0</v>
      </c>
      <c r="N19" s="20">
        <f>'TE BE'!$N$19*'TE BE'!$N$49</f>
        <v>0</v>
      </c>
      <c r="O19" s="20">
        <f>'TE BE'!$O$19*'TE BE'!$O$49</f>
        <v>0</v>
      </c>
      <c r="P19" s="20">
        <f>'TE BE'!$P$19*'TE BE'!$P$49</f>
        <v>0</v>
      </c>
      <c r="Q19" s="20">
        <f>SUM($L$19:$P$19)</f>
        <v>0</v>
      </c>
      <c r="R19" s="20">
        <f>'TE BE'!$R$19*'TE BE'!$R$49</f>
        <v>-13.751922882502239</v>
      </c>
      <c r="S19" s="20">
        <f>SUM($R$19:$R$19)</f>
        <v>-13.751922882502239</v>
      </c>
      <c r="T19" s="20">
        <f>'TE BE'!$T$19*'TE BE'!$T$49</f>
        <v>0</v>
      </c>
      <c r="U19" s="20">
        <f>'TE BE'!$U$19*'TE BE'!$U$49</f>
        <v>0</v>
      </c>
      <c r="V19" s="20">
        <f>'TE BE'!$V$19*'TE BE'!$V$49</f>
        <v>0</v>
      </c>
      <c r="W19" s="20">
        <f>SUM($T$19:$V$19)</f>
        <v>0</v>
      </c>
      <c r="X19" s="20">
        <f>'TE BE'!$AB$19*'TE BE'!$X$49</f>
        <v>0</v>
      </c>
      <c r="Y19" s="20">
        <f>SUM($X$19:$X$19)</f>
        <v>0</v>
      </c>
      <c r="Z19" s="20">
        <f>'TE BE'!$Z$19*'TE BE'!$Z$49</f>
        <v>0</v>
      </c>
      <c r="AA19" s="20">
        <f>SUM($Z$19:$Z$19)</f>
        <v>0</v>
      </c>
      <c r="AB19" s="20">
        <f>SUMIF($L$4:$AA$4,"SUBTOTAL",$L$19:$AA$19)</f>
        <v>-13.751922882502239</v>
      </c>
    </row>
    <row r="20" spans="1:28" ht="11.25" customHeight="1" x14ac:dyDescent="0.3">
      <c r="A20" s="99"/>
      <c r="B20" s="99"/>
      <c r="C20" s="99"/>
      <c r="D20" s="22" t="s">
        <v>31</v>
      </c>
      <c r="E20" s="22" t="s">
        <v>25</v>
      </c>
      <c r="F20" s="22" t="s">
        <v>25</v>
      </c>
      <c r="G20" s="23" t="s">
        <v>83</v>
      </c>
      <c r="H20" s="23" t="s">
        <v>79</v>
      </c>
      <c r="I20" s="23">
        <f>'MERCADO TE'!$U$17</f>
        <v>0</v>
      </c>
      <c r="J20" s="15"/>
      <c r="L20" s="20">
        <f>'TE BE'!$L$20*'TE BE'!$L$49</f>
        <v>0</v>
      </c>
      <c r="M20" s="20">
        <f>'TE BE'!$M$20*'TE BE'!$M$49</f>
        <v>0</v>
      </c>
      <c r="N20" s="20">
        <f>'TE BE'!$N$20*'TE BE'!$N$49</f>
        <v>0</v>
      </c>
      <c r="O20" s="20">
        <f>'TE BE'!$O$20*'TE BE'!$O$49</f>
        <v>0</v>
      </c>
      <c r="P20" s="20">
        <f>'TE BE'!$P$20*'TE BE'!$P$49</f>
        <v>0</v>
      </c>
      <c r="Q20" s="20">
        <f>SUM($L$20:$P$20)</f>
        <v>0</v>
      </c>
      <c r="R20" s="20">
        <f>'TE BE'!$R$20*'TE BE'!$R$49</f>
        <v>-13.751922882502239</v>
      </c>
      <c r="S20" s="20">
        <f>SUM($R$20:$R$20)</f>
        <v>-13.751922882502239</v>
      </c>
      <c r="T20" s="20">
        <f>'TE BE'!$T$20*'TE BE'!$T$49</f>
        <v>0</v>
      </c>
      <c r="U20" s="20">
        <f>'TE BE'!$U$20*'TE BE'!$U$49</f>
        <v>0</v>
      </c>
      <c r="V20" s="20">
        <f>'TE BE'!$V$20*'TE BE'!$V$49</f>
        <v>0</v>
      </c>
      <c r="W20" s="20">
        <f>SUM($T$20:$V$20)</f>
        <v>0</v>
      </c>
      <c r="X20" s="20">
        <f>'TE BE'!$AB$20*'TE BE'!$X$49</f>
        <v>0</v>
      </c>
      <c r="Y20" s="20">
        <f>SUM($X$20:$X$20)</f>
        <v>0</v>
      </c>
      <c r="Z20" s="20">
        <f>'TE BE'!$Z$20*'TE BE'!$Z$49</f>
        <v>0</v>
      </c>
      <c r="AA20" s="20">
        <f>SUM($Z$20:$Z$20)</f>
        <v>0</v>
      </c>
      <c r="AB20" s="20">
        <f>SUMIF($L$4:$AA$4,"SUBTOTAL",$L$20:$AA$20)</f>
        <v>-13.751922882502239</v>
      </c>
    </row>
    <row r="21" spans="1:28" ht="11.25" customHeight="1" x14ac:dyDescent="0.3">
      <c r="A21" s="99" t="s">
        <v>40</v>
      </c>
      <c r="B21" s="99" t="s">
        <v>78</v>
      </c>
      <c r="C21" s="99" t="s">
        <v>41</v>
      </c>
      <c r="D21" s="99" t="s">
        <v>25</v>
      </c>
      <c r="E21" s="99" t="s">
        <v>25</v>
      </c>
      <c r="F21" s="99" t="s">
        <v>25</v>
      </c>
      <c r="G21" s="23" t="s">
        <v>80</v>
      </c>
      <c r="H21" s="23" t="s">
        <v>79</v>
      </c>
      <c r="I21" s="23">
        <f>'MERCADO TE'!$U$18</f>
        <v>0</v>
      </c>
      <c r="J21" s="15"/>
      <c r="L21" s="20">
        <f>'TE BE'!$L$21*'TE BE'!$L$49</f>
        <v>0</v>
      </c>
      <c r="M21" s="20">
        <f>'TE BE'!$M$21*'TE BE'!$M$49</f>
        <v>0</v>
      </c>
      <c r="N21" s="20">
        <f>'TE BE'!$N$21*'TE BE'!$N$49</f>
        <v>0</v>
      </c>
      <c r="O21" s="20">
        <f>'TE BE'!$O$21*'TE BE'!$O$49</f>
        <v>0</v>
      </c>
      <c r="P21" s="20">
        <f>'TE BE'!$P$21*'TE BE'!$P$49</f>
        <v>0</v>
      </c>
      <c r="Q21" s="20">
        <f>SUM($L$21:$P$21)</f>
        <v>0</v>
      </c>
      <c r="R21" s="20">
        <f>'TE BE'!$R$21*'TE BE'!$R$49</f>
        <v>-13.751922882502239</v>
      </c>
      <c r="S21" s="20">
        <f>SUM($R$21:$R$21)</f>
        <v>-13.751922882502239</v>
      </c>
      <c r="T21" s="20">
        <f>'TE BE'!$T$21*'TE BE'!$T$49</f>
        <v>0</v>
      </c>
      <c r="U21" s="20">
        <f>'TE BE'!$U$21*'TE BE'!$U$49</f>
        <v>0</v>
      </c>
      <c r="V21" s="20">
        <f>'TE BE'!$V$21*'TE BE'!$V$49</f>
        <v>0</v>
      </c>
      <c r="W21" s="20">
        <f>SUM($T$21:$V$21)</f>
        <v>0</v>
      </c>
      <c r="X21" s="20">
        <f>'TE BE'!$AB$21*'TE BE'!$X$49</f>
        <v>0</v>
      </c>
      <c r="Y21" s="20">
        <f>SUM($X$21:$X$21)</f>
        <v>0</v>
      </c>
      <c r="Z21" s="20">
        <f>'TE BE'!$Z$21*'TE BE'!$Z$49</f>
        <v>0</v>
      </c>
      <c r="AA21" s="20">
        <f>SUM($Z$21:$Z$21)</f>
        <v>0</v>
      </c>
      <c r="AB21" s="20">
        <f>SUMIF($L$4:$AA$4,"SUBTOTAL",$L$21:$AA$21)</f>
        <v>-13.751922882502239</v>
      </c>
    </row>
    <row r="22" spans="1:28" ht="11.25" customHeight="1" x14ac:dyDescent="0.3">
      <c r="A22" s="99"/>
      <c r="B22" s="99"/>
      <c r="C22" s="99"/>
      <c r="D22" s="99"/>
      <c r="E22" s="99"/>
      <c r="F22" s="99"/>
      <c r="G22" s="23" t="s">
        <v>91</v>
      </c>
      <c r="H22" s="23" t="s">
        <v>79</v>
      </c>
      <c r="I22" s="23">
        <f>'MERCADO TE'!$U$19</f>
        <v>0</v>
      </c>
      <c r="J22" s="15"/>
      <c r="L22" s="20">
        <f>'TE BE'!$L$22*'TE BE'!$L$49</f>
        <v>0</v>
      </c>
      <c r="M22" s="20">
        <f>'TE BE'!$M$22*'TE BE'!$M$49</f>
        <v>0</v>
      </c>
      <c r="N22" s="20">
        <f>'TE BE'!$N$22*'TE BE'!$N$49</f>
        <v>0</v>
      </c>
      <c r="O22" s="20">
        <f>'TE BE'!$O$22*'TE BE'!$O$49</f>
        <v>0</v>
      </c>
      <c r="P22" s="20">
        <f>'TE BE'!$P$22*'TE BE'!$P$49</f>
        <v>0</v>
      </c>
      <c r="Q22" s="20">
        <f>SUM($L$22:$P$22)</f>
        <v>0</v>
      </c>
      <c r="R22" s="20">
        <f>'TE BE'!$R$22*'TE BE'!$R$49</f>
        <v>-13.751922882502239</v>
      </c>
      <c r="S22" s="20">
        <f>SUM($R$22:$R$22)</f>
        <v>-13.751922882502239</v>
      </c>
      <c r="T22" s="20">
        <f>'TE BE'!$T$22*'TE BE'!$T$49</f>
        <v>0</v>
      </c>
      <c r="U22" s="20">
        <f>'TE BE'!$U$22*'TE BE'!$U$49</f>
        <v>0</v>
      </c>
      <c r="V22" s="20">
        <f>'TE BE'!$V$22*'TE BE'!$V$49</f>
        <v>0</v>
      </c>
      <c r="W22" s="20">
        <f>SUM($T$22:$V$22)</f>
        <v>0</v>
      </c>
      <c r="X22" s="20">
        <f>'TE BE'!$AB$22*'TE BE'!$X$49</f>
        <v>0</v>
      </c>
      <c r="Y22" s="20">
        <f>SUM($X$22:$X$22)</f>
        <v>0</v>
      </c>
      <c r="Z22" s="20">
        <f>'TE BE'!$Z$22*'TE BE'!$Z$49</f>
        <v>0</v>
      </c>
      <c r="AA22" s="20">
        <f>SUM($Z$22:$Z$22)</f>
        <v>0</v>
      </c>
      <c r="AB22" s="20">
        <f>SUMIF($L$4:$AA$4,"SUBTOTAL",$L$22:$AA$22)</f>
        <v>-13.751922882502239</v>
      </c>
    </row>
    <row r="23" spans="1:28" ht="11.25" customHeight="1" x14ac:dyDescent="0.3">
      <c r="A23" s="99"/>
      <c r="B23" s="99"/>
      <c r="C23" s="99"/>
      <c r="D23" s="99"/>
      <c r="E23" s="99"/>
      <c r="F23" s="99"/>
      <c r="G23" s="23" t="s">
        <v>81</v>
      </c>
      <c r="H23" s="23" t="s">
        <v>79</v>
      </c>
      <c r="I23" s="23">
        <f>'MERCADO TE'!$U$20</f>
        <v>0</v>
      </c>
      <c r="J23" s="15"/>
      <c r="L23" s="20">
        <f>'TE BE'!$L$23*'TE BE'!$L$49</f>
        <v>0</v>
      </c>
      <c r="M23" s="20">
        <f>'TE BE'!$M$23*'TE BE'!$M$49</f>
        <v>0</v>
      </c>
      <c r="N23" s="20">
        <f>'TE BE'!$N$23*'TE BE'!$N$49</f>
        <v>0</v>
      </c>
      <c r="O23" s="20">
        <f>'TE BE'!$O$23*'TE BE'!$O$49</f>
        <v>0</v>
      </c>
      <c r="P23" s="20">
        <f>'TE BE'!$P$23*'TE BE'!$P$49</f>
        <v>0</v>
      </c>
      <c r="Q23" s="20">
        <f>SUM($L$23:$P$23)</f>
        <v>0</v>
      </c>
      <c r="R23" s="20">
        <f>'TE BE'!$R$23*'TE BE'!$R$49</f>
        <v>-13.751922882502239</v>
      </c>
      <c r="S23" s="20">
        <f>SUM($R$23:$R$23)</f>
        <v>-13.751922882502239</v>
      </c>
      <c r="T23" s="20">
        <f>'TE BE'!$T$23*'TE BE'!$T$49</f>
        <v>0</v>
      </c>
      <c r="U23" s="20">
        <f>'TE BE'!$U$23*'TE BE'!$U$49</f>
        <v>0</v>
      </c>
      <c r="V23" s="20">
        <f>'TE BE'!$V$23*'TE BE'!$V$49</f>
        <v>0</v>
      </c>
      <c r="W23" s="20">
        <f>SUM($T$23:$V$23)</f>
        <v>0</v>
      </c>
      <c r="X23" s="20">
        <f>'TE BE'!$AB$23*'TE BE'!$X$49</f>
        <v>0</v>
      </c>
      <c r="Y23" s="20">
        <f>SUM($X$23:$X$23)</f>
        <v>0</v>
      </c>
      <c r="Z23" s="20">
        <f>'TE BE'!$Z$23*'TE BE'!$Z$49</f>
        <v>0</v>
      </c>
      <c r="AA23" s="20">
        <f>SUM($Z$23:$Z$23)</f>
        <v>0</v>
      </c>
      <c r="AB23" s="20">
        <f>SUMIF($L$4:$AA$4,"SUBTOTAL",$L$23:$AA$23)</f>
        <v>-13.751922882502239</v>
      </c>
    </row>
    <row r="24" spans="1:28" ht="11.25" customHeight="1" x14ac:dyDescent="0.3">
      <c r="A24" s="99"/>
      <c r="B24" s="22" t="s">
        <v>82</v>
      </c>
      <c r="C24" s="22" t="s">
        <v>41</v>
      </c>
      <c r="D24" s="22" t="s">
        <v>25</v>
      </c>
      <c r="E24" s="22" t="s">
        <v>25</v>
      </c>
      <c r="F24" s="22" t="s">
        <v>25</v>
      </c>
      <c r="G24" s="23" t="s">
        <v>83</v>
      </c>
      <c r="H24" s="23" t="s">
        <v>79</v>
      </c>
      <c r="I24" s="23">
        <f>'MERCADO TE'!$U$21</f>
        <v>15119.107000000002</v>
      </c>
      <c r="J24" s="15"/>
      <c r="L24" s="20">
        <f>'TE BE'!$L$24*'TE BE'!$L$49</f>
        <v>0</v>
      </c>
      <c r="M24" s="20">
        <f>'TE BE'!$M$24*'TE BE'!$M$49</f>
        <v>0</v>
      </c>
      <c r="N24" s="20">
        <f>'TE BE'!$N$24*'TE BE'!$N$49</f>
        <v>0</v>
      </c>
      <c r="O24" s="20">
        <f>'TE BE'!$O$24*'TE BE'!$O$49</f>
        <v>0</v>
      </c>
      <c r="P24" s="20">
        <f>'TE BE'!$P$24*'TE BE'!$P$49</f>
        <v>0</v>
      </c>
      <c r="Q24" s="20">
        <f>SUM($L$24:$P$24)</f>
        <v>0</v>
      </c>
      <c r="R24" s="20">
        <f>'TE BE'!$R$24*'TE BE'!$R$49</f>
        <v>-13.751922882502239</v>
      </c>
      <c r="S24" s="20">
        <f>SUM($R$24:$R$24)</f>
        <v>-13.751922882502239</v>
      </c>
      <c r="T24" s="20">
        <f>'TE BE'!$T$24*'TE BE'!$T$49</f>
        <v>0</v>
      </c>
      <c r="U24" s="20">
        <f>'TE BE'!$U$24*'TE BE'!$U$49</f>
        <v>0</v>
      </c>
      <c r="V24" s="20">
        <f>'TE BE'!$V$24*'TE BE'!$V$49</f>
        <v>0</v>
      </c>
      <c r="W24" s="20">
        <f>SUM($T$24:$V$24)</f>
        <v>0</v>
      </c>
      <c r="X24" s="20">
        <f>'TE BE'!$AB$24*'TE BE'!$X$49</f>
        <v>0</v>
      </c>
      <c r="Y24" s="20">
        <f>SUM($X$24:$X$24)</f>
        <v>0</v>
      </c>
      <c r="Z24" s="20">
        <f>'TE BE'!$Z$24*'TE BE'!$Z$49</f>
        <v>0</v>
      </c>
      <c r="AA24" s="20">
        <f>SUM($Z$24:$Z$24)</f>
        <v>0</v>
      </c>
      <c r="AB24" s="20">
        <f>SUMIF($L$4:$AA$4,"SUBTOTAL",$L$24:$AA$24)</f>
        <v>-13.751922882502239</v>
      </c>
    </row>
    <row r="25" spans="1:28" ht="11.25" customHeight="1" x14ac:dyDescent="0.3">
      <c r="A25" s="99"/>
      <c r="B25" s="99" t="s">
        <v>78</v>
      </c>
      <c r="C25" s="99" t="s">
        <v>41</v>
      </c>
      <c r="D25" s="99" t="s">
        <v>95</v>
      </c>
      <c r="E25" s="99" t="s">
        <v>25</v>
      </c>
      <c r="F25" s="99" t="s">
        <v>25</v>
      </c>
      <c r="G25" s="23" t="s">
        <v>80</v>
      </c>
      <c r="H25" s="23" t="s">
        <v>79</v>
      </c>
      <c r="I25" s="23">
        <f>'MERCADO TE'!$U$22</f>
        <v>0</v>
      </c>
      <c r="J25" s="15"/>
      <c r="L25" s="20">
        <f>'TE BE'!$L$25*'TE BE'!$L$49</f>
        <v>0</v>
      </c>
      <c r="M25" s="20">
        <f>'TE BE'!$M$25*'TE BE'!$M$49</f>
        <v>0</v>
      </c>
      <c r="N25" s="20">
        <f>'TE BE'!$N$25*'TE BE'!$N$49</f>
        <v>0</v>
      </c>
      <c r="O25" s="20">
        <f>'TE BE'!$O$25*'TE BE'!$O$49</f>
        <v>0</v>
      </c>
      <c r="P25" s="20">
        <f>'TE BE'!$P$25*'TE BE'!$P$49</f>
        <v>0</v>
      </c>
      <c r="Q25" s="20">
        <f>SUM($L$25:$P$25)</f>
        <v>0</v>
      </c>
      <c r="R25" s="20">
        <f>'TE BE'!$R$25*'TE BE'!$R$49</f>
        <v>-13.751922882502239</v>
      </c>
      <c r="S25" s="20">
        <f>SUM($R$25:$R$25)</f>
        <v>-13.751922882502239</v>
      </c>
      <c r="T25" s="20">
        <f>'TE BE'!$T$25*'TE BE'!$T$49</f>
        <v>0</v>
      </c>
      <c r="U25" s="20">
        <f>'TE BE'!$U$25*'TE BE'!$U$49</f>
        <v>0</v>
      </c>
      <c r="V25" s="20">
        <f>'TE BE'!$V$25*'TE BE'!$V$49</f>
        <v>0</v>
      </c>
      <c r="W25" s="20">
        <f>SUM($T$25:$V$25)</f>
        <v>0</v>
      </c>
      <c r="X25" s="20">
        <f>'TE BE'!$AB$25*'TE BE'!$X$49</f>
        <v>0</v>
      </c>
      <c r="Y25" s="20">
        <f>SUM($X$25:$X$25)</f>
        <v>0</v>
      </c>
      <c r="Z25" s="20">
        <f>'TE BE'!$Z$25*'TE BE'!$Z$49</f>
        <v>0</v>
      </c>
      <c r="AA25" s="20">
        <f>SUM($Z$25:$Z$25)</f>
        <v>0</v>
      </c>
      <c r="AB25" s="20">
        <f>SUMIF($L$4:$AA$4,"SUBTOTAL",$L$25:$AA$25)</f>
        <v>-13.751922882502239</v>
      </c>
    </row>
    <row r="26" spans="1:28" ht="11.25" customHeight="1" x14ac:dyDescent="0.3">
      <c r="A26" s="99"/>
      <c r="B26" s="99"/>
      <c r="C26" s="99"/>
      <c r="D26" s="99"/>
      <c r="E26" s="99"/>
      <c r="F26" s="99"/>
      <c r="G26" s="23" t="s">
        <v>91</v>
      </c>
      <c r="H26" s="23" t="s">
        <v>79</v>
      </c>
      <c r="I26" s="23">
        <f>'MERCADO TE'!$U$23</f>
        <v>0</v>
      </c>
      <c r="J26" s="15"/>
      <c r="L26" s="20">
        <f>'TE BE'!$L$26*'TE BE'!$L$49</f>
        <v>0</v>
      </c>
      <c r="M26" s="20">
        <f>'TE BE'!$M$26*'TE BE'!$M$49</f>
        <v>0</v>
      </c>
      <c r="N26" s="20">
        <f>'TE BE'!$N$26*'TE BE'!$N$49</f>
        <v>0</v>
      </c>
      <c r="O26" s="20">
        <f>'TE BE'!$O$26*'TE BE'!$O$49</f>
        <v>0</v>
      </c>
      <c r="P26" s="20">
        <f>'TE BE'!$P$26*'TE BE'!$P$49</f>
        <v>0</v>
      </c>
      <c r="Q26" s="20">
        <f>SUM($L$26:$P$26)</f>
        <v>0</v>
      </c>
      <c r="R26" s="20">
        <f>'TE BE'!$R$26*'TE BE'!$R$49</f>
        <v>-13.751922882502239</v>
      </c>
      <c r="S26" s="20">
        <f>SUM($R$26:$R$26)</f>
        <v>-13.751922882502239</v>
      </c>
      <c r="T26" s="20">
        <f>'TE BE'!$T$26*'TE BE'!$T$49</f>
        <v>0</v>
      </c>
      <c r="U26" s="20">
        <f>'TE BE'!$U$26*'TE BE'!$U$49</f>
        <v>0</v>
      </c>
      <c r="V26" s="20">
        <f>'TE BE'!$V$26*'TE BE'!$V$49</f>
        <v>0</v>
      </c>
      <c r="W26" s="20">
        <f>SUM($T$26:$V$26)</f>
        <v>0</v>
      </c>
      <c r="X26" s="20">
        <f>'TE BE'!$AB$26*'TE BE'!$X$49</f>
        <v>0</v>
      </c>
      <c r="Y26" s="20">
        <f>SUM($X$26:$X$26)</f>
        <v>0</v>
      </c>
      <c r="Z26" s="20">
        <f>'TE BE'!$Z$26*'TE BE'!$Z$49</f>
        <v>0</v>
      </c>
      <c r="AA26" s="20">
        <f>SUM($Z$26:$Z$26)</f>
        <v>0</v>
      </c>
      <c r="AB26" s="20">
        <f>SUMIF($L$4:$AA$4,"SUBTOTAL",$L$26:$AA$26)</f>
        <v>-13.751922882502239</v>
      </c>
    </row>
    <row r="27" spans="1:28" ht="11.25" customHeight="1" x14ac:dyDescent="0.3">
      <c r="A27" s="99"/>
      <c r="B27" s="99"/>
      <c r="C27" s="99"/>
      <c r="D27" s="99"/>
      <c r="E27" s="99"/>
      <c r="F27" s="99"/>
      <c r="G27" s="23" t="s">
        <v>81</v>
      </c>
      <c r="H27" s="23" t="s">
        <v>79</v>
      </c>
      <c r="I27" s="23">
        <f>'MERCADO TE'!$U$24</f>
        <v>0</v>
      </c>
      <c r="J27" s="15"/>
      <c r="L27" s="20">
        <f>'TE BE'!$L$27*'TE BE'!$L$49</f>
        <v>0</v>
      </c>
      <c r="M27" s="20">
        <f>'TE BE'!$M$27*'TE BE'!$M$49</f>
        <v>0</v>
      </c>
      <c r="N27" s="20">
        <f>'TE BE'!$N$27*'TE BE'!$N$49</f>
        <v>0</v>
      </c>
      <c r="O27" s="20">
        <f>'TE BE'!$O$27*'TE BE'!$O$49</f>
        <v>0</v>
      </c>
      <c r="P27" s="20">
        <f>'TE BE'!$P$27*'TE BE'!$P$49</f>
        <v>0</v>
      </c>
      <c r="Q27" s="20">
        <f>SUM($L$27:$P$27)</f>
        <v>0</v>
      </c>
      <c r="R27" s="20">
        <f>'TE BE'!$R$27*'TE BE'!$R$49</f>
        <v>-13.751922882502239</v>
      </c>
      <c r="S27" s="20">
        <f>SUM($R$27:$R$27)</f>
        <v>-13.751922882502239</v>
      </c>
      <c r="T27" s="20">
        <f>'TE BE'!$T$27*'TE BE'!$T$49</f>
        <v>0</v>
      </c>
      <c r="U27" s="20">
        <f>'TE BE'!$U$27*'TE BE'!$U$49</f>
        <v>0</v>
      </c>
      <c r="V27" s="20">
        <f>'TE BE'!$V$27*'TE BE'!$V$49</f>
        <v>0</v>
      </c>
      <c r="W27" s="20">
        <f>SUM($T$27:$V$27)</f>
        <v>0</v>
      </c>
      <c r="X27" s="20">
        <f>'TE BE'!$AB$27*'TE BE'!$X$49</f>
        <v>0</v>
      </c>
      <c r="Y27" s="20">
        <f>SUM($X$27:$X$27)</f>
        <v>0</v>
      </c>
      <c r="Z27" s="20">
        <f>'TE BE'!$Z$27*'TE BE'!$Z$49</f>
        <v>0</v>
      </c>
      <c r="AA27" s="20">
        <f>SUM($Z$27:$Z$27)</f>
        <v>0</v>
      </c>
      <c r="AB27" s="20">
        <f>SUMIF($L$4:$AA$4,"SUBTOTAL",$L$27:$AA$27)</f>
        <v>-13.751922882502239</v>
      </c>
    </row>
    <row r="28" spans="1:28" ht="11.25" customHeight="1" x14ac:dyDescent="0.3">
      <c r="A28" s="99"/>
      <c r="B28" s="22" t="s">
        <v>82</v>
      </c>
      <c r="C28" s="22" t="s">
        <v>41</v>
      </c>
      <c r="D28" s="22" t="s">
        <v>95</v>
      </c>
      <c r="E28" s="22" t="s">
        <v>25</v>
      </c>
      <c r="F28" s="22" t="s">
        <v>25</v>
      </c>
      <c r="G28" s="23" t="s">
        <v>83</v>
      </c>
      <c r="H28" s="23" t="s">
        <v>79</v>
      </c>
      <c r="I28" s="23">
        <f>'MERCADO TE'!$U$25</f>
        <v>0</v>
      </c>
      <c r="J28" s="15"/>
      <c r="L28" s="20">
        <f>'TE BE'!$L$28*'TE BE'!$L$49</f>
        <v>0</v>
      </c>
      <c r="M28" s="20">
        <f>'TE BE'!$M$28*'TE BE'!$M$49</f>
        <v>0</v>
      </c>
      <c r="N28" s="20">
        <f>'TE BE'!$N$28*'TE BE'!$N$49</f>
        <v>0</v>
      </c>
      <c r="O28" s="20">
        <f>'TE BE'!$O$28*'TE BE'!$O$49</f>
        <v>0</v>
      </c>
      <c r="P28" s="20">
        <f>'TE BE'!$P$28*'TE BE'!$P$49</f>
        <v>0</v>
      </c>
      <c r="Q28" s="20">
        <f>SUM($L$28:$P$28)</f>
        <v>0</v>
      </c>
      <c r="R28" s="20">
        <f>'TE BE'!$R$28*'TE BE'!$R$49</f>
        <v>-13.751922882502239</v>
      </c>
      <c r="S28" s="20">
        <f>SUM($R$28:$R$28)</f>
        <v>-13.751922882502239</v>
      </c>
      <c r="T28" s="20">
        <f>'TE BE'!$T$28*'TE BE'!$T$49</f>
        <v>0</v>
      </c>
      <c r="U28" s="20">
        <f>'TE BE'!$U$28*'TE BE'!$U$49</f>
        <v>0</v>
      </c>
      <c r="V28" s="20">
        <f>'TE BE'!$V$28*'TE BE'!$V$49</f>
        <v>0</v>
      </c>
      <c r="W28" s="20">
        <f>SUM($T$28:$V$28)</f>
        <v>0</v>
      </c>
      <c r="X28" s="20">
        <f>'TE BE'!$AB$28*'TE BE'!$X$49</f>
        <v>0</v>
      </c>
      <c r="Y28" s="20">
        <f>SUM($X$28:$X$28)</f>
        <v>0</v>
      </c>
      <c r="Z28" s="20">
        <f>'TE BE'!$Z$28*'TE BE'!$Z$49</f>
        <v>0</v>
      </c>
      <c r="AA28" s="20">
        <f>SUM($Z$28:$Z$28)</f>
        <v>0</v>
      </c>
      <c r="AB28" s="20">
        <f>SUMIF($L$4:$AA$4,"SUBTOTAL",$L$28:$AA$28)</f>
        <v>-13.751922882502239</v>
      </c>
    </row>
    <row r="29" spans="1:28" ht="11.25" customHeight="1" x14ac:dyDescent="0.3">
      <c r="A29" s="99"/>
      <c r="B29" s="99" t="s">
        <v>78</v>
      </c>
      <c r="C29" s="99" t="s">
        <v>41</v>
      </c>
      <c r="D29" s="99" t="s">
        <v>96</v>
      </c>
      <c r="E29" s="99" t="s">
        <v>25</v>
      </c>
      <c r="F29" s="99" t="s">
        <v>25</v>
      </c>
      <c r="G29" s="23" t="s">
        <v>80</v>
      </c>
      <c r="H29" s="23" t="s">
        <v>79</v>
      </c>
      <c r="I29" s="23">
        <f>'MERCADO TE'!$U$26</f>
        <v>0</v>
      </c>
      <c r="J29" s="15"/>
      <c r="L29" s="20">
        <f>'TE BE'!$L$29*'TE BE'!$L$49</f>
        <v>0</v>
      </c>
      <c r="M29" s="20">
        <f>'TE BE'!$M$29*'TE BE'!$M$49</f>
        <v>0</v>
      </c>
      <c r="N29" s="20">
        <f>'TE BE'!$N$29*'TE BE'!$N$49</f>
        <v>0</v>
      </c>
      <c r="O29" s="20">
        <f>'TE BE'!$O$29*'TE BE'!$O$49</f>
        <v>0</v>
      </c>
      <c r="P29" s="20">
        <f>'TE BE'!$P$29*'TE BE'!$P$49</f>
        <v>0</v>
      </c>
      <c r="Q29" s="20">
        <f>SUM($L$29:$P$29)</f>
        <v>0</v>
      </c>
      <c r="R29" s="20">
        <f>'TE BE'!$R$29*'TE BE'!$R$49</f>
        <v>-13.751922882502239</v>
      </c>
      <c r="S29" s="20">
        <f>SUM($R$29:$R$29)</f>
        <v>-13.751922882502239</v>
      </c>
      <c r="T29" s="20">
        <f>'TE BE'!$T$29*'TE BE'!$T$49</f>
        <v>0</v>
      </c>
      <c r="U29" s="20">
        <f>'TE BE'!$U$29*'TE BE'!$U$49</f>
        <v>0</v>
      </c>
      <c r="V29" s="20">
        <f>'TE BE'!$V$29*'TE BE'!$V$49</f>
        <v>0</v>
      </c>
      <c r="W29" s="20">
        <f>SUM($T$29:$V$29)</f>
        <v>0</v>
      </c>
      <c r="X29" s="20">
        <f>'TE BE'!$AB$29*'TE BE'!$X$49</f>
        <v>0</v>
      </c>
      <c r="Y29" s="20">
        <f>SUM($X$29:$X$29)</f>
        <v>0</v>
      </c>
      <c r="Z29" s="20">
        <f>'TE BE'!$Z$29*'TE BE'!$Z$49</f>
        <v>0</v>
      </c>
      <c r="AA29" s="20">
        <f>SUM($Z$29:$Z$29)</f>
        <v>0</v>
      </c>
      <c r="AB29" s="20">
        <f>SUMIF($L$4:$AA$4,"SUBTOTAL",$L$29:$AA$29)</f>
        <v>-13.751922882502239</v>
      </c>
    </row>
    <row r="30" spans="1:28" ht="11.25" customHeight="1" x14ac:dyDescent="0.3">
      <c r="A30" s="99"/>
      <c r="B30" s="99"/>
      <c r="C30" s="99"/>
      <c r="D30" s="99"/>
      <c r="E30" s="99"/>
      <c r="F30" s="99"/>
      <c r="G30" s="23" t="s">
        <v>91</v>
      </c>
      <c r="H30" s="23" t="s">
        <v>79</v>
      </c>
      <c r="I30" s="23">
        <f>'MERCADO TE'!$U$27</f>
        <v>0</v>
      </c>
      <c r="J30" s="15"/>
      <c r="L30" s="20">
        <f>'TE BE'!$L$30*'TE BE'!$L$49</f>
        <v>0</v>
      </c>
      <c r="M30" s="20">
        <f>'TE BE'!$M$30*'TE BE'!$M$49</f>
        <v>0</v>
      </c>
      <c r="N30" s="20">
        <f>'TE BE'!$N$30*'TE BE'!$N$49</f>
        <v>0</v>
      </c>
      <c r="O30" s="20">
        <f>'TE BE'!$O$30*'TE BE'!$O$49</f>
        <v>0</v>
      </c>
      <c r="P30" s="20">
        <f>'TE BE'!$P$30*'TE BE'!$P$49</f>
        <v>0</v>
      </c>
      <c r="Q30" s="20">
        <f>SUM($L$30:$P$30)</f>
        <v>0</v>
      </c>
      <c r="R30" s="20">
        <f>'TE BE'!$R$30*'TE BE'!$R$49</f>
        <v>-13.751922882502239</v>
      </c>
      <c r="S30" s="20">
        <f>SUM($R$30:$R$30)</f>
        <v>-13.751922882502239</v>
      </c>
      <c r="T30" s="20">
        <f>'TE BE'!$T$30*'TE BE'!$T$49</f>
        <v>0</v>
      </c>
      <c r="U30" s="20">
        <f>'TE BE'!$U$30*'TE BE'!$U$49</f>
        <v>0</v>
      </c>
      <c r="V30" s="20">
        <f>'TE BE'!$V$30*'TE BE'!$V$49</f>
        <v>0</v>
      </c>
      <c r="W30" s="20">
        <f>SUM($T$30:$V$30)</f>
        <v>0</v>
      </c>
      <c r="X30" s="20">
        <f>'TE BE'!$AB$30*'TE BE'!$X$49</f>
        <v>0</v>
      </c>
      <c r="Y30" s="20">
        <f>SUM($X$30:$X$30)</f>
        <v>0</v>
      </c>
      <c r="Z30" s="20">
        <f>'TE BE'!$Z$30*'TE BE'!$Z$49</f>
        <v>0</v>
      </c>
      <c r="AA30" s="20">
        <f>SUM($Z$30:$Z$30)</f>
        <v>0</v>
      </c>
      <c r="AB30" s="20">
        <f>SUMIF($L$4:$AA$4,"SUBTOTAL",$L$30:$AA$30)</f>
        <v>-13.751922882502239</v>
      </c>
    </row>
    <row r="31" spans="1:28" ht="11.25" customHeight="1" x14ac:dyDescent="0.3">
      <c r="A31" s="99"/>
      <c r="B31" s="99"/>
      <c r="C31" s="99"/>
      <c r="D31" s="99"/>
      <c r="E31" s="99"/>
      <c r="F31" s="99"/>
      <c r="G31" s="23" t="s">
        <v>81</v>
      </c>
      <c r="H31" s="23" t="s">
        <v>79</v>
      </c>
      <c r="I31" s="23">
        <f>'MERCADO TE'!$U$28</f>
        <v>0</v>
      </c>
      <c r="J31" s="15"/>
      <c r="L31" s="20">
        <f>'TE BE'!$L$31*'TE BE'!$L$49</f>
        <v>0</v>
      </c>
      <c r="M31" s="20">
        <f>'TE BE'!$M$31*'TE BE'!$M$49</f>
        <v>0</v>
      </c>
      <c r="N31" s="20">
        <f>'TE BE'!$N$31*'TE BE'!$N$49</f>
        <v>0</v>
      </c>
      <c r="O31" s="20">
        <f>'TE BE'!$O$31*'TE BE'!$O$49</f>
        <v>0</v>
      </c>
      <c r="P31" s="20">
        <f>'TE BE'!$P$31*'TE BE'!$P$49</f>
        <v>0</v>
      </c>
      <c r="Q31" s="20">
        <f>SUM($L$31:$P$31)</f>
        <v>0</v>
      </c>
      <c r="R31" s="20">
        <f>'TE BE'!$R$31*'TE BE'!$R$49</f>
        <v>-13.751922882502239</v>
      </c>
      <c r="S31" s="20">
        <f>SUM($R$31:$R$31)</f>
        <v>-13.751922882502239</v>
      </c>
      <c r="T31" s="20">
        <f>'TE BE'!$T$31*'TE BE'!$T$49</f>
        <v>0</v>
      </c>
      <c r="U31" s="20">
        <f>'TE BE'!$U$31*'TE BE'!$U$49</f>
        <v>0</v>
      </c>
      <c r="V31" s="20">
        <f>'TE BE'!$V$31*'TE BE'!$V$49</f>
        <v>0</v>
      </c>
      <c r="W31" s="20">
        <f>SUM($T$31:$V$31)</f>
        <v>0</v>
      </c>
      <c r="X31" s="20">
        <f>'TE BE'!$AB$31*'TE BE'!$X$49</f>
        <v>0</v>
      </c>
      <c r="Y31" s="20">
        <f>SUM($X$31:$X$31)</f>
        <v>0</v>
      </c>
      <c r="Z31" s="20">
        <f>'TE BE'!$Z$31*'TE BE'!$Z$49</f>
        <v>0</v>
      </c>
      <c r="AA31" s="20">
        <f>SUM($Z$31:$Z$31)</f>
        <v>0</v>
      </c>
      <c r="AB31" s="20">
        <f>SUMIF($L$4:$AA$4,"SUBTOTAL",$L$31:$AA$31)</f>
        <v>-13.751922882502239</v>
      </c>
    </row>
    <row r="32" spans="1:28" ht="11.25" customHeight="1" x14ac:dyDescent="0.3">
      <c r="A32" s="99"/>
      <c r="B32" s="22" t="s">
        <v>82</v>
      </c>
      <c r="C32" s="22" t="s">
        <v>41</v>
      </c>
      <c r="D32" s="22" t="s">
        <v>96</v>
      </c>
      <c r="E32" s="22" t="s">
        <v>25</v>
      </c>
      <c r="F32" s="22" t="s">
        <v>25</v>
      </c>
      <c r="G32" s="23" t="s">
        <v>83</v>
      </c>
      <c r="H32" s="23" t="s">
        <v>79</v>
      </c>
      <c r="I32" s="23">
        <f>'MERCADO TE'!$U$29</f>
        <v>0</v>
      </c>
      <c r="J32" s="15"/>
      <c r="L32" s="20">
        <f>'TE BE'!$L$32*'TE BE'!$L$49</f>
        <v>0</v>
      </c>
      <c r="M32" s="20">
        <f>'TE BE'!$M$32*'TE BE'!$M$49</f>
        <v>0</v>
      </c>
      <c r="N32" s="20">
        <f>'TE BE'!$N$32*'TE BE'!$N$49</f>
        <v>0</v>
      </c>
      <c r="O32" s="20">
        <f>'TE BE'!$O$32*'TE BE'!$O$49</f>
        <v>0</v>
      </c>
      <c r="P32" s="20">
        <f>'TE BE'!$P$32*'TE BE'!$P$49</f>
        <v>0</v>
      </c>
      <c r="Q32" s="20">
        <f>SUM($L$32:$P$32)</f>
        <v>0</v>
      </c>
      <c r="R32" s="20">
        <f>'TE BE'!$R$32*'TE BE'!$R$49</f>
        <v>-13.751922882502239</v>
      </c>
      <c r="S32" s="20">
        <f>SUM($R$32:$R$32)</f>
        <v>-13.751922882502239</v>
      </c>
      <c r="T32" s="20">
        <f>'TE BE'!$T$32*'TE BE'!$T$49</f>
        <v>0</v>
      </c>
      <c r="U32" s="20">
        <f>'TE BE'!$U$32*'TE BE'!$U$49</f>
        <v>0</v>
      </c>
      <c r="V32" s="20">
        <f>'TE BE'!$V$32*'TE BE'!$V$49</f>
        <v>0</v>
      </c>
      <c r="W32" s="20">
        <f>SUM($T$32:$V$32)</f>
        <v>0</v>
      </c>
      <c r="X32" s="20">
        <f>'TE BE'!$AB$32*'TE BE'!$X$49</f>
        <v>0</v>
      </c>
      <c r="Y32" s="20">
        <f>SUM($X$32:$X$32)</f>
        <v>0</v>
      </c>
      <c r="Z32" s="20">
        <f>'TE BE'!$Z$32*'TE BE'!$Z$49</f>
        <v>0</v>
      </c>
      <c r="AA32" s="20">
        <f>SUM($Z$32:$Z$32)</f>
        <v>0</v>
      </c>
      <c r="AB32" s="20">
        <f>SUMIF($L$4:$AA$4,"SUBTOTAL",$L$32:$AA$32)</f>
        <v>-13.751922882502239</v>
      </c>
    </row>
    <row r="33" spans="1:28" ht="11.25" customHeight="1" x14ac:dyDescent="0.3">
      <c r="A33" s="99"/>
      <c r="B33" s="99" t="s">
        <v>93</v>
      </c>
      <c r="C33" s="99" t="s">
        <v>41</v>
      </c>
      <c r="D33" s="22" t="s">
        <v>25</v>
      </c>
      <c r="E33" s="22" t="s">
        <v>25</v>
      </c>
      <c r="F33" s="22" t="s">
        <v>25</v>
      </c>
      <c r="G33" s="23" t="s">
        <v>83</v>
      </c>
      <c r="H33" s="23" t="s">
        <v>79</v>
      </c>
      <c r="I33" s="23">
        <f>'MERCADO TE'!$U$30</f>
        <v>0</v>
      </c>
      <c r="J33" s="15"/>
      <c r="L33" s="20">
        <f>'TE BE'!$L$33*'TE BE'!$L$49</f>
        <v>0</v>
      </c>
      <c r="M33" s="20">
        <f>'TE BE'!$M$33*'TE BE'!$M$49</f>
        <v>0</v>
      </c>
      <c r="N33" s="20">
        <f>'TE BE'!$N$33*'TE BE'!$N$49</f>
        <v>0</v>
      </c>
      <c r="O33" s="20">
        <f>'TE BE'!$O$33*'TE BE'!$O$49</f>
        <v>0</v>
      </c>
      <c r="P33" s="20">
        <f>'TE BE'!$P$33*'TE BE'!$P$49</f>
        <v>0</v>
      </c>
      <c r="Q33" s="20">
        <f>SUM($L$33:$P$33)</f>
        <v>0</v>
      </c>
      <c r="R33" s="20">
        <f>'TE BE'!$R$33*'TE BE'!$R$49</f>
        <v>-13.751922882502239</v>
      </c>
      <c r="S33" s="20">
        <f>SUM($R$33:$R$33)</f>
        <v>-13.751922882502239</v>
      </c>
      <c r="T33" s="20">
        <f>'TE BE'!$T$33*'TE BE'!$T$49</f>
        <v>0</v>
      </c>
      <c r="U33" s="20">
        <f>'TE BE'!$U$33*'TE BE'!$U$49</f>
        <v>0</v>
      </c>
      <c r="V33" s="20">
        <f>'TE BE'!$V$33*'TE BE'!$V$49</f>
        <v>0</v>
      </c>
      <c r="W33" s="20">
        <f>SUM($T$33:$V$33)</f>
        <v>0</v>
      </c>
      <c r="X33" s="20">
        <f>'TE BE'!$AB$33*'TE BE'!$X$49</f>
        <v>0</v>
      </c>
      <c r="Y33" s="20">
        <f>SUM($X$33:$X$33)</f>
        <v>0</v>
      </c>
      <c r="Z33" s="20">
        <f>'TE BE'!$Z$33*'TE BE'!$Z$49</f>
        <v>0</v>
      </c>
      <c r="AA33" s="20">
        <f>SUM($Z$33:$Z$33)</f>
        <v>0</v>
      </c>
      <c r="AB33" s="20">
        <f>SUMIF($L$4:$AA$4,"SUBTOTAL",$L$33:$AA$33)</f>
        <v>-13.751922882502239</v>
      </c>
    </row>
    <row r="34" spans="1:28" ht="11.25" customHeight="1" x14ac:dyDescent="0.3">
      <c r="A34" s="99"/>
      <c r="B34" s="99"/>
      <c r="C34" s="99"/>
      <c r="D34" s="22" t="s">
        <v>95</v>
      </c>
      <c r="E34" s="22" t="s">
        <v>25</v>
      </c>
      <c r="F34" s="22" t="s">
        <v>25</v>
      </c>
      <c r="G34" s="23" t="s">
        <v>83</v>
      </c>
      <c r="H34" s="23" t="s">
        <v>79</v>
      </c>
      <c r="I34" s="23">
        <f>'MERCADO TE'!$U$31</f>
        <v>0</v>
      </c>
      <c r="J34" s="15"/>
      <c r="L34" s="20">
        <f>'TE BE'!$L$34*'TE BE'!$L$49</f>
        <v>0</v>
      </c>
      <c r="M34" s="20">
        <f>'TE BE'!$M$34*'TE BE'!$M$49</f>
        <v>0</v>
      </c>
      <c r="N34" s="20">
        <f>'TE BE'!$N$34*'TE BE'!$N$49</f>
        <v>0</v>
      </c>
      <c r="O34" s="20">
        <f>'TE BE'!$O$34*'TE BE'!$O$49</f>
        <v>0</v>
      </c>
      <c r="P34" s="20">
        <f>'TE BE'!$P$34*'TE BE'!$P$49</f>
        <v>0</v>
      </c>
      <c r="Q34" s="20">
        <f>SUM($L$34:$P$34)</f>
        <v>0</v>
      </c>
      <c r="R34" s="20">
        <f>'TE BE'!$R$34*'TE BE'!$R$49</f>
        <v>-13.751922882502239</v>
      </c>
      <c r="S34" s="20">
        <f>SUM($R$34:$R$34)</f>
        <v>-13.751922882502239</v>
      </c>
      <c r="T34" s="20">
        <f>'TE BE'!$T$34*'TE BE'!$T$49</f>
        <v>0</v>
      </c>
      <c r="U34" s="20">
        <f>'TE BE'!$U$34*'TE BE'!$U$49</f>
        <v>0</v>
      </c>
      <c r="V34" s="20">
        <f>'TE BE'!$V$34*'TE BE'!$V$49</f>
        <v>0</v>
      </c>
      <c r="W34" s="20">
        <f>SUM($T$34:$V$34)</f>
        <v>0</v>
      </c>
      <c r="X34" s="20">
        <f>'TE BE'!$AB$34*'TE BE'!$X$49</f>
        <v>0</v>
      </c>
      <c r="Y34" s="20">
        <f>SUM($X$34:$X$34)</f>
        <v>0</v>
      </c>
      <c r="Z34" s="20">
        <f>'TE BE'!$Z$34*'TE BE'!$Z$49</f>
        <v>0</v>
      </c>
      <c r="AA34" s="20">
        <f>SUM($Z$34:$Z$34)</f>
        <v>0</v>
      </c>
      <c r="AB34" s="20">
        <f>SUMIF($L$4:$AA$4,"SUBTOTAL",$L$34:$AA$34)</f>
        <v>-13.751922882502239</v>
      </c>
    </row>
    <row r="35" spans="1:28" ht="11.25" customHeight="1" x14ac:dyDescent="0.3">
      <c r="A35" s="99"/>
      <c r="B35" s="99"/>
      <c r="C35" s="99"/>
      <c r="D35" s="22" t="s">
        <v>96</v>
      </c>
      <c r="E35" s="22" t="s">
        <v>25</v>
      </c>
      <c r="F35" s="22" t="s">
        <v>25</v>
      </c>
      <c r="G35" s="23" t="s">
        <v>83</v>
      </c>
      <c r="H35" s="23" t="s">
        <v>79</v>
      </c>
      <c r="I35" s="23">
        <f>'MERCADO TE'!$U$32</f>
        <v>0</v>
      </c>
      <c r="J35" s="15"/>
      <c r="L35" s="20">
        <f>'TE BE'!$L$35*'TE BE'!$L$49</f>
        <v>0</v>
      </c>
      <c r="M35" s="20">
        <f>'TE BE'!$M$35*'TE BE'!$M$49</f>
        <v>0</v>
      </c>
      <c r="N35" s="20">
        <f>'TE BE'!$N$35*'TE BE'!$N$49</f>
        <v>0</v>
      </c>
      <c r="O35" s="20">
        <f>'TE BE'!$O$35*'TE BE'!$O$49</f>
        <v>0</v>
      </c>
      <c r="P35" s="20">
        <f>'TE BE'!$P$35*'TE BE'!$P$49</f>
        <v>0</v>
      </c>
      <c r="Q35" s="20">
        <f>SUM($L$35:$P$35)</f>
        <v>0</v>
      </c>
      <c r="R35" s="20">
        <f>'TE BE'!$R$35*'TE BE'!$R$49</f>
        <v>-13.751922882502239</v>
      </c>
      <c r="S35" s="20">
        <f>SUM($R$35:$R$35)</f>
        <v>-13.751922882502239</v>
      </c>
      <c r="T35" s="20">
        <f>'TE BE'!$T$35*'TE BE'!$T$49</f>
        <v>0</v>
      </c>
      <c r="U35" s="20">
        <f>'TE BE'!$U$35*'TE BE'!$U$49</f>
        <v>0</v>
      </c>
      <c r="V35" s="20">
        <f>'TE BE'!$V$35*'TE BE'!$V$49</f>
        <v>0</v>
      </c>
      <c r="W35" s="20">
        <f>SUM($T$35:$V$35)</f>
        <v>0</v>
      </c>
      <c r="X35" s="20">
        <f>'TE BE'!$AB$35*'TE BE'!$X$49</f>
        <v>0</v>
      </c>
      <c r="Y35" s="20">
        <f>SUM($X$35:$X$35)</f>
        <v>0</v>
      </c>
      <c r="Z35" s="20">
        <f>'TE BE'!$Z$35*'TE BE'!$Z$49</f>
        <v>0</v>
      </c>
      <c r="AA35" s="20">
        <f>SUM($Z$35:$Z$35)</f>
        <v>0</v>
      </c>
      <c r="AB35" s="20">
        <f>SUMIF($L$4:$AA$4,"SUBTOTAL",$L$35:$AA$35)</f>
        <v>-13.751922882502239</v>
      </c>
    </row>
    <row r="36" spans="1:28" ht="11.25" customHeight="1" x14ac:dyDescent="0.3">
      <c r="A36" s="99" t="s">
        <v>32</v>
      </c>
      <c r="B36" s="99" t="s">
        <v>78</v>
      </c>
      <c r="C36" s="99" t="s">
        <v>25</v>
      </c>
      <c r="D36" s="99" t="s">
        <v>25</v>
      </c>
      <c r="E36" s="99" t="s">
        <v>25</v>
      </c>
      <c r="F36" s="99" t="s">
        <v>25</v>
      </c>
      <c r="G36" s="23" t="s">
        <v>80</v>
      </c>
      <c r="H36" s="23" t="s">
        <v>79</v>
      </c>
      <c r="I36" s="23">
        <f>'MERCADO TE'!$U$33</f>
        <v>0</v>
      </c>
      <c r="J36" s="15"/>
      <c r="L36" s="20">
        <f>'TE BE'!$L$36*'TE BE'!$L$49</f>
        <v>0</v>
      </c>
      <c r="M36" s="20">
        <f>'TE BE'!$M$36*'TE BE'!$M$49</f>
        <v>0</v>
      </c>
      <c r="N36" s="20">
        <f>'TE BE'!$N$36*'TE BE'!$N$49</f>
        <v>0</v>
      </c>
      <c r="O36" s="20">
        <f>'TE BE'!$O$36*'TE BE'!$O$49</f>
        <v>0</v>
      </c>
      <c r="P36" s="20">
        <f>'TE BE'!$P$36*'TE BE'!$P$49</f>
        <v>0</v>
      </c>
      <c r="Q36" s="20">
        <f>SUM($L$36:$P$36)</f>
        <v>0</v>
      </c>
      <c r="R36" s="20">
        <f>'TE BE'!$R$36*'TE BE'!$R$49</f>
        <v>-13.751922882502239</v>
      </c>
      <c r="S36" s="20">
        <f>SUM($R$36:$R$36)</f>
        <v>-13.751922882502239</v>
      </c>
      <c r="T36" s="20">
        <f>'TE BE'!$T$36*'TE BE'!$T$49</f>
        <v>0</v>
      </c>
      <c r="U36" s="20">
        <f>'TE BE'!$U$36*'TE BE'!$U$49</f>
        <v>0</v>
      </c>
      <c r="V36" s="20">
        <f>'TE BE'!$V$36*'TE BE'!$V$49</f>
        <v>0</v>
      </c>
      <c r="W36" s="20">
        <f>SUM($T$36:$V$36)</f>
        <v>0</v>
      </c>
      <c r="X36" s="20">
        <f>'TE BE'!$AB$36*'TE BE'!$X$49</f>
        <v>0</v>
      </c>
      <c r="Y36" s="20">
        <f>SUM($X$36:$X$36)</f>
        <v>0</v>
      </c>
      <c r="Z36" s="20">
        <f>'TE BE'!$Z$36*'TE BE'!$Z$49</f>
        <v>0</v>
      </c>
      <c r="AA36" s="20">
        <f>SUM($Z$36:$Z$36)</f>
        <v>0</v>
      </c>
      <c r="AB36" s="20">
        <f>SUMIF($L$4:$AA$4,"SUBTOTAL",$L$36:$AA$36)</f>
        <v>-13.751922882502239</v>
      </c>
    </row>
    <row r="37" spans="1:28" ht="11.25" customHeight="1" x14ac:dyDescent="0.3">
      <c r="A37" s="99"/>
      <c r="B37" s="99"/>
      <c r="C37" s="99"/>
      <c r="D37" s="99"/>
      <c r="E37" s="99"/>
      <c r="F37" s="99"/>
      <c r="G37" s="23" t="s">
        <v>91</v>
      </c>
      <c r="H37" s="23" t="s">
        <v>79</v>
      </c>
      <c r="I37" s="23">
        <f>'MERCADO TE'!$U$34</f>
        <v>0</v>
      </c>
      <c r="J37" s="15"/>
      <c r="L37" s="20">
        <f>'TE BE'!$L$37*'TE BE'!$L$49</f>
        <v>0</v>
      </c>
      <c r="M37" s="20">
        <f>'TE BE'!$M$37*'TE BE'!$M$49</f>
        <v>0</v>
      </c>
      <c r="N37" s="20">
        <f>'TE BE'!$N$37*'TE BE'!$N$49</f>
        <v>0</v>
      </c>
      <c r="O37" s="20">
        <f>'TE BE'!$O$37*'TE BE'!$O$49</f>
        <v>0</v>
      </c>
      <c r="P37" s="20">
        <f>'TE BE'!$P$37*'TE BE'!$P$49</f>
        <v>0</v>
      </c>
      <c r="Q37" s="20">
        <f>SUM($L$37:$P$37)</f>
        <v>0</v>
      </c>
      <c r="R37" s="20">
        <f>'TE BE'!$R$37*'TE BE'!$R$49</f>
        <v>-13.751922882502239</v>
      </c>
      <c r="S37" s="20">
        <f>SUM($R$37:$R$37)</f>
        <v>-13.751922882502239</v>
      </c>
      <c r="T37" s="20">
        <f>'TE BE'!$T$37*'TE BE'!$T$49</f>
        <v>0</v>
      </c>
      <c r="U37" s="20">
        <f>'TE BE'!$U$37*'TE BE'!$U$49</f>
        <v>0</v>
      </c>
      <c r="V37" s="20">
        <f>'TE BE'!$V$37*'TE BE'!$V$49</f>
        <v>0</v>
      </c>
      <c r="W37" s="20">
        <f>SUM($T$37:$V$37)</f>
        <v>0</v>
      </c>
      <c r="X37" s="20">
        <f>'TE BE'!$AB$37*'TE BE'!$X$49</f>
        <v>0</v>
      </c>
      <c r="Y37" s="20">
        <f>SUM($X$37:$X$37)</f>
        <v>0</v>
      </c>
      <c r="Z37" s="20">
        <f>'TE BE'!$Z$37*'TE BE'!$Z$49</f>
        <v>0</v>
      </c>
      <c r="AA37" s="20">
        <f>SUM($Z$37:$Z$37)</f>
        <v>0</v>
      </c>
      <c r="AB37" s="20">
        <f>SUMIF($L$4:$AA$4,"SUBTOTAL",$L$37:$AA$37)</f>
        <v>-13.751922882502239</v>
      </c>
    </row>
    <row r="38" spans="1:28" ht="11.25" customHeight="1" x14ac:dyDescent="0.3">
      <c r="A38" s="99"/>
      <c r="B38" s="99"/>
      <c r="C38" s="99"/>
      <c r="D38" s="99"/>
      <c r="E38" s="99"/>
      <c r="F38" s="99"/>
      <c r="G38" s="23" t="s">
        <v>81</v>
      </c>
      <c r="H38" s="23" t="s">
        <v>79</v>
      </c>
      <c r="I38" s="23">
        <f>'MERCADO TE'!$U$35</f>
        <v>0</v>
      </c>
      <c r="J38" s="15"/>
      <c r="L38" s="20">
        <f>'TE BE'!$L$38*'TE BE'!$L$49</f>
        <v>0</v>
      </c>
      <c r="M38" s="20">
        <f>'TE BE'!$M$38*'TE BE'!$M$49</f>
        <v>0</v>
      </c>
      <c r="N38" s="20">
        <f>'TE BE'!$N$38*'TE BE'!$N$49</f>
        <v>0</v>
      </c>
      <c r="O38" s="20">
        <f>'TE BE'!$O$38*'TE BE'!$O$49</f>
        <v>0</v>
      </c>
      <c r="P38" s="20">
        <f>'TE BE'!$P$38*'TE BE'!$P$49</f>
        <v>0</v>
      </c>
      <c r="Q38" s="20">
        <f>SUM($L$38:$P$38)</f>
        <v>0</v>
      </c>
      <c r="R38" s="20">
        <f>'TE BE'!$R$38*'TE BE'!$R$49</f>
        <v>-13.751922882502239</v>
      </c>
      <c r="S38" s="20">
        <f>SUM($R$38:$R$38)</f>
        <v>-13.751922882502239</v>
      </c>
      <c r="T38" s="20">
        <f>'TE BE'!$T$38*'TE BE'!$T$49</f>
        <v>0</v>
      </c>
      <c r="U38" s="20">
        <f>'TE BE'!$U$38*'TE BE'!$U$49</f>
        <v>0</v>
      </c>
      <c r="V38" s="20">
        <f>'TE BE'!$V$38*'TE BE'!$V$49</f>
        <v>0</v>
      </c>
      <c r="W38" s="20">
        <f>SUM($T$38:$V$38)</f>
        <v>0</v>
      </c>
      <c r="X38" s="20">
        <f>'TE BE'!$AB$38*'TE BE'!$X$49</f>
        <v>0</v>
      </c>
      <c r="Y38" s="20">
        <f>SUM($X$38:$X$38)</f>
        <v>0</v>
      </c>
      <c r="Z38" s="20">
        <f>'TE BE'!$Z$38*'TE BE'!$Z$49</f>
        <v>0</v>
      </c>
      <c r="AA38" s="20">
        <f>SUM($Z$38:$Z$38)</f>
        <v>0</v>
      </c>
      <c r="AB38" s="20">
        <f>SUMIF($L$4:$AA$4,"SUBTOTAL",$L$38:$AA$38)</f>
        <v>-13.751922882502239</v>
      </c>
    </row>
    <row r="39" spans="1:28" ht="11.25" customHeight="1" x14ac:dyDescent="0.3">
      <c r="A39" s="99"/>
      <c r="B39" s="22" t="s">
        <v>82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83</v>
      </c>
      <c r="H39" s="23" t="s">
        <v>79</v>
      </c>
      <c r="I39" s="23">
        <f>'MERCADO TE'!$U$36</f>
        <v>7750.1880000000001</v>
      </c>
      <c r="J39" s="15"/>
      <c r="L39" s="20">
        <f>'TE BE'!$L$39*'TE BE'!$L$49</f>
        <v>0</v>
      </c>
      <c r="M39" s="20">
        <f>'TE BE'!$M$39*'TE BE'!$M$49</f>
        <v>0</v>
      </c>
      <c r="N39" s="20">
        <f>'TE BE'!$N$39*'TE BE'!$N$49</f>
        <v>0</v>
      </c>
      <c r="O39" s="20">
        <f>'TE BE'!$O$39*'TE BE'!$O$49</f>
        <v>0</v>
      </c>
      <c r="P39" s="20">
        <f>'TE BE'!$P$39*'TE BE'!$P$49</f>
        <v>0</v>
      </c>
      <c r="Q39" s="20">
        <f>SUM($L$39:$P$39)</f>
        <v>0</v>
      </c>
      <c r="R39" s="20">
        <f>'TE BE'!$R$39*'TE BE'!$R$49</f>
        <v>-13.751922882502239</v>
      </c>
      <c r="S39" s="20">
        <f>SUM($R$39:$R$39)</f>
        <v>-13.751922882502239</v>
      </c>
      <c r="T39" s="20">
        <f>'TE BE'!$T$39*'TE BE'!$T$49</f>
        <v>0</v>
      </c>
      <c r="U39" s="20">
        <f>'TE BE'!$U$39*'TE BE'!$U$49</f>
        <v>0</v>
      </c>
      <c r="V39" s="20">
        <f>'TE BE'!$V$39*'TE BE'!$V$49</f>
        <v>0</v>
      </c>
      <c r="W39" s="20">
        <f>SUM($T$39:$V$39)</f>
        <v>0</v>
      </c>
      <c r="X39" s="20">
        <f>'TE BE'!$AB$39*'TE BE'!$X$49</f>
        <v>0</v>
      </c>
      <c r="Y39" s="20">
        <f>SUM($X$39:$X$39)</f>
        <v>0</v>
      </c>
      <c r="Z39" s="20">
        <f>'TE BE'!$Z$39*'TE BE'!$Z$49</f>
        <v>0</v>
      </c>
      <c r="AA39" s="20">
        <f>SUM($Z$39:$Z$39)</f>
        <v>0</v>
      </c>
      <c r="AB39" s="20">
        <f>SUMIF($L$4:$AA$4,"SUBTOTAL",$L$39:$AA$39)</f>
        <v>-13.751922882502239</v>
      </c>
    </row>
    <row r="40" spans="1:28" ht="11.25" customHeight="1" x14ac:dyDescent="0.3">
      <c r="A40" s="99"/>
      <c r="B40" s="22" t="s">
        <v>93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83</v>
      </c>
      <c r="H40" s="23" t="s">
        <v>79</v>
      </c>
      <c r="I40" s="23">
        <f>'MERCADO TE'!$U$37</f>
        <v>0</v>
      </c>
      <c r="J40" s="15"/>
      <c r="L40" s="20">
        <f>'TE BE'!$L$40*'TE BE'!$L$49</f>
        <v>0</v>
      </c>
      <c r="M40" s="20">
        <f>'TE BE'!$M$40*'TE BE'!$M$49</f>
        <v>0</v>
      </c>
      <c r="N40" s="20">
        <f>'TE BE'!$N$40*'TE BE'!$N$49</f>
        <v>0</v>
      </c>
      <c r="O40" s="20">
        <f>'TE BE'!$O$40*'TE BE'!$O$49</f>
        <v>0</v>
      </c>
      <c r="P40" s="20">
        <f>'TE BE'!$P$40*'TE BE'!$P$49</f>
        <v>0</v>
      </c>
      <c r="Q40" s="20">
        <f>SUM($L$40:$P$40)</f>
        <v>0</v>
      </c>
      <c r="R40" s="20">
        <f>'TE BE'!$R$40*'TE BE'!$R$49</f>
        <v>-13.751922882502239</v>
      </c>
      <c r="S40" s="20">
        <f>SUM($R$40:$R$40)</f>
        <v>-13.751922882502239</v>
      </c>
      <c r="T40" s="20">
        <f>'TE BE'!$T$40*'TE BE'!$T$49</f>
        <v>0</v>
      </c>
      <c r="U40" s="20">
        <f>'TE BE'!$U$40*'TE BE'!$U$49</f>
        <v>0</v>
      </c>
      <c r="V40" s="20">
        <f>'TE BE'!$V$40*'TE BE'!$V$49</f>
        <v>0</v>
      </c>
      <c r="W40" s="20">
        <f>SUM($T$40:$V$40)</f>
        <v>0</v>
      </c>
      <c r="X40" s="20">
        <f>'TE BE'!$AB$40*'TE BE'!$X$49</f>
        <v>0</v>
      </c>
      <c r="Y40" s="20">
        <f>SUM($X$40:$X$40)</f>
        <v>0</v>
      </c>
      <c r="Z40" s="20">
        <f>'TE BE'!$Z$40*'TE BE'!$Z$49</f>
        <v>0</v>
      </c>
      <c r="AA40" s="20">
        <f>SUM($Z$40:$Z$40)</f>
        <v>0</v>
      </c>
      <c r="AB40" s="20">
        <f>SUMIF($L$4:$AA$4,"SUBTOTAL",$L$40:$AA$40)</f>
        <v>-13.751922882502239</v>
      </c>
    </row>
    <row r="41" spans="1:28" ht="11.25" customHeight="1" x14ac:dyDescent="0.3">
      <c r="A41" s="99" t="s">
        <v>43</v>
      </c>
      <c r="B41" s="99" t="s">
        <v>82</v>
      </c>
      <c r="C41" s="99" t="s">
        <v>44</v>
      </c>
      <c r="D41" s="22" t="s">
        <v>97</v>
      </c>
      <c r="E41" s="22" t="s">
        <v>25</v>
      </c>
      <c r="F41" s="22" t="s">
        <v>25</v>
      </c>
      <c r="G41" s="23" t="s">
        <v>83</v>
      </c>
      <c r="H41" s="23" t="s">
        <v>79</v>
      </c>
      <c r="I41" s="23">
        <f>'MERCADO TE'!$U$38</f>
        <v>0</v>
      </c>
      <c r="J41" s="15"/>
      <c r="L41" s="20">
        <f>'TE BE'!$L$41*'TE BE'!$L$49</f>
        <v>0</v>
      </c>
      <c r="M41" s="20">
        <f>'TE BE'!$M$41*'TE BE'!$M$49</f>
        <v>0</v>
      </c>
      <c r="N41" s="20">
        <f>'TE BE'!$N$41*'TE BE'!$N$49</f>
        <v>0</v>
      </c>
      <c r="O41" s="20">
        <f>'TE BE'!$O$41*'TE BE'!$O$49</f>
        <v>0</v>
      </c>
      <c r="P41" s="20">
        <f>'TE BE'!$P$41*'TE BE'!$P$49</f>
        <v>0</v>
      </c>
      <c r="Q41" s="20">
        <f>SUM($L$41:$P$41)</f>
        <v>0</v>
      </c>
      <c r="R41" s="20">
        <f>'TE BE'!$R$41*'TE BE'!$R$49</f>
        <v>-7.5635575853762322</v>
      </c>
      <c r="S41" s="20">
        <f>SUM($R$41:$R$41)</f>
        <v>-7.5635575853762322</v>
      </c>
      <c r="T41" s="20">
        <f>'TE BE'!$T$41*'TE BE'!$T$49</f>
        <v>0</v>
      </c>
      <c r="U41" s="20">
        <f>'TE BE'!$U$41*'TE BE'!$U$49</f>
        <v>0</v>
      </c>
      <c r="V41" s="20">
        <f>'TE BE'!$V$41*'TE BE'!$V$49</f>
        <v>0</v>
      </c>
      <c r="W41" s="20">
        <f>SUM($T$41:$V$41)</f>
        <v>0</v>
      </c>
      <c r="X41" s="20">
        <f>'TE BE'!$AB$41*'TE BE'!$X$49</f>
        <v>0</v>
      </c>
      <c r="Y41" s="20">
        <f>SUM($X$41:$X$41)</f>
        <v>0</v>
      </c>
      <c r="Z41" s="20">
        <f>'TE BE'!$Z$41*'TE BE'!$Z$49</f>
        <v>0</v>
      </c>
      <c r="AA41" s="20">
        <f>SUM($Z$41:$Z$41)</f>
        <v>0</v>
      </c>
      <c r="AB41" s="20">
        <f>SUMIF($L$4:$AA$4,"SUBTOTAL",$L$41:$AA$41)</f>
        <v>-7.5635575853762322</v>
      </c>
    </row>
    <row r="42" spans="1:28" ht="11.25" customHeight="1" x14ac:dyDescent="0.3">
      <c r="A42" s="99"/>
      <c r="B42" s="99"/>
      <c r="C42" s="99"/>
      <c r="D42" s="23" t="s">
        <v>45</v>
      </c>
      <c r="E42" s="23" t="s">
        <v>25</v>
      </c>
      <c r="F42" s="23" t="s">
        <v>25</v>
      </c>
      <c r="G42" s="23" t="s">
        <v>83</v>
      </c>
      <c r="H42" s="23" t="s">
        <v>79</v>
      </c>
      <c r="I42" s="23">
        <f>'MERCADO TE'!$U$39</f>
        <v>1776.7269999999999</v>
      </c>
      <c r="J42" s="15"/>
      <c r="L42" s="20">
        <f>'TE BE'!$L$42*'TE BE'!$L$49</f>
        <v>0</v>
      </c>
      <c r="M42" s="20">
        <f>'TE BE'!$M$42*'TE BE'!$M$49</f>
        <v>0</v>
      </c>
      <c r="N42" s="20">
        <f>'TE BE'!$N$42*'TE BE'!$N$49</f>
        <v>0</v>
      </c>
      <c r="O42" s="20">
        <f>'TE BE'!$O$42*'TE BE'!$O$49</f>
        <v>0</v>
      </c>
      <c r="P42" s="20">
        <f>'TE BE'!$P$42*'TE BE'!$P$49</f>
        <v>0</v>
      </c>
      <c r="Q42" s="20">
        <f>SUM($L$42:$P$42)</f>
        <v>0</v>
      </c>
      <c r="R42" s="20">
        <f>'TE BE'!$R$42*'TE BE'!$R$49</f>
        <v>-8.2511537295013433</v>
      </c>
      <c r="S42" s="20">
        <f>SUM($R$42:$R$42)</f>
        <v>-8.2511537295013433</v>
      </c>
      <c r="T42" s="20">
        <f>'TE BE'!$T$42*'TE BE'!$T$49</f>
        <v>0</v>
      </c>
      <c r="U42" s="20">
        <f>'TE BE'!$U$42*'TE BE'!$U$49</f>
        <v>0</v>
      </c>
      <c r="V42" s="20">
        <f>'TE BE'!$V$42*'TE BE'!$V$49</f>
        <v>0</v>
      </c>
      <c r="W42" s="20">
        <f>SUM($T$42:$V$42)</f>
        <v>0</v>
      </c>
      <c r="X42" s="20">
        <f>'TE BE'!$AB$42*'TE BE'!$X$49</f>
        <v>0</v>
      </c>
      <c r="Y42" s="20">
        <f>SUM($X$42:$X$42)</f>
        <v>0</v>
      </c>
      <c r="Z42" s="20">
        <f>'TE BE'!$Z$42*'TE BE'!$Z$49</f>
        <v>0</v>
      </c>
      <c r="AA42" s="20">
        <f>SUM($Z$42:$Z$42)</f>
        <v>0</v>
      </c>
      <c r="AB42" s="20">
        <f>SUMIF($L$4:$AA$4,"SUBTOTAL",$L$42:$AA$42)</f>
        <v>-8.2511537295013433</v>
      </c>
    </row>
    <row r="44" spans="1:28" ht="11.25" customHeight="1" x14ac:dyDescent="0.3">
      <c r="K44" s="25" t="s">
        <v>516</v>
      </c>
      <c r="L44" s="20">
        <f t="shared" ref="L44:AB44" si="0">SUMPRODUCT($I$5:$I$42,L$5:L$42)</f>
        <v>0</v>
      </c>
      <c r="M44" s="20">
        <f t="shared" si="0"/>
        <v>0</v>
      </c>
      <c r="N44" s="20">
        <f t="shared" si="0"/>
        <v>0</v>
      </c>
      <c r="O44" s="20">
        <f t="shared" si="0"/>
        <v>0</v>
      </c>
      <c r="P44" s="20">
        <f t="shared" si="0"/>
        <v>0</v>
      </c>
      <c r="Q44" s="20">
        <f t="shared" si="0"/>
        <v>0</v>
      </c>
      <c r="R44" s="20">
        <f t="shared" si="0"/>
        <v>-594186.99455570441</v>
      </c>
      <c r="S44" s="20">
        <f t="shared" si="0"/>
        <v>-594186.99455570441</v>
      </c>
      <c r="T44" s="20">
        <f t="shared" si="0"/>
        <v>0</v>
      </c>
      <c r="U44" s="20">
        <f t="shared" si="0"/>
        <v>0</v>
      </c>
      <c r="V44" s="20">
        <f t="shared" si="0"/>
        <v>0</v>
      </c>
      <c r="W44" s="20">
        <f t="shared" si="0"/>
        <v>0</v>
      </c>
      <c r="X44" s="20">
        <f t="shared" si="0"/>
        <v>0</v>
      </c>
      <c r="Y44" s="20">
        <f t="shared" si="0"/>
        <v>0</v>
      </c>
      <c r="Z44" s="20">
        <f t="shared" si="0"/>
        <v>0</v>
      </c>
      <c r="AA44" s="20">
        <f t="shared" si="0"/>
        <v>0</v>
      </c>
      <c r="AB44" s="20">
        <f t="shared" si="0"/>
        <v>-594186.99455570441</v>
      </c>
    </row>
    <row r="45" spans="1:28" ht="11.25" customHeight="1" x14ac:dyDescent="0.3">
      <c r="K45" s="25" t="s">
        <v>435</v>
      </c>
      <c r="L45" s="20">
        <f>CUSTOS!$D$30</f>
        <v>0</v>
      </c>
      <c r="M45" s="20">
        <f>CUSTOS!$D$31</f>
        <v>696110.48</v>
      </c>
      <c r="N45" s="20">
        <f>CUSTOS!$D$32</f>
        <v>0</v>
      </c>
      <c r="O45" s="20">
        <f>CUSTOS!$D$33</f>
        <v>0</v>
      </c>
      <c r="P45" s="20">
        <f>CUSTOS!$D$34</f>
        <v>0</v>
      </c>
      <c r="Q45" s="20">
        <f>CUSTOS!$D$35</f>
        <v>696110.48</v>
      </c>
      <c r="R45" s="20">
        <f>CUSTOS!$D$36</f>
        <v>9134698.25261865</v>
      </c>
      <c r="S45" s="20">
        <f>CUSTOS!$D$37</f>
        <v>9134698.25261865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9830808.7326186504</v>
      </c>
    </row>
    <row r="46" spans="1:28" ht="11.25" customHeight="1" x14ac:dyDescent="0.3">
      <c r="K46" s="25" t="s">
        <v>436</v>
      </c>
      <c r="L46" s="20">
        <f>CUSTOS!$E$30</f>
        <v>0</v>
      </c>
      <c r="M46" s="20">
        <f>CUSTOS!$E$31</f>
        <v>0</v>
      </c>
      <c r="N46" s="20">
        <f>CUSTOS!$E$32</f>
        <v>0</v>
      </c>
      <c r="O46" s="20">
        <f>CUSTOS!$E$33</f>
        <v>0</v>
      </c>
      <c r="P46" s="20">
        <f>CUSTOS!$E$34</f>
        <v>0</v>
      </c>
      <c r="Q46" s="20">
        <f>CUSTOS!$E$35</f>
        <v>0</v>
      </c>
      <c r="R46" s="20">
        <f>CUSTOS!$E$36</f>
        <v>-594186.99455570441</v>
      </c>
      <c r="S46" s="20">
        <f>CUSTOS!$E$37</f>
        <v>-594186.99455570441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-594186.99455570441</v>
      </c>
    </row>
    <row r="47" spans="1:28" ht="11.25" customHeight="1" x14ac:dyDescent="0.3">
      <c r="K47" s="25" t="s">
        <v>437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0</v>
      </c>
      <c r="S47" s="20">
        <f>CUSTOS!$F$37</f>
        <v>0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0</v>
      </c>
    </row>
    <row r="48" spans="1:28" ht="11.25" customHeight="1" x14ac:dyDescent="0.3">
      <c r="K48" s="25" t="s">
        <v>517</v>
      </c>
      <c r="L48" s="20">
        <f>'TR TE'!$L$48*L49</f>
        <v>0</v>
      </c>
      <c r="M48" s="20">
        <f>'TR TE'!$M$48*M49</f>
        <v>0</v>
      </c>
      <c r="N48" s="20">
        <f>'TR TE'!$N$48*N49</f>
        <v>0</v>
      </c>
      <c r="O48" s="20">
        <f>'TR TE'!$O$48*O49</f>
        <v>0</v>
      </c>
      <c r="P48" s="20">
        <f>'TR TE'!$P$48*P49</f>
        <v>0</v>
      </c>
      <c r="Q48" s="20"/>
      <c r="R48" s="20">
        <f>'TR TE'!$R$48*R49</f>
        <v>0</v>
      </c>
      <c r="S48" s="20"/>
      <c r="T48" s="20">
        <f>'TR TE'!$T$48*T49</f>
        <v>0</v>
      </c>
      <c r="U48" s="20">
        <f>'TR TE'!$U$48*U49</f>
        <v>0</v>
      </c>
      <c r="V48" s="20">
        <f>'TR TE'!$V$48*V49</f>
        <v>0</v>
      </c>
      <c r="W48" s="20"/>
      <c r="X48" s="20"/>
      <c r="Y48" s="20"/>
      <c r="Z48" s="20">
        <f>'TR TE'!$Z$48*Z49</f>
        <v>0</v>
      </c>
      <c r="AA48" s="20"/>
      <c r="AB48" s="20"/>
    </row>
    <row r="49" spans="11:28" ht="11.25" customHeight="1" x14ac:dyDescent="0.3">
      <c r="K49" s="25" t="s">
        <v>512</v>
      </c>
      <c r="L49" s="20">
        <f>IF(L45&lt;&gt;0,L47/L45,0)</f>
        <v>0</v>
      </c>
      <c r="M49" s="20">
        <f>IF(M45&lt;&gt;0,M47/M45,0)</f>
        <v>0</v>
      </c>
      <c r="N49" s="20">
        <f>IF(N45&lt;&gt;0,N47/N45,0)</f>
        <v>0</v>
      </c>
      <c r="O49" s="20">
        <f>IF(O45&lt;&gt;0,O47/O45,0)</f>
        <v>0</v>
      </c>
      <c r="P49" s="20">
        <f>IF(P45&lt;&gt;0,P47/P45,0)</f>
        <v>0</v>
      </c>
      <c r="Q49" s="20"/>
      <c r="R49" s="20">
        <f>IF(R45&lt;&gt;0,R47/R45,0)</f>
        <v>0</v>
      </c>
      <c r="S49" s="20"/>
      <c r="T49" s="20">
        <f>IF(T45&lt;&gt;0,T47/T45,0)</f>
        <v>0</v>
      </c>
      <c r="U49" s="20">
        <f>IF(U45&lt;&gt;0,U47/U45,0)</f>
        <v>0</v>
      </c>
      <c r="V49" s="20">
        <f>IF(V45&lt;&gt;0,V47/V45,0)</f>
        <v>0</v>
      </c>
      <c r="W49" s="20"/>
      <c r="X49" s="20">
        <f>IF($AB45&lt;&gt;0,X47/($AB45-SUM('TR TE'!$L48:'TR TE'!$AA48)*0),0)</f>
        <v>0</v>
      </c>
      <c r="Y49" s="20"/>
      <c r="Z49" s="20">
        <f>IF(Z45&lt;&gt;0,Z47/Z45,0)</f>
        <v>0</v>
      </c>
      <c r="AA49" s="20"/>
      <c r="AB49" s="20"/>
    </row>
    <row r="50" spans="11:28" ht="11.25" customHeight="1" x14ac:dyDescent="0.3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</sheetData>
  <mergeCells count="61">
    <mergeCell ref="E36:E38"/>
    <mergeCell ref="F36:F38"/>
    <mergeCell ref="A41:A42"/>
    <mergeCell ref="B41:B42"/>
    <mergeCell ref="C41:C42"/>
    <mergeCell ref="D36:D38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4">
    <cfRule type="cellIs" dxfId="742" priority="33" operator="notEqual">
      <formula>$L$46</formula>
    </cfRule>
    <cfRule type="cellIs" dxfId="741" priority="34" operator="equal">
      <formula>$L$46</formula>
    </cfRule>
  </conditionalFormatting>
  <conditionalFormatting sqref="M44">
    <cfRule type="cellIs" dxfId="740" priority="31" operator="notEqual">
      <formula>$M$46</formula>
    </cfRule>
    <cfRule type="cellIs" dxfId="739" priority="32" operator="equal">
      <formula>$M$46</formula>
    </cfRule>
  </conditionalFormatting>
  <conditionalFormatting sqref="N44">
    <cfRule type="cellIs" dxfId="738" priority="29" operator="notEqual">
      <formula>$N$46</formula>
    </cfRule>
    <cfRule type="cellIs" dxfId="737" priority="30" operator="equal">
      <formula>$N$46</formula>
    </cfRule>
  </conditionalFormatting>
  <conditionalFormatting sqref="O44">
    <cfRule type="cellIs" dxfId="736" priority="27" operator="notEqual">
      <formula>$O$46</formula>
    </cfRule>
    <cfRule type="cellIs" dxfId="735" priority="28" operator="equal">
      <formula>$O$46</formula>
    </cfRule>
  </conditionalFormatting>
  <conditionalFormatting sqref="P44">
    <cfRule type="cellIs" dxfId="734" priority="25" operator="notEqual">
      <formula>$P$46</formula>
    </cfRule>
    <cfRule type="cellIs" dxfId="733" priority="26" operator="equal">
      <formula>$P$46</formula>
    </cfRule>
  </conditionalFormatting>
  <conditionalFormatting sqref="Q44">
    <cfRule type="cellIs" dxfId="732" priority="23" operator="notEqual">
      <formula>$Q$46</formula>
    </cfRule>
    <cfRule type="cellIs" dxfId="731" priority="24" operator="equal">
      <formula>$Q$46</formula>
    </cfRule>
  </conditionalFormatting>
  <conditionalFormatting sqref="R44">
    <cfRule type="cellIs" dxfId="730" priority="21" operator="notEqual">
      <formula>$R$46</formula>
    </cfRule>
    <cfRule type="cellIs" dxfId="729" priority="22" operator="equal">
      <formula>$R$46</formula>
    </cfRule>
  </conditionalFormatting>
  <conditionalFormatting sqref="S44">
    <cfRule type="cellIs" dxfId="728" priority="19" operator="notEqual">
      <formula>$S$46</formula>
    </cfRule>
    <cfRule type="cellIs" dxfId="727" priority="20" operator="equal">
      <formula>$S$46</formula>
    </cfRule>
  </conditionalFormatting>
  <conditionalFormatting sqref="T44">
    <cfRule type="cellIs" dxfId="726" priority="17" operator="notEqual">
      <formula>$T$46</formula>
    </cfRule>
    <cfRule type="cellIs" dxfId="725" priority="18" operator="equal">
      <formula>$T$46</formula>
    </cfRule>
  </conditionalFormatting>
  <conditionalFormatting sqref="U44">
    <cfRule type="cellIs" dxfId="724" priority="15" operator="notEqual">
      <formula>$U$46</formula>
    </cfRule>
    <cfRule type="cellIs" dxfId="723" priority="16" operator="equal">
      <formula>$U$46</formula>
    </cfRule>
  </conditionalFormatting>
  <conditionalFormatting sqref="V44">
    <cfRule type="cellIs" dxfId="722" priority="13" operator="notEqual">
      <formula>$V$46</formula>
    </cfRule>
    <cfRule type="cellIs" dxfId="721" priority="14" operator="equal">
      <formula>$V$46</formula>
    </cfRule>
  </conditionalFormatting>
  <conditionalFormatting sqref="W44">
    <cfRule type="cellIs" dxfId="720" priority="11" operator="notEqual">
      <formula>$W$46</formula>
    </cfRule>
    <cfRule type="cellIs" dxfId="719" priority="12" operator="equal">
      <formula>$W$46</formula>
    </cfRule>
  </conditionalFormatting>
  <conditionalFormatting sqref="X44">
    <cfRule type="cellIs" dxfId="718" priority="9" operator="notEqual">
      <formula>$X$46</formula>
    </cfRule>
    <cfRule type="cellIs" dxfId="717" priority="10" operator="equal">
      <formula>$X$46</formula>
    </cfRule>
  </conditionalFormatting>
  <conditionalFormatting sqref="Y44">
    <cfRule type="cellIs" dxfId="716" priority="7" operator="notEqual">
      <formula>$Y$46</formula>
    </cfRule>
    <cfRule type="cellIs" dxfId="715" priority="8" operator="equal">
      <formula>$Y$46</formula>
    </cfRule>
  </conditionalFormatting>
  <conditionalFormatting sqref="Z44">
    <cfRule type="cellIs" dxfId="714" priority="5" operator="notEqual">
      <formula>$Z$46</formula>
    </cfRule>
    <cfRule type="cellIs" dxfId="713" priority="6" operator="equal">
      <formula>$Z$46</formula>
    </cfRule>
  </conditionalFormatting>
  <conditionalFormatting sqref="AA44">
    <cfRule type="cellIs" dxfId="712" priority="3" operator="notEqual">
      <formula>$AA$46</formula>
    </cfRule>
    <cfRule type="cellIs" dxfId="711" priority="4" operator="equal">
      <formula>$AA$46</formula>
    </cfRule>
  </conditionalFormatting>
  <conditionalFormatting sqref="AB44">
    <cfRule type="cellIs" dxfId="710" priority="1" operator="notEqual">
      <formula>$AB$46</formula>
    </cfRule>
    <cfRule type="cellIs" dxfId="709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D7FE-97DB-414B-A875-4F15254DB7A3}">
  <dimension ref="A1:AB50"/>
  <sheetViews>
    <sheetView showGridLines="0" topLeftCell="P32" workbookViewId="0">
      <selection activeCell="AB44" sqref="AB44"/>
    </sheetView>
  </sheetViews>
  <sheetFormatPr defaultRowHeight="11.25" customHeight="1" x14ac:dyDescent="0.3"/>
  <cols>
    <col min="1" max="1" width="9" style="9" bestFit="1" customWidth="1"/>
    <col min="2" max="2" width="24.6640625" style="9" bestFit="1" customWidth="1"/>
    <col min="3" max="3" width="12.6640625" style="9" bestFit="1" customWidth="1"/>
    <col min="4" max="4" width="23.109375" style="9" bestFit="1" customWidth="1"/>
    <col min="5" max="6" width="9.5546875" style="9" bestFit="1" customWidth="1"/>
    <col min="7" max="7" width="5.88671875" style="9" bestFit="1" customWidth="1"/>
    <col min="8" max="9" width="7.109375" style="9" bestFit="1" customWidth="1"/>
    <col min="10" max="10" width="8.88671875" style="9"/>
    <col min="11" max="11" width="14.109375" style="9" bestFit="1" customWidth="1"/>
    <col min="12" max="12" width="7.109375" style="9" bestFit="1" customWidth="1"/>
    <col min="13" max="13" width="7.88671875" style="9" bestFit="1" customWidth="1"/>
    <col min="14" max="14" width="7.109375" style="9" bestFit="1" customWidth="1"/>
    <col min="15" max="15" width="10.33203125" style="9" bestFit="1" customWidth="1"/>
    <col min="16" max="16" width="7.6640625" style="9" bestFit="1" customWidth="1"/>
    <col min="17" max="17" width="8.5546875" style="9" bestFit="1" customWidth="1"/>
    <col min="18" max="18" width="14.44140625" style="9" bestFit="1" customWidth="1"/>
    <col min="19" max="19" width="9.109375" style="9" bestFit="1" customWidth="1"/>
    <col min="20" max="20" width="7.109375" style="9" bestFit="1" customWidth="1"/>
    <col min="21" max="21" width="9.77734375" style="9" bestFit="1" customWidth="1"/>
    <col min="22" max="22" width="7.109375" style="9" bestFit="1" customWidth="1"/>
    <col min="23" max="23" width="8.5546875" style="9" bestFit="1" customWidth="1"/>
    <col min="24" max="24" width="7.77734375" style="9" bestFit="1" customWidth="1"/>
    <col min="25" max="25" width="8.5546875" style="9" bestFit="1" customWidth="1"/>
    <col min="26" max="26" width="10.5546875" style="9" bestFit="1" customWidth="1"/>
    <col min="27" max="27" width="8.5546875" style="9" bestFit="1" customWidth="1"/>
    <col min="28" max="28" width="9.109375" style="9" bestFit="1" customWidth="1"/>
    <col min="29" max="16384" width="8.88671875" style="9"/>
  </cols>
  <sheetData>
    <row r="1" spans="1:28" ht="11.25" customHeight="1" x14ac:dyDescent="0.3">
      <c r="A1" s="100" t="s">
        <v>69</v>
      </c>
      <c r="B1" s="100" t="s">
        <v>70</v>
      </c>
      <c r="C1" s="100" t="s">
        <v>71</v>
      </c>
      <c r="D1" s="100" t="s">
        <v>72</v>
      </c>
      <c r="E1" s="100" t="s">
        <v>73</v>
      </c>
      <c r="F1" s="100" t="s">
        <v>15</v>
      </c>
      <c r="G1" s="100" t="s">
        <v>75</v>
      </c>
      <c r="H1" s="100" t="s">
        <v>76</v>
      </c>
      <c r="I1" s="100" t="s">
        <v>494</v>
      </c>
      <c r="J1" s="84"/>
      <c r="L1" s="101" t="s">
        <v>522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</row>
    <row r="2" spans="1:28" ht="11.25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84"/>
      <c r="L2" s="101" t="s">
        <v>421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</row>
    <row r="3" spans="1:28" ht="11.2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84"/>
      <c r="L3" s="101" t="s">
        <v>394</v>
      </c>
      <c r="M3" s="101"/>
      <c r="N3" s="101"/>
      <c r="O3" s="101"/>
      <c r="P3" s="101"/>
      <c r="Q3" s="101"/>
      <c r="R3" s="101" t="s">
        <v>425</v>
      </c>
      <c r="S3" s="101"/>
      <c r="T3" s="101" t="s">
        <v>403</v>
      </c>
      <c r="U3" s="101"/>
      <c r="V3" s="101"/>
      <c r="W3" s="101"/>
      <c r="X3" s="101" t="s">
        <v>413</v>
      </c>
      <c r="Y3" s="101"/>
      <c r="Z3" s="101" t="s">
        <v>416</v>
      </c>
      <c r="AA3" s="101"/>
      <c r="AB3" s="101" t="s">
        <v>402</v>
      </c>
    </row>
    <row r="4" spans="1:28" ht="11.25" customHeight="1" x14ac:dyDescent="0.3">
      <c r="A4" s="100"/>
      <c r="B4" s="100"/>
      <c r="C4" s="100"/>
      <c r="D4" s="100"/>
      <c r="E4" s="100"/>
      <c r="F4" s="100"/>
      <c r="G4" s="100"/>
      <c r="H4" s="100"/>
      <c r="I4" s="100"/>
      <c r="J4" s="84"/>
      <c r="L4" s="24" t="s">
        <v>396</v>
      </c>
      <c r="M4" s="24" t="s">
        <v>422</v>
      </c>
      <c r="N4" s="24" t="s">
        <v>423</v>
      </c>
      <c r="O4" s="24" t="s">
        <v>482</v>
      </c>
      <c r="P4" s="24" t="s">
        <v>424</v>
      </c>
      <c r="Q4" s="24" t="s">
        <v>402</v>
      </c>
      <c r="R4" s="24" t="s">
        <v>426</v>
      </c>
      <c r="S4" s="24" t="s">
        <v>402</v>
      </c>
      <c r="T4" s="24" t="s">
        <v>427</v>
      </c>
      <c r="U4" s="24" t="s">
        <v>428</v>
      </c>
      <c r="V4" s="24" t="s">
        <v>429</v>
      </c>
      <c r="W4" s="24" t="s">
        <v>402</v>
      </c>
      <c r="X4" s="24" t="s">
        <v>414</v>
      </c>
      <c r="Y4" s="24" t="s">
        <v>402</v>
      </c>
      <c r="Z4" s="24" t="s">
        <v>430</v>
      </c>
      <c r="AA4" s="24" t="s">
        <v>402</v>
      </c>
      <c r="AB4" s="102"/>
    </row>
    <row r="5" spans="1:28" ht="11.25" customHeight="1" x14ac:dyDescent="0.3">
      <c r="A5" s="99" t="s">
        <v>34</v>
      </c>
      <c r="B5" s="99" t="s">
        <v>78</v>
      </c>
      <c r="C5" s="99" t="s">
        <v>25</v>
      </c>
      <c r="D5" s="99" t="s">
        <v>25</v>
      </c>
      <c r="E5" s="99" t="s">
        <v>25</v>
      </c>
      <c r="F5" s="99" t="s">
        <v>25</v>
      </c>
      <c r="G5" s="23" t="s">
        <v>80</v>
      </c>
      <c r="H5" s="23" t="s">
        <v>79</v>
      </c>
      <c r="I5" s="23">
        <f>'MERCADO TE'!$U$2</f>
        <v>311.15300000000002</v>
      </c>
      <c r="J5" s="15"/>
      <c r="L5" s="20">
        <f>'TE BE'!$L$5*'TE BF'!$L$49</f>
        <v>0</v>
      </c>
      <c r="M5" s="20">
        <f>'TE BE'!$M$5*'TE BF'!$M$49</f>
        <v>0</v>
      </c>
      <c r="N5" s="20">
        <f>'TE BE'!$N$5*'TE BF'!$N$49</f>
        <v>0</v>
      </c>
      <c r="O5" s="20">
        <f>'TE BE'!$O$5*'TE BF'!$O$49</f>
        <v>0</v>
      </c>
      <c r="P5" s="20">
        <f>'TE BE'!$P$5*'TE BF'!$P$49</f>
        <v>0</v>
      </c>
      <c r="Q5" s="20">
        <f>SUM($L$5:$P$5)</f>
        <v>0</v>
      </c>
      <c r="R5" s="20">
        <f>'TE BE'!$R$5*'TE BF'!$R$49</f>
        <v>0</v>
      </c>
      <c r="S5" s="20">
        <f>SUM($R$5:$R$5)</f>
        <v>0</v>
      </c>
      <c r="T5" s="20">
        <f>'TE BE'!$T$5*'TE BF'!$T$49</f>
        <v>0</v>
      </c>
      <c r="U5" s="20">
        <f>'TE BE'!$U$5*'TE BF'!$U$49</f>
        <v>0</v>
      </c>
      <c r="V5" s="20">
        <f>'TE BE'!$V$5*'TE BF'!$V$49</f>
        <v>0</v>
      </c>
      <c r="W5" s="20">
        <f>SUM($T$5:$V$5)</f>
        <v>0</v>
      </c>
      <c r="X5" s="20">
        <f>'TE BE'!$AB$5*'TE BF'!$X$49</f>
        <v>0</v>
      </c>
      <c r="Y5" s="20">
        <f>SUM($X$5:$X$5)</f>
        <v>0</v>
      </c>
      <c r="Z5" s="20">
        <f>'TE BE'!$Z$5*'TE BF'!$Z$49</f>
        <v>0</v>
      </c>
      <c r="AA5" s="20">
        <f>SUM($Z$5:$Z$5)</f>
        <v>0</v>
      </c>
      <c r="AB5" s="20">
        <f>SUMIF($L$4:$AA$4,"SUBTOTAL",$L$5:$AA$5)</f>
        <v>0</v>
      </c>
    </row>
    <row r="6" spans="1:28" ht="11.25" customHeight="1" x14ac:dyDescent="0.3">
      <c r="A6" s="99"/>
      <c r="B6" s="99"/>
      <c r="C6" s="99"/>
      <c r="D6" s="99"/>
      <c r="E6" s="99"/>
      <c r="F6" s="99"/>
      <c r="G6" s="23" t="s">
        <v>81</v>
      </c>
      <c r="H6" s="23" t="s">
        <v>79</v>
      </c>
      <c r="I6" s="23">
        <f>'MERCADO TE'!$U$3</f>
        <v>7439.3039999999992</v>
      </c>
      <c r="J6" s="15"/>
      <c r="L6" s="20">
        <f>'TE BE'!$L$6*'TE BF'!$L$49</f>
        <v>0</v>
      </c>
      <c r="M6" s="20">
        <f>'TE BE'!$M$6*'TE BF'!$M$49</f>
        <v>0</v>
      </c>
      <c r="N6" s="20">
        <f>'TE BE'!$N$6*'TE BF'!$N$49</f>
        <v>0</v>
      </c>
      <c r="O6" s="20">
        <f>'TE BE'!$O$6*'TE BF'!$O$49</f>
        <v>0</v>
      </c>
      <c r="P6" s="20">
        <f>'TE BE'!$P$6*'TE BF'!$P$49</f>
        <v>0</v>
      </c>
      <c r="Q6" s="20">
        <f>SUM($L$6:$P$6)</f>
        <v>0</v>
      </c>
      <c r="R6" s="20">
        <f>'TE BE'!$R$6*'TE BF'!$R$49</f>
        <v>0</v>
      </c>
      <c r="S6" s="20">
        <f>SUM($R$6:$R$6)</f>
        <v>0</v>
      </c>
      <c r="T6" s="20">
        <f>'TE BE'!$T$6*'TE BF'!$T$49</f>
        <v>0</v>
      </c>
      <c r="U6" s="20">
        <f>'TE BE'!$U$6*'TE BF'!$U$49</f>
        <v>0</v>
      </c>
      <c r="V6" s="20">
        <f>'TE BE'!$V$6*'TE BF'!$V$49</f>
        <v>0</v>
      </c>
      <c r="W6" s="20">
        <f>SUM($T$6:$V$6)</f>
        <v>0</v>
      </c>
      <c r="X6" s="20">
        <f>'TE BE'!$AB$6*'TE BF'!$X$49</f>
        <v>0</v>
      </c>
      <c r="Y6" s="20">
        <f>SUM($X$6:$X$6)</f>
        <v>0</v>
      </c>
      <c r="Z6" s="20">
        <f>'TE BE'!$Z$6*'TE BF'!$Z$49</f>
        <v>0</v>
      </c>
      <c r="AA6" s="20">
        <f>SUM($Z$6:$Z$6)</f>
        <v>0</v>
      </c>
      <c r="AB6" s="20">
        <f>SUMIF($L$4:$AA$4,"SUBTOTAL",$L$6:$AA$6)</f>
        <v>0</v>
      </c>
    </row>
    <row r="7" spans="1:28" ht="11.25" customHeight="1" x14ac:dyDescent="0.3">
      <c r="A7" s="99"/>
      <c r="B7" s="22" t="s">
        <v>82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83</v>
      </c>
      <c r="H7" s="23" t="s">
        <v>79</v>
      </c>
      <c r="I7" s="23">
        <f>'MERCADO TE'!$U$4</f>
        <v>0</v>
      </c>
      <c r="J7" s="15"/>
      <c r="L7" s="20">
        <f>'TE BE'!$L$7*'TE BF'!$L$49</f>
        <v>0</v>
      </c>
      <c r="M7" s="20">
        <f>'TE BE'!$M$7*'TE BF'!$M$49</f>
        <v>0</v>
      </c>
      <c r="N7" s="20">
        <f>'TE BE'!$N$7*'TE BF'!$N$49</f>
        <v>0</v>
      </c>
      <c r="O7" s="20">
        <f>'TE BE'!$O$7*'TE BF'!$O$49</f>
        <v>0</v>
      </c>
      <c r="P7" s="20">
        <f>'TE BE'!$P$7*'TE BF'!$P$49</f>
        <v>0</v>
      </c>
      <c r="Q7" s="20">
        <f>SUM($L$7:$P$7)</f>
        <v>0</v>
      </c>
      <c r="R7" s="20">
        <f>'TE BE'!$R$7*'TE BF'!$R$49</f>
        <v>0</v>
      </c>
      <c r="S7" s="20">
        <f>SUM($R$7:$R$7)</f>
        <v>0</v>
      </c>
      <c r="T7" s="20">
        <f>'TE BE'!$T$7*'TE BF'!$T$49</f>
        <v>0</v>
      </c>
      <c r="U7" s="20">
        <f>'TE BE'!$U$7*'TE BF'!$U$49</f>
        <v>0</v>
      </c>
      <c r="V7" s="20">
        <f>'TE BE'!$V$7*'TE BF'!$V$49</f>
        <v>0</v>
      </c>
      <c r="W7" s="20">
        <f>SUM($T$7:$V$7)</f>
        <v>0</v>
      </c>
      <c r="X7" s="20">
        <f>'TE BE'!$AB$7*'TE BF'!$X$49</f>
        <v>0</v>
      </c>
      <c r="Y7" s="20">
        <f>SUM($X$7:$X$7)</f>
        <v>0</v>
      </c>
      <c r="Z7" s="20">
        <f>'TE BE'!$Z$7*'TE BF'!$Z$49</f>
        <v>0</v>
      </c>
      <c r="AA7" s="20">
        <f>SUM($Z$7:$Z$7)</f>
        <v>0</v>
      </c>
      <c r="AB7" s="20">
        <f>SUMIF($L$4:$AA$4,"SUBTOTAL",$L$7:$AA$7)</f>
        <v>0</v>
      </c>
    </row>
    <row r="8" spans="1:28" ht="11.25" customHeight="1" x14ac:dyDescent="0.3">
      <c r="A8" s="99" t="s">
        <v>22</v>
      </c>
      <c r="B8" s="99" t="s">
        <v>78</v>
      </c>
      <c r="C8" s="99" t="s">
        <v>24</v>
      </c>
      <c r="D8" s="99" t="s">
        <v>24</v>
      </c>
      <c r="E8" s="99" t="s">
        <v>25</v>
      </c>
      <c r="F8" s="99" t="s">
        <v>25</v>
      </c>
      <c r="G8" s="23" t="s">
        <v>80</v>
      </c>
      <c r="H8" s="23" t="s">
        <v>79</v>
      </c>
      <c r="I8" s="23">
        <f>'MERCADO TE'!$U$5</f>
        <v>0</v>
      </c>
      <c r="J8" s="15"/>
      <c r="L8" s="20">
        <f>'TE BE'!$L$8*'TE BF'!$L$49</f>
        <v>0</v>
      </c>
      <c r="M8" s="20">
        <f>'TE BE'!$M$8*'TE BF'!$M$49</f>
        <v>0</v>
      </c>
      <c r="N8" s="20">
        <f>'TE BE'!$N$8*'TE BF'!$N$49</f>
        <v>0</v>
      </c>
      <c r="O8" s="20">
        <f>'TE BE'!$O$8*'TE BF'!$O$49</f>
        <v>0</v>
      </c>
      <c r="P8" s="20">
        <f>'TE BE'!$P$8*'TE BF'!$P$49</f>
        <v>0</v>
      </c>
      <c r="Q8" s="20">
        <f>SUM($L$8:$P$8)</f>
        <v>0</v>
      </c>
      <c r="R8" s="20">
        <f>'TE BE'!$R$8*'TE BF'!$R$49</f>
        <v>0</v>
      </c>
      <c r="S8" s="20">
        <f>SUM($R$8:$R$8)</f>
        <v>0</v>
      </c>
      <c r="T8" s="20">
        <f>'TE BE'!$T$8*'TE BF'!$T$49</f>
        <v>0</v>
      </c>
      <c r="U8" s="20">
        <f>'TE BE'!$U$8*'TE BF'!$U$49</f>
        <v>0</v>
      </c>
      <c r="V8" s="20">
        <f>'TE BE'!$V$8*'TE BF'!$V$49</f>
        <v>0</v>
      </c>
      <c r="W8" s="20">
        <f>SUM($T$8:$V$8)</f>
        <v>0</v>
      </c>
      <c r="X8" s="20">
        <f>'TE BE'!$AB$8*'TE BF'!$X$49</f>
        <v>0</v>
      </c>
      <c r="Y8" s="20">
        <f>SUM($X$8:$X$8)</f>
        <v>0</v>
      </c>
      <c r="Z8" s="20">
        <f>'TE BE'!$Z$8*'TE BF'!$Z$49</f>
        <v>0</v>
      </c>
      <c r="AA8" s="20">
        <f>SUM($Z$8:$Z$8)</f>
        <v>0</v>
      </c>
      <c r="AB8" s="20">
        <f>SUMIF($L$4:$AA$4,"SUBTOTAL",$L$8:$AA$8)</f>
        <v>0</v>
      </c>
    </row>
    <row r="9" spans="1:28" ht="11.25" customHeight="1" x14ac:dyDescent="0.3">
      <c r="A9" s="99"/>
      <c r="B9" s="99"/>
      <c r="C9" s="99"/>
      <c r="D9" s="99"/>
      <c r="E9" s="99"/>
      <c r="F9" s="99"/>
      <c r="G9" s="23" t="s">
        <v>91</v>
      </c>
      <c r="H9" s="23" t="s">
        <v>79</v>
      </c>
      <c r="I9" s="23">
        <f>'MERCADO TE'!$U$6</f>
        <v>0</v>
      </c>
      <c r="J9" s="15"/>
      <c r="L9" s="20">
        <f>'TE BE'!$L$9*'TE BF'!$L$49</f>
        <v>0</v>
      </c>
      <c r="M9" s="20">
        <f>'TE BE'!$M$9*'TE BF'!$M$49</f>
        <v>0</v>
      </c>
      <c r="N9" s="20">
        <f>'TE BE'!$N$9*'TE BF'!$N$49</f>
        <v>0</v>
      </c>
      <c r="O9" s="20">
        <f>'TE BE'!$O$9*'TE BF'!$O$49</f>
        <v>0</v>
      </c>
      <c r="P9" s="20">
        <f>'TE BE'!$P$9*'TE BF'!$P$49</f>
        <v>0</v>
      </c>
      <c r="Q9" s="20">
        <f>SUM($L$9:$P$9)</f>
        <v>0</v>
      </c>
      <c r="R9" s="20">
        <f>'TE BE'!$R$9*'TE BF'!$R$49</f>
        <v>0</v>
      </c>
      <c r="S9" s="20">
        <f>SUM($R$9:$R$9)</f>
        <v>0</v>
      </c>
      <c r="T9" s="20">
        <f>'TE BE'!$T$9*'TE BF'!$T$49</f>
        <v>0</v>
      </c>
      <c r="U9" s="20">
        <f>'TE BE'!$U$9*'TE BF'!$U$49</f>
        <v>0</v>
      </c>
      <c r="V9" s="20">
        <f>'TE BE'!$V$9*'TE BF'!$V$49</f>
        <v>0</v>
      </c>
      <c r="W9" s="20">
        <f>SUM($T$9:$V$9)</f>
        <v>0</v>
      </c>
      <c r="X9" s="20">
        <f>'TE BE'!$AB$9*'TE BF'!$X$49</f>
        <v>0</v>
      </c>
      <c r="Y9" s="20">
        <f>SUM($X$9:$X$9)</f>
        <v>0</v>
      </c>
      <c r="Z9" s="20">
        <f>'TE BE'!$Z$9*'TE BF'!$Z$49</f>
        <v>0</v>
      </c>
      <c r="AA9" s="20">
        <f>SUM($Z$9:$Z$9)</f>
        <v>0</v>
      </c>
      <c r="AB9" s="20">
        <f>SUMIF($L$4:$AA$4,"SUBTOTAL",$L$9:$AA$9)</f>
        <v>0</v>
      </c>
    </row>
    <row r="10" spans="1:28" ht="11.25" customHeight="1" x14ac:dyDescent="0.3">
      <c r="A10" s="99"/>
      <c r="B10" s="99"/>
      <c r="C10" s="99"/>
      <c r="D10" s="99"/>
      <c r="E10" s="99"/>
      <c r="F10" s="99"/>
      <c r="G10" s="23" t="s">
        <v>81</v>
      </c>
      <c r="H10" s="23" t="s">
        <v>79</v>
      </c>
      <c r="I10" s="23">
        <f>'MERCADO TE'!$U$7</f>
        <v>0</v>
      </c>
      <c r="J10" s="15"/>
      <c r="L10" s="20">
        <f>'TE BE'!$L$10*'TE BF'!$L$49</f>
        <v>0</v>
      </c>
      <c r="M10" s="20">
        <f>'TE BE'!$M$10*'TE BF'!$M$49</f>
        <v>0</v>
      </c>
      <c r="N10" s="20">
        <f>'TE BE'!$N$10*'TE BF'!$N$49</f>
        <v>0</v>
      </c>
      <c r="O10" s="20">
        <f>'TE BE'!$O$10*'TE BF'!$O$49</f>
        <v>0</v>
      </c>
      <c r="P10" s="20">
        <f>'TE BE'!$P$10*'TE BF'!$P$49</f>
        <v>0</v>
      </c>
      <c r="Q10" s="20">
        <f>SUM($L$10:$P$10)</f>
        <v>0</v>
      </c>
      <c r="R10" s="20">
        <f>'TE BE'!$R$10*'TE BF'!$R$49</f>
        <v>0</v>
      </c>
      <c r="S10" s="20">
        <f>SUM($R$10:$R$10)</f>
        <v>0</v>
      </c>
      <c r="T10" s="20">
        <f>'TE BE'!$T$10*'TE BF'!$T$49</f>
        <v>0</v>
      </c>
      <c r="U10" s="20">
        <f>'TE BE'!$U$10*'TE BF'!$U$49</f>
        <v>0</v>
      </c>
      <c r="V10" s="20">
        <f>'TE BE'!$V$10*'TE BF'!$V$49</f>
        <v>0</v>
      </c>
      <c r="W10" s="20">
        <f>SUM($T$10:$V$10)</f>
        <v>0</v>
      </c>
      <c r="X10" s="20">
        <f>'TE BE'!$AB$10*'TE BF'!$X$49</f>
        <v>0</v>
      </c>
      <c r="Y10" s="20">
        <f>SUM($X$10:$X$10)</f>
        <v>0</v>
      </c>
      <c r="Z10" s="20">
        <f>'TE BE'!$Z$10*'TE BF'!$Z$49</f>
        <v>0</v>
      </c>
      <c r="AA10" s="20">
        <f>SUM($Z$10:$Z$10)</f>
        <v>0</v>
      </c>
      <c r="AB10" s="20">
        <f>SUMIF($L$4:$AA$4,"SUBTOTAL",$L$10:$AA$10)</f>
        <v>0</v>
      </c>
    </row>
    <row r="11" spans="1:28" ht="11.25" customHeight="1" x14ac:dyDescent="0.3">
      <c r="A11" s="99"/>
      <c r="B11" s="99" t="s">
        <v>82</v>
      </c>
      <c r="C11" s="99" t="s">
        <v>24</v>
      </c>
      <c r="D11" s="22" t="s">
        <v>24</v>
      </c>
      <c r="E11" s="22" t="s">
        <v>25</v>
      </c>
      <c r="F11" s="22" t="s">
        <v>25</v>
      </c>
      <c r="G11" s="23" t="s">
        <v>83</v>
      </c>
      <c r="H11" s="23" t="s">
        <v>79</v>
      </c>
      <c r="I11" s="23">
        <f>'MERCADO TE'!$U$8</f>
        <v>10969.981</v>
      </c>
      <c r="J11" s="15"/>
      <c r="L11" s="20">
        <f>'TE BE'!$L$11*'TE BF'!$L$49</f>
        <v>0</v>
      </c>
      <c r="M11" s="20">
        <f>'TE BE'!$M$11*'TE BF'!$M$49</f>
        <v>0</v>
      </c>
      <c r="N11" s="20">
        <f>'TE BE'!$N$11*'TE BF'!$N$49</f>
        <v>0</v>
      </c>
      <c r="O11" s="20">
        <f>'TE BE'!$O$11*'TE BF'!$O$49</f>
        <v>0</v>
      </c>
      <c r="P11" s="20">
        <f>'TE BE'!$P$11*'TE BF'!$P$49</f>
        <v>0</v>
      </c>
      <c r="Q11" s="20">
        <f>SUM($L$11:$P$11)</f>
        <v>0</v>
      </c>
      <c r="R11" s="20">
        <f>'TE BE'!$R$11*'TE BF'!$R$49</f>
        <v>0</v>
      </c>
      <c r="S11" s="20">
        <f>SUM($R$11:$R$11)</f>
        <v>0</v>
      </c>
      <c r="T11" s="20">
        <f>'TE BE'!$T$11*'TE BF'!$T$49</f>
        <v>0</v>
      </c>
      <c r="U11" s="20">
        <f>'TE BE'!$U$11*'TE BF'!$U$49</f>
        <v>0</v>
      </c>
      <c r="V11" s="20">
        <f>'TE BE'!$V$11*'TE BF'!$V$49</f>
        <v>0</v>
      </c>
      <c r="W11" s="20">
        <f>SUM($T$11:$V$11)</f>
        <v>0</v>
      </c>
      <c r="X11" s="20">
        <f>'TE BE'!$AB$11*'TE BF'!$X$49</f>
        <v>0</v>
      </c>
      <c r="Y11" s="20">
        <f>SUM($X$11:$X$11)</f>
        <v>0</v>
      </c>
      <c r="Z11" s="20">
        <f>'TE BE'!$Z$11*'TE BF'!$Z$49</f>
        <v>0</v>
      </c>
      <c r="AA11" s="20">
        <f>SUM($Z$11:$Z$11)</f>
        <v>0</v>
      </c>
      <c r="AB11" s="20">
        <f>SUMIF($L$4:$AA$4,"SUBTOTAL",$L$11:$AA$11)</f>
        <v>0</v>
      </c>
    </row>
    <row r="12" spans="1:28" ht="11.25" customHeight="1" x14ac:dyDescent="0.3">
      <c r="A12" s="99"/>
      <c r="B12" s="99"/>
      <c r="C12" s="99"/>
      <c r="D12" s="22" t="s">
        <v>28</v>
      </c>
      <c r="E12" s="22" t="s">
        <v>25</v>
      </c>
      <c r="F12" s="22" t="s">
        <v>25</v>
      </c>
      <c r="G12" s="23" t="s">
        <v>83</v>
      </c>
      <c r="H12" s="23" t="s">
        <v>79</v>
      </c>
      <c r="I12" s="23">
        <f>'MERCADO TE'!$U$9</f>
        <v>87.284999999999997</v>
      </c>
      <c r="J12" s="15"/>
      <c r="L12" s="20">
        <f>'TE BE'!$L$12*'TE BF'!$L$49</f>
        <v>0</v>
      </c>
      <c r="M12" s="20">
        <f>'TE BE'!$M$12*'TE BF'!$M$49</f>
        <v>0</v>
      </c>
      <c r="N12" s="20">
        <f>'TE BE'!$N$12*'TE BF'!$N$49</f>
        <v>0</v>
      </c>
      <c r="O12" s="20">
        <f>'TE BE'!$O$12*'TE BF'!$O$49</f>
        <v>0</v>
      </c>
      <c r="P12" s="20">
        <f>'TE BE'!$P$12*'TE BF'!$P$49</f>
        <v>0</v>
      </c>
      <c r="Q12" s="20">
        <f>SUM($L$12:$P$12)</f>
        <v>0</v>
      </c>
      <c r="R12" s="20">
        <f>'TE BE'!$R$12*'TE BF'!$R$49</f>
        <v>0</v>
      </c>
      <c r="S12" s="20">
        <f>SUM($R$12:$R$12)</f>
        <v>0</v>
      </c>
      <c r="T12" s="20">
        <f>'TE BE'!$T$12*'TE BF'!$T$49</f>
        <v>0</v>
      </c>
      <c r="U12" s="20">
        <f>'TE BE'!$U$12*'TE BF'!$U$49</f>
        <v>0</v>
      </c>
      <c r="V12" s="20">
        <f>'TE BE'!$V$12*'TE BF'!$V$49</f>
        <v>0</v>
      </c>
      <c r="W12" s="20">
        <f>SUM($T$12:$V$12)</f>
        <v>0</v>
      </c>
      <c r="X12" s="20">
        <f>'TE BE'!$AB$12*'TE BF'!$X$49</f>
        <v>0</v>
      </c>
      <c r="Y12" s="20">
        <f>SUM($X$12:$X$12)</f>
        <v>0</v>
      </c>
      <c r="Z12" s="20">
        <f>'TE BE'!$Z$12*'TE BF'!$Z$49</f>
        <v>0</v>
      </c>
      <c r="AA12" s="20">
        <f>SUM($Z$12:$Z$12)</f>
        <v>0</v>
      </c>
      <c r="AB12" s="20">
        <f>SUMIF($L$4:$AA$4,"SUBTOTAL",$L$12:$AA$12)</f>
        <v>0</v>
      </c>
    </row>
    <row r="13" spans="1:28" ht="11.25" customHeight="1" x14ac:dyDescent="0.3">
      <c r="A13" s="99"/>
      <c r="B13" s="99"/>
      <c r="C13" s="99"/>
      <c r="D13" s="22" t="s">
        <v>29</v>
      </c>
      <c r="E13" s="22" t="s">
        <v>25</v>
      </c>
      <c r="F13" s="22" t="s">
        <v>25</v>
      </c>
      <c r="G13" s="23" t="s">
        <v>83</v>
      </c>
      <c r="H13" s="23" t="s">
        <v>79</v>
      </c>
      <c r="I13" s="23">
        <f>'MERCADO TE'!$U$10</f>
        <v>183.16699999999997</v>
      </c>
      <c r="J13" s="15"/>
      <c r="L13" s="20">
        <f>'TE BE'!$L$13*'TE BF'!$L$49</f>
        <v>0</v>
      </c>
      <c r="M13" s="20">
        <f>'TE BE'!$M$13*'TE BF'!$M$49</f>
        <v>0</v>
      </c>
      <c r="N13" s="20">
        <f>'TE BE'!$N$13*'TE BF'!$N$49</f>
        <v>0</v>
      </c>
      <c r="O13" s="20">
        <f>'TE BE'!$O$13*'TE BF'!$O$49</f>
        <v>0</v>
      </c>
      <c r="P13" s="20">
        <f>'TE BE'!$P$13*'TE BF'!$P$49</f>
        <v>0</v>
      </c>
      <c r="Q13" s="20">
        <f>SUM($L$13:$P$13)</f>
        <v>0</v>
      </c>
      <c r="R13" s="20">
        <f>'TE BE'!$R$13*'TE BF'!$R$49</f>
        <v>0</v>
      </c>
      <c r="S13" s="20">
        <f>SUM($R$13:$R$13)</f>
        <v>0</v>
      </c>
      <c r="T13" s="20">
        <f>'TE BE'!$T$13*'TE BF'!$T$49</f>
        <v>0</v>
      </c>
      <c r="U13" s="20">
        <f>'TE BE'!$U$13*'TE BF'!$U$49</f>
        <v>0</v>
      </c>
      <c r="V13" s="20">
        <f>'TE BE'!$V$13*'TE BF'!$V$49</f>
        <v>0</v>
      </c>
      <c r="W13" s="20">
        <f>SUM($T$13:$V$13)</f>
        <v>0</v>
      </c>
      <c r="X13" s="20">
        <f>'TE BE'!$AB$13*'TE BF'!$X$49</f>
        <v>0</v>
      </c>
      <c r="Y13" s="20">
        <f>SUM($X$13:$X$13)</f>
        <v>0</v>
      </c>
      <c r="Z13" s="20">
        <f>'TE BE'!$Z$13*'TE BF'!$Z$49</f>
        <v>0</v>
      </c>
      <c r="AA13" s="20">
        <f>SUM($Z$13:$Z$13)</f>
        <v>0</v>
      </c>
      <c r="AB13" s="20">
        <f>SUMIF($L$4:$AA$4,"SUBTOTAL",$L$13:$AA$13)</f>
        <v>0</v>
      </c>
    </row>
    <row r="14" spans="1:28" ht="11.25" customHeight="1" x14ac:dyDescent="0.3">
      <c r="A14" s="99"/>
      <c r="B14" s="99"/>
      <c r="C14" s="99"/>
      <c r="D14" s="22" t="s">
        <v>30</v>
      </c>
      <c r="E14" s="22" t="s">
        <v>25</v>
      </c>
      <c r="F14" s="22" t="s">
        <v>25</v>
      </c>
      <c r="G14" s="23" t="s">
        <v>83</v>
      </c>
      <c r="H14" s="23" t="s">
        <v>79</v>
      </c>
      <c r="I14" s="23">
        <f>'MERCADO TE'!$U$11</f>
        <v>200.38</v>
      </c>
      <c r="J14" s="15"/>
      <c r="L14" s="20">
        <f>'TE BE'!$L$14*'TE BF'!$L$49</f>
        <v>0</v>
      </c>
      <c r="M14" s="20">
        <f>'TE BE'!$M$14*'TE BF'!$M$49</f>
        <v>0</v>
      </c>
      <c r="N14" s="20">
        <f>'TE BE'!$N$14*'TE BF'!$N$49</f>
        <v>0</v>
      </c>
      <c r="O14" s="20">
        <f>'TE BE'!$O$14*'TE BF'!$O$49</f>
        <v>0</v>
      </c>
      <c r="P14" s="20">
        <f>'TE BE'!$P$14*'TE BF'!$P$49</f>
        <v>0</v>
      </c>
      <c r="Q14" s="20">
        <f>SUM($L$14:$P$14)</f>
        <v>0</v>
      </c>
      <c r="R14" s="20">
        <f>'TE BE'!$R$14*'TE BF'!$R$49</f>
        <v>0</v>
      </c>
      <c r="S14" s="20">
        <f>SUM($R$14:$R$14)</f>
        <v>0</v>
      </c>
      <c r="T14" s="20">
        <f>'TE BE'!$T$14*'TE BF'!$T$49</f>
        <v>0</v>
      </c>
      <c r="U14" s="20">
        <f>'TE BE'!$U$14*'TE BF'!$U$49</f>
        <v>0</v>
      </c>
      <c r="V14" s="20">
        <f>'TE BE'!$V$14*'TE BF'!$V$49</f>
        <v>0</v>
      </c>
      <c r="W14" s="20">
        <f>SUM($T$14:$V$14)</f>
        <v>0</v>
      </c>
      <c r="X14" s="20">
        <f>'TE BE'!$AB$14*'TE BF'!$X$49</f>
        <v>0</v>
      </c>
      <c r="Y14" s="20">
        <f>SUM($X$14:$X$14)</f>
        <v>0</v>
      </c>
      <c r="Z14" s="20">
        <f>'TE BE'!$Z$14*'TE BF'!$Z$49</f>
        <v>0</v>
      </c>
      <c r="AA14" s="20">
        <f>SUM($Z$14:$Z$14)</f>
        <v>0</v>
      </c>
      <c r="AB14" s="20">
        <f>SUMIF($L$4:$AA$4,"SUBTOTAL",$L$14:$AA$14)</f>
        <v>0</v>
      </c>
    </row>
    <row r="15" spans="1:28" ht="11.25" customHeight="1" x14ac:dyDescent="0.3">
      <c r="A15" s="99"/>
      <c r="B15" s="99"/>
      <c r="C15" s="99"/>
      <c r="D15" s="22" t="s">
        <v>31</v>
      </c>
      <c r="E15" s="22" t="s">
        <v>25</v>
      </c>
      <c r="F15" s="22" t="s">
        <v>25</v>
      </c>
      <c r="G15" s="23" t="s">
        <v>83</v>
      </c>
      <c r="H15" s="23" t="s">
        <v>79</v>
      </c>
      <c r="I15" s="23">
        <f>'MERCADO TE'!$U$12</f>
        <v>80.955999999999989</v>
      </c>
      <c r="J15" s="15"/>
      <c r="L15" s="20">
        <f>'TE BE'!$L$15*'TE BF'!$L$49</f>
        <v>0</v>
      </c>
      <c r="M15" s="20">
        <f>'TE BE'!$M$15*'TE BF'!$M$49</f>
        <v>0</v>
      </c>
      <c r="N15" s="20">
        <f>'TE BE'!$N$15*'TE BF'!$N$49</f>
        <v>0</v>
      </c>
      <c r="O15" s="20">
        <f>'TE BE'!$O$15*'TE BF'!$O$49</f>
        <v>0</v>
      </c>
      <c r="P15" s="20">
        <f>'TE BE'!$P$15*'TE BF'!$P$49</f>
        <v>0</v>
      </c>
      <c r="Q15" s="20">
        <f>SUM($L$15:$P$15)</f>
        <v>0</v>
      </c>
      <c r="R15" s="20">
        <f>'TE BE'!$R$15*'TE BF'!$R$49</f>
        <v>0</v>
      </c>
      <c r="S15" s="20">
        <f>SUM($R$15:$R$15)</f>
        <v>0</v>
      </c>
      <c r="T15" s="20">
        <f>'TE BE'!$T$15*'TE BF'!$T$49</f>
        <v>0</v>
      </c>
      <c r="U15" s="20">
        <f>'TE BE'!$U$15*'TE BF'!$U$49</f>
        <v>0</v>
      </c>
      <c r="V15" s="20">
        <f>'TE BE'!$V$15*'TE BF'!$V$49</f>
        <v>0</v>
      </c>
      <c r="W15" s="20">
        <f>SUM($T$15:$V$15)</f>
        <v>0</v>
      </c>
      <c r="X15" s="20">
        <f>'TE BE'!$AB$15*'TE BF'!$X$49</f>
        <v>0</v>
      </c>
      <c r="Y15" s="20">
        <f>SUM($X$15:$X$15)</f>
        <v>0</v>
      </c>
      <c r="Z15" s="20">
        <f>'TE BE'!$Z$15*'TE BF'!$Z$49</f>
        <v>0</v>
      </c>
      <c r="AA15" s="20">
        <f>SUM($Z$15:$Z$15)</f>
        <v>0</v>
      </c>
      <c r="AB15" s="20">
        <f>SUMIF($L$4:$AA$4,"SUBTOTAL",$L$15:$AA$15)</f>
        <v>0</v>
      </c>
    </row>
    <row r="16" spans="1:28" ht="11.25" customHeight="1" x14ac:dyDescent="0.3">
      <c r="A16" s="99"/>
      <c r="B16" s="99" t="s">
        <v>93</v>
      </c>
      <c r="C16" s="99" t="s">
        <v>24</v>
      </c>
      <c r="D16" s="22" t="s">
        <v>24</v>
      </c>
      <c r="E16" s="22" t="s">
        <v>25</v>
      </c>
      <c r="F16" s="22" t="s">
        <v>25</v>
      </c>
      <c r="G16" s="23" t="s">
        <v>83</v>
      </c>
      <c r="H16" s="23" t="s">
        <v>79</v>
      </c>
      <c r="I16" s="23">
        <f>'MERCADO TE'!$U$13</f>
        <v>0</v>
      </c>
      <c r="J16" s="15"/>
      <c r="L16" s="20">
        <f>'TE BE'!$L$16*'TE BF'!$L$49</f>
        <v>0</v>
      </c>
      <c r="M16" s="20">
        <f>'TE BE'!$M$16*'TE BF'!$M$49</f>
        <v>0</v>
      </c>
      <c r="N16" s="20">
        <f>'TE BE'!$N$16*'TE BF'!$N$49</f>
        <v>0</v>
      </c>
      <c r="O16" s="20">
        <f>'TE BE'!$O$16*'TE BF'!$O$49</f>
        <v>0</v>
      </c>
      <c r="P16" s="20">
        <f>'TE BE'!$P$16*'TE BF'!$P$49</f>
        <v>0</v>
      </c>
      <c r="Q16" s="20">
        <f>SUM($L$16:$P$16)</f>
        <v>0</v>
      </c>
      <c r="R16" s="20">
        <f>'TE BE'!$R$16*'TE BF'!$R$49</f>
        <v>0</v>
      </c>
      <c r="S16" s="20">
        <f>SUM($R$16:$R$16)</f>
        <v>0</v>
      </c>
      <c r="T16" s="20">
        <f>'TE BE'!$T$16*'TE BF'!$T$49</f>
        <v>0</v>
      </c>
      <c r="U16" s="20">
        <f>'TE BE'!$U$16*'TE BF'!$U$49</f>
        <v>0</v>
      </c>
      <c r="V16" s="20">
        <f>'TE BE'!$V$16*'TE BF'!$V$49</f>
        <v>0</v>
      </c>
      <c r="W16" s="20">
        <f>SUM($T$16:$V$16)</f>
        <v>0</v>
      </c>
      <c r="X16" s="20">
        <f>'TE BE'!$AB$16*'TE BF'!$X$49</f>
        <v>0</v>
      </c>
      <c r="Y16" s="20">
        <f>SUM($X$16:$X$16)</f>
        <v>0</v>
      </c>
      <c r="Z16" s="20">
        <f>'TE BE'!$Z$16*'TE BF'!$Z$49</f>
        <v>0</v>
      </c>
      <c r="AA16" s="20">
        <f>SUM($Z$16:$Z$16)</f>
        <v>0</v>
      </c>
      <c r="AB16" s="20">
        <f>SUMIF($L$4:$AA$4,"SUBTOTAL",$L$16:$AA$16)</f>
        <v>0</v>
      </c>
    </row>
    <row r="17" spans="1:28" ht="11.25" customHeight="1" x14ac:dyDescent="0.3">
      <c r="A17" s="99"/>
      <c r="B17" s="99"/>
      <c r="C17" s="99"/>
      <c r="D17" s="22" t="s">
        <v>28</v>
      </c>
      <c r="E17" s="22" t="s">
        <v>25</v>
      </c>
      <c r="F17" s="22" t="s">
        <v>25</v>
      </c>
      <c r="G17" s="23" t="s">
        <v>83</v>
      </c>
      <c r="H17" s="23" t="s">
        <v>79</v>
      </c>
      <c r="I17" s="23">
        <f>'MERCADO TE'!$U$14</f>
        <v>0</v>
      </c>
      <c r="J17" s="15"/>
      <c r="L17" s="20">
        <f>'TE BE'!$L$17*'TE BF'!$L$49</f>
        <v>0</v>
      </c>
      <c r="M17" s="20">
        <f>'TE BE'!$M$17*'TE BF'!$M$49</f>
        <v>0</v>
      </c>
      <c r="N17" s="20">
        <f>'TE BE'!$N$17*'TE BF'!$N$49</f>
        <v>0</v>
      </c>
      <c r="O17" s="20">
        <f>'TE BE'!$O$17*'TE BF'!$O$49</f>
        <v>0</v>
      </c>
      <c r="P17" s="20">
        <f>'TE BE'!$P$17*'TE BF'!$P$49</f>
        <v>0</v>
      </c>
      <c r="Q17" s="20">
        <f>SUM($L$17:$P$17)</f>
        <v>0</v>
      </c>
      <c r="R17" s="20">
        <f>'TE BE'!$R$17*'TE BF'!$R$49</f>
        <v>0</v>
      </c>
      <c r="S17" s="20">
        <f>SUM($R$17:$R$17)</f>
        <v>0</v>
      </c>
      <c r="T17" s="20">
        <f>'TE BE'!$T$17*'TE BF'!$T$49</f>
        <v>0</v>
      </c>
      <c r="U17" s="20">
        <f>'TE BE'!$U$17*'TE BF'!$U$49</f>
        <v>0</v>
      </c>
      <c r="V17" s="20">
        <f>'TE BE'!$V$17*'TE BF'!$V$49</f>
        <v>0</v>
      </c>
      <c r="W17" s="20">
        <f>SUM($T$17:$V$17)</f>
        <v>0</v>
      </c>
      <c r="X17" s="20">
        <f>'TE BE'!$AB$17*'TE BF'!$X$49</f>
        <v>0</v>
      </c>
      <c r="Y17" s="20">
        <f>SUM($X$17:$X$17)</f>
        <v>0</v>
      </c>
      <c r="Z17" s="20">
        <f>'TE BE'!$Z$17*'TE BF'!$Z$49</f>
        <v>0</v>
      </c>
      <c r="AA17" s="20">
        <f>SUM($Z$17:$Z$17)</f>
        <v>0</v>
      </c>
      <c r="AB17" s="20">
        <f>SUMIF($L$4:$AA$4,"SUBTOTAL",$L$17:$AA$17)</f>
        <v>0</v>
      </c>
    </row>
    <row r="18" spans="1:28" ht="11.25" customHeight="1" x14ac:dyDescent="0.3">
      <c r="A18" s="99"/>
      <c r="B18" s="99"/>
      <c r="C18" s="99"/>
      <c r="D18" s="22" t="s">
        <v>29</v>
      </c>
      <c r="E18" s="22" t="s">
        <v>25</v>
      </c>
      <c r="F18" s="22" t="s">
        <v>25</v>
      </c>
      <c r="G18" s="23" t="s">
        <v>83</v>
      </c>
      <c r="H18" s="23" t="s">
        <v>79</v>
      </c>
      <c r="I18" s="23">
        <f>'MERCADO TE'!$U$15</f>
        <v>0</v>
      </c>
      <c r="J18" s="15"/>
      <c r="L18" s="20">
        <f>'TE BE'!$L$18*'TE BF'!$L$49</f>
        <v>0</v>
      </c>
      <c r="M18" s="20">
        <f>'TE BE'!$M$18*'TE BF'!$M$49</f>
        <v>0</v>
      </c>
      <c r="N18" s="20">
        <f>'TE BE'!$N$18*'TE BF'!$N$49</f>
        <v>0</v>
      </c>
      <c r="O18" s="20">
        <f>'TE BE'!$O$18*'TE BF'!$O$49</f>
        <v>0</v>
      </c>
      <c r="P18" s="20">
        <f>'TE BE'!$P$18*'TE BF'!$P$49</f>
        <v>0</v>
      </c>
      <c r="Q18" s="20">
        <f>SUM($L$18:$P$18)</f>
        <v>0</v>
      </c>
      <c r="R18" s="20">
        <f>'TE BE'!$R$18*'TE BF'!$R$49</f>
        <v>0</v>
      </c>
      <c r="S18" s="20">
        <f>SUM($R$18:$R$18)</f>
        <v>0</v>
      </c>
      <c r="T18" s="20">
        <f>'TE BE'!$T$18*'TE BF'!$T$49</f>
        <v>0</v>
      </c>
      <c r="U18" s="20">
        <f>'TE BE'!$U$18*'TE BF'!$U$49</f>
        <v>0</v>
      </c>
      <c r="V18" s="20">
        <f>'TE BE'!$V$18*'TE BF'!$V$49</f>
        <v>0</v>
      </c>
      <c r="W18" s="20">
        <f>SUM($T$18:$V$18)</f>
        <v>0</v>
      </c>
      <c r="X18" s="20">
        <f>'TE BE'!$AB$18*'TE BF'!$X$49</f>
        <v>0</v>
      </c>
      <c r="Y18" s="20">
        <f>SUM($X$18:$X$18)</f>
        <v>0</v>
      </c>
      <c r="Z18" s="20">
        <f>'TE BE'!$Z$18*'TE BF'!$Z$49</f>
        <v>0</v>
      </c>
      <c r="AA18" s="20">
        <f>SUM($Z$18:$Z$18)</f>
        <v>0</v>
      </c>
      <c r="AB18" s="20">
        <f>SUMIF($L$4:$AA$4,"SUBTOTAL",$L$18:$AA$18)</f>
        <v>0</v>
      </c>
    </row>
    <row r="19" spans="1:28" ht="11.25" customHeight="1" x14ac:dyDescent="0.3">
      <c r="A19" s="99"/>
      <c r="B19" s="99"/>
      <c r="C19" s="99"/>
      <c r="D19" s="22" t="s">
        <v>30</v>
      </c>
      <c r="E19" s="22" t="s">
        <v>25</v>
      </c>
      <c r="F19" s="22" t="s">
        <v>25</v>
      </c>
      <c r="G19" s="23" t="s">
        <v>83</v>
      </c>
      <c r="H19" s="23" t="s">
        <v>79</v>
      </c>
      <c r="I19" s="23">
        <f>'MERCADO TE'!$U$16</f>
        <v>0</v>
      </c>
      <c r="J19" s="15"/>
      <c r="L19" s="20">
        <f>'TE BE'!$L$19*'TE BF'!$L$49</f>
        <v>0</v>
      </c>
      <c r="M19" s="20">
        <f>'TE BE'!$M$19*'TE BF'!$M$49</f>
        <v>0</v>
      </c>
      <c r="N19" s="20">
        <f>'TE BE'!$N$19*'TE BF'!$N$49</f>
        <v>0</v>
      </c>
      <c r="O19" s="20">
        <f>'TE BE'!$O$19*'TE BF'!$O$49</f>
        <v>0</v>
      </c>
      <c r="P19" s="20">
        <f>'TE BE'!$P$19*'TE BF'!$P$49</f>
        <v>0</v>
      </c>
      <c r="Q19" s="20">
        <f>SUM($L$19:$P$19)</f>
        <v>0</v>
      </c>
      <c r="R19" s="20">
        <f>'TE BE'!$R$19*'TE BF'!$R$49</f>
        <v>0</v>
      </c>
      <c r="S19" s="20">
        <f>SUM($R$19:$R$19)</f>
        <v>0</v>
      </c>
      <c r="T19" s="20">
        <f>'TE BE'!$T$19*'TE BF'!$T$49</f>
        <v>0</v>
      </c>
      <c r="U19" s="20">
        <f>'TE BE'!$U$19*'TE BF'!$U$49</f>
        <v>0</v>
      </c>
      <c r="V19" s="20">
        <f>'TE BE'!$V$19*'TE BF'!$V$49</f>
        <v>0</v>
      </c>
      <c r="W19" s="20">
        <f>SUM($T$19:$V$19)</f>
        <v>0</v>
      </c>
      <c r="X19" s="20">
        <f>'TE BE'!$AB$19*'TE BF'!$X$49</f>
        <v>0</v>
      </c>
      <c r="Y19" s="20">
        <f>SUM($X$19:$X$19)</f>
        <v>0</v>
      </c>
      <c r="Z19" s="20">
        <f>'TE BE'!$Z$19*'TE BF'!$Z$49</f>
        <v>0</v>
      </c>
      <c r="AA19" s="20">
        <f>SUM($Z$19:$Z$19)</f>
        <v>0</v>
      </c>
      <c r="AB19" s="20">
        <f>SUMIF($L$4:$AA$4,"SUBTOTAL",$L$19:$AA$19)</f>
        <v>0</v>
      </c>
    </row>
    <row r="20" spans="1:28" ht="11.25" customHeight="1" x14ac:dyDescent="0.3">
      <c r="A20" s="99"/>
      <c r="B20" s="99"/>
      <c r="C20" s="99"/>
      <c r="D20" s="22" t="s">
        <v>31</v>
      </c>
      <c r="E20" s="22" t="s">
        <v>25</v>
      </c>
      <c r="F20" s="22" t="s">
        <v>25</v>
      </c>
      <c r="G20" s="23" t="s">
        <v>83</v>
      </c>
      <c r="H20" s="23" t="s">
        <v>79</v>
      </c>
      <c r="I20" s="23">
        <f>'MERCADO TE'!$U$17</f>
        <v>0</v>
      </c>
      <c r="J20" s="15"/>
      <c r="L20" s="20">
        <f>'TE BE'!$L$20*'TE BF'!$L$49</f>
        <v>0</v>
      </c>
      <c r="M20" s="20">
        <f>'TE BE'!$M$20*'TE BF'!$M$49</f>
        <v>0</v>
      </c>
      <c r="N20" s="20">
        <f>'TE BE'!$N$20*'TE BF'!$N$49</f>
        <v>0</v>
      </c>
      <c r="O20" s="20">
        <f>'TE BE'!$O$20*'TE BF'!$O$49</f>
        <v>0</v>
      </c>
      <c r="P20" s="20">
        <f>'TE BE'!$P$20*'TE BF'!$P$49</f>
        <v>0</v>
      </c>
      <c r="Q20" s="20">
        <f>SUM($L$20:$P$20)</f>
        <v>0</v>
      </c>
      <c r="R20" s="20">
        <f>'TE BE'!$R$20*'TE BF'!$R$49</f>
        <v>0</v>
      </c>
      <c r="S20" s="20">
        <f>SUM($R$20:$R$20)</f>
        <v>0</v>
      </c>
      <c r="T20" s="20">
        <f>'TE BE'!$T$20*'TE BF'!$T$49</f>
        <v>0</v>
      </c>
      <c r="U20" s="20">
        <f>'TE BE'!$U$20*'TE BF'!$U$49</f>
        <v>0</v>
      </c>
      <c r="V20" s="20">
        <f>'TE BE'!$V$20*'TE BF'!$V$49</f>
        <v>0</v>
      </c>
      <c r="W20" s="20">
        <f>SUM($T$20:$V$20)</f>
        <v>0</v>
      </c>
      <c r="X20" s="20">
        <f>'TE BE'!$AB$20*'TE BF'!$X$49</f>
        <v>0</v>
      </c>
      <c r="Y20" s="20">
        <f>SUM($X$20:$X$20)</f>
        <v>0</v>
      </c>
      <c r="Z20" s="20">
        <f>'TE BE'!$Z$20*'TE BF'!$Z$49</f>
        <v>0</v>
      </c>
      <c r="AA20" s="20">
        <f>SUM($Z$20:$Z$20)</f>
        <v>0</v>
      </c>
      <c r="AB20" s="20">
        <f>SUMIF($L$4:$AA$4,"SUBTOTAL",$L$20:$AA$20)</f>
        <v>0</v>
      </c>
    </row>
    <row r="21" spans="1:28" ht="11.25" customHeight="1" x14ac:dyDescent="0.3">
      <c r="A21" s="99" t="s">
        <v>40</v>
      </c>
      <c r="B21" s="99" t="s">
        <v>78</v>
      </c>
      <c r="C21" s="99" t="s">
        <v>41</v>
      </c>
      <c r="D21" s="99" t="s">
        <v>25</v>
      </c>
      <c r="E21" s="99" t="s">
        <v>25</v>
      </c>
      <c r="F21" s="99" t="s">
        <v>25</v>
      </c>
      <c r="G21" s="23" t="s">
        <v>80</v>
      </c>
      <c r="H21" s="23" t="s">
        <v>79</v>
      </c>
      <c r="I21" s="23">
        <f>'MERCADO TE'!$U$18</f>
        <v>0</v>
      </c>
      <c r="J21" s="15"/>
      <c r="L21" s="20">
        <f>'TE BE'!$L$21*'TE BF'!$L$49</f>
        <v>0</v>
      </c>
      <c r="M21" s="20">
        <f>'TE BE'!$M$21*'TE BF'!$M$49</f>
        <v>0</v>
      </c>
      <c r="N21" s="20">
        <f>'TE BE'!$N$21*'TE BF'!$N$49</f>
        <v>0</v>
      </c>
      <c r="O21" s="20">
        <f>'TE BE'!$O$21*'TE BF'!$O$49</f>
        <v>0</v>
      </c>
      <c r="P21" s="20">
        <f>'TE BE'!$P$21*'TE BF'!$P$49</f>
        <v>0</v>
      </c>
      <c r="Q21" s="20">
        <f>SUM($L$21:$P$21)</f>
        <v>0</v>
      </c>
      <c r="R21" s="20">
        <f>'TE BE'!$R$21*'TE BF'!$R$49</f>
        <v>0</v>
      </c>
      <c r="S21" s="20">
        <f>SUM($R$21:$R$21)</f>
        <v>0</v>
      </c>
      <c r="T21" s="20">
        <f>'TE BE'!$T$21*'TE BF'!$T$49</f>
        <v>0</v>
      </c>
      <c r="U21" s="20">
        <f>'TE BE'!$U$21*'TE BF'!$U$49</f>
        <v>0</v>
      </c>
      <c r="V21" s="20">
        <f>'TE BE'!$V$21*'TE BF'!$V$49</f>
        <v>0</v>
      </c>
      <c r="W21" s="20">
        <f>SUM($T$21:$V$21)</f>
        <v>0</v>
      </c>
      <c r="X21" s="20">
        <f>'TE BE'!$AB$21*'TE BF'!$X$49</f>
        <v>0</v>
      </c>
      <c r="Y21" s="20">
        <f>SUM($X$21:$X$21)</f>
        <v>0</v>
      </c>
      <c r="Z21" s="20">
        <f>'TE BE'!$Z$21*'TE BF'!$Z$49</f>
        <v>0</v>
      </c>
      <c r="AA21" s="20">
        <f>SUM($Z$21:$Z$21)</f>
        <v>0</v>
      </c>
      <c r="AB21" s="20">
        <f>SUMIF($L$4:$AA$4,"SUBTOTAL",$L$21:$AA$21)</f>
        <v>0</v>
      </c>
    </row>
    <row r="22" spans="1:28" ht="11.25" customHeight="1" x14ac:dyDescent="0.3">
      <c r="A22" s="99"/>
      <c r="B22" s="99"/>
      <c r="C22" s="99"/>
      <c r="D22" s="99"/>
      <c r="E22" s="99"/>
      <c r="F22" s="99"/>
      <c r="G22" s="23" t="s">
        <v>91</v>
      </c>
      <c r="H22" s="23" t="s">
        <v>79</v>
      </c>
      <c r="I22" s="23">
        <f>'MERCADO TE'!$U$19</f>
        <v>0</v>
      </c>
      <c r="J22" s="15"/>
      <c r="L22" s="20">
        <f>'TE BE'!$L$22*'TE BF'!$L$49</f>
        <v>0</v>
      </c>
      <c r="M22" s="20">
        <f>'TE BE'!$M$22*'TE BF'!$M$49</f>
        <v>0</v>
      </c>
      <c r="N22" s="20">
        <f>'TE BE'!$N$22*'TE BF'!$N$49</f>
        <v>0</v>
      </c>
      <c r="O22" s="20">
        <f>'TE BE'!$O$22*'TE BF'!$O$49</f>
        <v>0</v>
      </c>
      <c r="P22" s="20">
        <f>'TE BE'!$P$22*'TE BF'!$P$49</f>
        <v>0</v>
      </c>
      <c r="Q22" s="20">
        <f>SUM($L$22:$P$22)</f>
        <v>0</v>
      </c>
      <c r="R22" s="20">
        <f>'TE BE'!$R$22*'TE BF'!$R$49</f>
        <v>0</v>
      </c>
      <c r="S22" s="20">
        <f>SUM($R$22:$R$22)</f>
        <v>0</v>
      </c>
      <c r="T22" s="20">
        <f>'TE BE'!$T$22*'TE BF'!$T$49</f>
        <v>0</v>
      </c>
      <c r="U22" s="20">
        <f>'TE BE'!$U$22*'TE BF'!$U$49</f>
        <v>0</v>
      </c>
      <c r="V22" s="20">
        <f>'TE BE'!$V$22*'TE BF'!$V$49</f>
        <v>0</v>
      </c>
      <c r="W22" s="20">
        <f>SUM($T$22:$V$22)</f>
        <v>0</v>
      </c>
      <c r="X22" s="20">
        <f>'TE BE'!$AB$22*'TE BF'!$X$49</f>
        <v>0</v>
      </c>
      <c r="Y22" s="20">
        <f>SUM($X$22:$X$22)</f>
        <v>0</v>
      </c>
      <c r="Z22" s="20">
        <f>'TE BE'!$Z$22*'TE BF'!$Z$49</f>
        <v>0</v>
      </c>
      <c r="AA22" s="20">
        <f>SUM($Z$22:$Z$22)</f>
        <v>0</v>
      </c>
      <c r="AB22" s="20">
        <f>SUMIF($L$4:$AA$4,"SUBTOTAL",$L$22:$AA$22)</f>
        <v>0</v>
      </c>
    </row>
    <row r="23" spans="1:28" ht="11.25" customHeight="1" x14ac:dyDescent="0.3">
      <c r="A23" s="99"/>
      <c r="B23" s="99"/>
      <c r="C23" s="99"/>
      <c r="D23" s="99"/>
      <c r="E23" s="99"/>
      <c r="F23" s="99"/>
      <c r="G23" s="23" t="s">
        <v>81</v>
      </c>
      <c r="H23" s="23" t="s">
        <v>79</v>
      </c>
      <c r="I23" s="23">
        <f>'MERCADO TE'!$U$20</f>
        <v>0</v>
      </c>
      <c r="J23" s="15"/>
      <c r="L23" s="20">
        <f>'TE BE'!$L$23*'TE BF'!$L$49</f>
        <v>0</v>
      </c>
      <c r="M23" s="20">
        <f>'TE BE'!$M$23*'TE BF'!$M$49</f>
        <v>0</v>
      </c>
      <c r="N23" s="20">
        <f>'TE BE'!$N$23*'TE BF'!$N$49</f>
        <v>0</v>
      </c>
      <c r="O23" s="20">
        <f>'TE BE'!$O$23*'TE BF'!$O$49</f>
        <v>0</v>
      </c>
      <c r="P23" s="20">
        <f>'TE BE'!$P$23*'TE BF'!$P$49</f>
        <v>0</v>
      </c>
      <c r="Q23" s="20">
        <f>SUM($L$23:$P$23)</f>
        <v>0</v>
      </c>
      <c r="R23" s="20">
        <f>'TE BE'!$R$23*'TE BF'!$R$49</f>
        <v>0</v>
      </c>
      <c r="S23" s="20">
        <f>SUM($R$23:$R$23)</f>
        <v>0</v>
      </c>
      <c r="T23" s="20">
        <f>'TE BE'!$T$23*'TE BF'!$T$49</f>
        <v>0</v>
      </c>
      <c r="U23" s="20">
        <f>'TE BE'!$U$23*'TE BF'!$U$49</f>
        <v>0</v>
      </c>
      <c r="V23" s="20">
        <f>'TE BE'!$V$23*'TE BF'!$V$49</f>
        <v>0</v>
      </c>
      <c r="W23" s="20">
        <f>SUM($T$23:$V$23)</f>
        <v>0</v>
      </c>
      <c r="X23" s="20">
        <f>'TE BE'!$AB$23*'TE BF'!$X$49</f>
        <v>0</v>
      </c>
      <c r="Y23" s="20">
        <f>SUM($X$23:$X$23)</f>
        <v>0</v>
      </c>
      <c r="Z23" s="20">
        <f>'TE BE'!$Z$23*'TE BF'!$Z$49</f>
        <v>0</v>
      </c>
      <c r="AA23" s="20">
        <f>SUM($Z$23:$Z$23)</f>
        <v>0</v>
      </c>
      <c r="AB23" s="20">
        <f>SUMIF($L$4:$AA$4,"SUBTOTAL",$L$23:$AA$23)</f>
        <v>0</v>
      </c>
    </row>
    <row r="24" spans="1:28" ht="11.25" customHeight="1" x14ac:dyDescent="0.3">
      <c r="A24" s="99"/>
      <c r="B24" s="22" t="s">
        <v>82</v>
      </c>
      <c r="C24" s="22" t="s">
        <v>41</v>
      </c>
      <c r="D24" s="22" t="s">
        <v>25</v>
      </c>
      <c r="E24" s="22" t="s">
        <v>25</v>
      </c>
      <c r="F24" s="22" t="s">
        <v>25</v>
      </c>
      <c r="G24" s="23" t="s">
        <v>83</v>
      </c>
      <c r="H24" s="23" t="s">
        <v>79</v>
      </c>
      <c r="I24" s="23">
        <f>'MERCADO TE'!$U$21</f>
        <v>15119.107000000002</v>
      </c>
      <c r="J24" s="15"/>
      <c r="L24" s="20">
        <f>'TE BE'!$L$24*'TE BF'!$L$49</f>
        <v>0</v>
      </c>
      <c r="M24" s="20">
        <f>'TE BE'!$M$24*'TE BF'!$M$49</f>
        <v>0</v>
      </c>
      <c r="N24" s="20">
        <f>'TE BE'!$N$24*'TE BF'!$N$49</f>
        <v>0</v>
      </c>
      <c r="O24" s="20">
        <f>'TE BE'!$O$24*'TE BF'!$O$49</f>
        <v>0</v>
      </c>
      <c r="P24" s="20">
        <f>'TE BE'!$P$24*'TE BF'!$P$49</f>
        <v>0</v>
      </c>
      <c r="Q24" s="20">
        <f>SUM($L$24:$P$24)</f>
        <v>0</v>
      </c>
      <c r="R24" s="20">
        <f>'TE BE'!$R$24*'TE BF'!$R$49</f>
        <v>0</v>
      </c>
      <c r="S24" s="20">
        <f>SUM($R$24:$R$24)</f>
        <v>0</v>
      </c>
      <c r="T24" s="20">
        <f>'TE BE'!$T$24*'TE BF'!$T$49</f>
        <v>0</v>
      </c>
      <c r="U24" s="20">
        <f>'TE BE'!$U$24*'TE BF'!$U$49</f>
        <v>0</v>
      </c>
      <c r="V24" s="20">
        <f>'TE BE'!$V$24*'TE BF'!$V$49</f>
        <v>0</v>
      </c>
      <c r="W24" s="20">
        <f>SUM($T$24:$V$24)</f>
        <v>0</v>
      </c>
      <c r="X24" s="20">
        <f>'TE BE'!$AB$24*'TE BF'!$X$49</f>
        <v>0</v>
      </c>
      <c r="Y24" s="20">
        <f>SUM($X$24:$X$24)</f>
        <v>0</v>
      </c>
      <c r="Z24" s="20">
        <f>'TE BE'!$Z$24*'TE BF'!$Z$49</f>
        <v>0</v>
      </c>
      <c r="AA24" s="20">
        <f>SUM($Z$24:$Z$24)</f>
        <v>0</v>
      </c>
      <c r="AB24" s="20">
        <f>SUMIF($L$4:$AA$4,"SUBTOTAL",$L$24:$AA$24)</f>
        <v>0</v>
      </c>
    </row>
    <row r="25" spans="1:28" ht="11.25" customHeight="1" x14ac:dyDescent="0.3">
      <c r="A25" s="99"/>
      <c r="B25" s="99" t="s">
        <v>78</v>
      </c>
      <c r="C25" s="99" t="s">
        <v>41</v>
      </c>
      <c r="D25" s="99" t="s">
        <v>95</v>
      </c>
      <c r="E25" s="99" t="s">
        <v>25</v>
      </c>
      <c r="F25" s="99" t="s">
        <v>25</v>
      </c>
      <c r="G25" s="23" t="s">
        <v>80</v>
      </c>
      <c r="H25" s="23" t="s">
        <v>79</v>
      </c>
      <c r="I25" s="23">
        <f>'MERCADO TE'!$U$22</f>
        <v>0</v>
      </c>
      <c r="J25" s="15"/>
      <c r="L25" s="20">
        <f>'TE BE'!$L$25*'TE BF'!$L$49</f>
        <v>0</v>
      </c>
      <c r="M25" s="20">
        <f>'TE BE'!$M$25*'TE BF'!$M$49</f>
        <v>0</v>
      </c>
      <c r="N25" s="20">
        <f>'TE BE'!$N$25*'TE BF'!$N$49</f>
        <v>0</v>
      </c>
      <c r="O25" s="20">
        <f>'TE BE'!$O$25*'TE BF'!$O$49</f>
        <v>0</v>
      </c>
      <c r="P25" s="20">
        <f>'TE BE'!$P$25*'TE BF'!$P$49</f>
        <v>0</v>
      </c>
      <c r="Q25" s="20">
        <f>SUM($L$25:$P$25)</f>
        <v>0</v>
      </c>
      <c r="R25" s="20">
        <f>'TE BE'!$R$25*'TE BF'!$R$49</f>
        <v>0</v>
      </c>
      <c r="S25" s="20">
        <f>SUM($R$25:$R$25)</f>
        <v>0</v>
      </c>
      <c r="T25" s="20">
        <f>'TE BE'!$T$25*'TE BF'!$T$49</f>
        <v>0</v>
      </c>
      <c r="U25" s="20">
        <f>'TE BE'!$U$25*'TE BF'!$U$49</f>
        <v>0</v>
      </c>
      <c r="V25" s="20">
        <f>'TE BE'!$V$25*'TE BF'!$V$49</f>
        <v>0</v>
      </c>
      <c r="W25" s="20">
        <f>SUM($T$25:$V$25)</f>
        <v>0</v>
      </c>
      <c r="X25" s="20">
        <f>'TE BE'!$AB$25*'TE BF'!$X$49</f>
        <v>0</v>
      </c>
      <c r="Y25" s="20">
        <f>SUM($X$25:$X$25)</f>
        <v>0</v>
      </c>
      <c r="Z25" s="20">
        <f>'TE BE'!$Z$25*'TE BF'!$Z$49</f>
        <v>0</v>
      </c>
      <c r="AA25" s="20">
        <f>SUM($Z$25:$Z$25)</f>
        <v>0</v>
      </c>
      <c r="AB25" s="20">
        <f>SUMIF($L$4:$AA$4,"SUBTOTAL",$L$25:$AA$25)</f>
        <v>0</v>
      </c>
    </row>
    <row r="26" spans="1:28" ht="11.25" customHeight="1" x14ac:dyDescent="0.3">
      <c r="A26" s="99"/>
      <c r="B26" s="99"/>
      <c r="C26" s="99"/>
      <c r="D26" s="99"/>
      <c r="E26" s="99"/>
      <c r="F26" s="99"/>
      <c r="G26" s="23" t="s">
        <v>91</v>
      </c>
      <c r="H26" s="23" t="s">
        <v>79</v>
      </c>
      <c r="I26" s="23">
        <f>'MERCADO TE'!$U$23</f>
        <v>0</v>
      </c>
      <c r="J26" s="15"/>
      <c r="L26" s="20">
        <f>'TE BE'!$L$26*'TE BF'!$L$49</f>
        <v>0</v>
      </c>
      <c r="M26" s="20">
        <f>'TE BE'!$M$26*'TE BF'!$M$49</f>
        <v>0</v>
      </c>
      <c r="N26" s="20">
        <f>'TE BE'!$N$26*'TE BF'!$N$49</f>
        <v>0</v>
      </c>
      <c r="O26" s="20">
        <f>'TE BE'!$O$26*'TE BF'!$O$49</f>
        <v>0</v>
      </c>
      <c r="P26" s="20">
        <f>'TE BE'!$P$26*'TE BF'!$P$49</f>
        <v>0</v>
      </c>
      <c r="Q26" s="20">
        <f>SUM($L$26:$P$26)</f>
        <v>0</v>
      </c>
      <c r="R26" s="20">
        <f>'TE BE'!$R$26*'TE BF'!$R$49</f>
        <v>0</v>
      </c>
      <c r="S26" s="20">
        <f>SUM($R$26:$R$26)</f>
        <v>0</v>
      </c>
      <c r="T26" s="20">
        <f>'TE BE'!$T$26*'TE BF'!$T$49</f>
        <v>0</v>
      </c>
      <c r="U26" s="20">
        <f>'TE BE'!$U$26*'TE BF'!$U$49</f>
        <v>0</v>
      </c>
      <c r="V26" s="20">
        <f>'TE BE'!$V$26*'TE BF'!$V$49</f>
        <v>0</v>
      </c>
      <c r="W26" s="20">
        <f>SUM($T$26:$V$26)</f>
        <v>0</v>
      </c>
      <c r="X26" s="20">
        <f>'TE BE'!$AB$26*'TE BF'!$X$49</f>
        <v>0</v>
      </c>
      <c r="Y26" s="20">
        <f>SUM($X$26:$X$26)</f>
        <v>0</v>
      </c>
      <c r="Z26" s="20">
        <f>'TE BE'!$Z$26*'TE BF'!$Z$49</f>
        <v>0</v>
      </c>
      <c r="AA26" s="20">
        <f>SUM($Z$26:$Z$26)</f>
        <v>0</v>
      </c>
      <c r="AB26" s="20">
        <f>SUMIF($L$4:$AA$4,"SUBTOTAL",$L$26:$AA$26)</f>
        <v>0</v>
      </c>
    </row>
    <row r="27" spans="1:28" ht="11.25" customHeight="1" x14ac:dyDescent="0.3">
      <c r="A27" s="99"/>
      <c r="B27" s="99"/>
      <c r="C27" s="99"/>
      <c r="D27" s="99"/>
      <c r="E27" s="99"/>
      <c r="F27" s="99"/>
      <c r="G27" s="23" t="s">
        <v>81</v>
      </c>
      <c r="H27" s="23" t="s">
        <v>79</v>
      </c>
      <c r="I27" s="23">
        <f>'MERCADO TE'!$U$24</f>
        <v>0</v>
      </c>
      <c r="J27" s="15"/>
      <c r="L27" s="20">
        <f>'TE BE'!$L$27*'TE BF'!$L$49</f>
        <v>0</v>
      </c>
      <c r="M27" s="20">
        <f>'TE BE'!$M$27*'TE BF'!$M$49</f>
        <v>0</v>
      </c>
      <c r="N27" s="20">
        <f>'TE BE'!$N$27*'TE BF'!$N$49</f>
        <v>0</v>
      </c>
      <c r="O27" s="20">
        <f>'TE BE'!$O$27*'TE BF'!$O$49</f>
        <v>0</v>
      </c>
      <c r="P27" s="20">
        <f>'TE BE'!$P$27*'TE BF'!$P$49</f>
        <v>0</v>
      </c>
      <c r="Q27" s="20">
        <f>SUM($L$27:$P$27)</f>
        <v>0</v>
      </c>
      <c r="R27" s="20">
        <f>'TE BE'!$R$27*'TE BF'!$R$49</f>
        <v>0</v>
      </c>
      <c r="S27" s="20">
        <f>SUM($R$27:$R$27)</f>
        <v>0</v>
      </c>
      <c r="T27" s="20">
        <f>'TE BE'!$T$27*'TE BF'!$T$49</f>
        <v>0</v>
      </c>
      <c r="U27" s="20">
        <f>'TE BE'!$U$27*'TE BF'!$U$49</f>
        <v>0</v>
      </c>
      <c r="V27" s="20">
        <f>'TE BE'!$V$27*'TE BF'!$V$49</f>
        <v>0</v>
      </c>
      <c r="W27" s="20">
        <f>SUM($T$27:$V$27)</f>
        <v>0</v>
      </c>
      <c r="X27" s="20">
        <f>'TE BE'!$AB$27*'TE BF'!$X$49</f>
        <v>0</v>
      </c>
      <c r="Y27" s="20">
        <f>SUM($X$27:$X$27)</f>
        <v>0</v>
      </c>
      <c r="Z27" s="20">
        <f>'TE BE'!$Z$27*'TE BF'!$Z$49</f>
        <v>0</v>
      </c>
      <c r="AA27" s="20">
        <f>SUM($Z$27:$Z$27)</f>
        <v>0</v>
      </c>
      <c r="AB27" s="20">
        <f>SUMIF($L$4:$AA$4,"SUBTOTAL",$L$27:$AA$27)</f>
        <v>0</v>
      </c>
    </row>
    <row r="28" spans="1:28" ht="11.25" customHeight="1" x14ac:dyDescent="0.3">
      <c r="A28" s="99"/>
      <c r="B28" s="22" t="s">
        <v>82</v>
      </c>
      <c r="C28" s="22" t="s">
        <v>41</v>
      </c>
      <c r="D28" s="22" t="s">
        <v>95</v>
      </c>
      <c r="E28" s="22" t="s">
        <v>25</v>
      </c>
      <c r="F28" s="22" t="s">
        <v>25</v>
      </c>
      <c r="G28" s="23" t="s">
        <v>83</v>
      </c>
      <c r="H28" s="23" t="s">
        <v>79</v>
      </c>
      <c r="I28" s="23">
        <f>'MERCADO TE'!$U$25</f>
        <v>0</v>
      </c>
      <c r="J28" s="15"/>
      <c r="L28" s="20">
        <f>'TE BE'!$L$28*'TE BF'!$L$49</f>
        <v>0</v>
      </c>
      <c r="M28" s="20">
        <f>'TE BE'!$M$28*'TE BF'!$M$49</f>
        <v>0</v>
      </c>
      <c r="N28" s="20">
        <f>'TE BE'!$N$28*'TE BF'!$N$49</f>
        <v>0</v>
      </c>
      <c r="O28" s="20">
        <f>'TE BE'!$O$28*'TE BF'!$O$49</f>
        <v>0</v>
      </c>
      <c r="P28" s="20">
        <f>'TE BE'!$P$28*'TE BF'!$P$49</f>
        <v>0</v>
      </c>
      <c r="Q28" s="20">
        <f>SUM($L$28:$P$28)</f>
        <v>0</v>
      </c>
      <c r="R28" s="20">
        <f>'TE BE'!$R$28*'TE BF'!$R$49</f>
        <v>0</v>
      </c>
      <c r="S28" s="20">
        <f>SUM($R$28:$R$28)</f>
        <v>0</v>
      </c>
      <c r="T28" s="20">
        <f>'TE BE'!$T$28*'TE BF'!$T$49</f>
        <v>0</v>
      </c>
      <c r="U28" s="20">
        <f>'TE BE'!$U$28*'TE BF'!$U$49</f>
        <v>0</v>
      </c>
      <c r="V28" s="20">
        <f>'TE BE'!$V$28*'TE BF'!$V$49</f>
        <v>0</v>
      </c>
      <c r="W28" s="20">
        <f>SUM($T$28:$V$28)</f>
        <v>0</v>
      </c>
      <c r="X28" s="20">
        <f>'TE BE'!$AB$28*'TE BF'!$X$49</f>
        <v>0</v>
      </c>
      <c r="Y28" s="20">
        <f>SUM($X$28:$X$28)</f>
        <v>0</v>
      </c>
      <c r="Z28" s="20">
        <f>'TE BE'!$Z$28*'TE BF'!$Z$49</f>
        <v>0</v>
      </c>
      <c r="AA28" s="20">
        <f>SUM($Z$28:$Z$28)</f>
        <v>0</v>
      </c>
      <c r="AB28" s="20">
        <f>SUMIF($L$4:$AA$4,"SUBTOTAL",$L$28:$AA$28)</f>
        <v>0</v>
      </c>
    </row>
    <row r="29" spans="1:28" ht="11.25" customHeight="1" x14ac:dyDescent="0.3">
      <c r="A29" s="99"/>
      <c r="B29" s="99" t="s">
        <v>78</v>
      </c>
      <c r="C29" s="99" t="s">
        <v>41</v>
      </c>
      <c r="D29" s="99" t="s">
        <v>96</v>
      </c>
      <c r="E29" s="99" t="s">
        <v>25</v>
      </c>
      <c r="F29" s="99" t="s">
        <v>25</v>
      </c>
      <c r="G29" s="23" t="s">
        <v>80</v>
      </c>
      <c r="H29" s="23" t="s">
        <v>79</v>
      </c>
      <c r="I29" s="23">
        <f>'MERCADO TE'!$U$26</f>
        <v>0</v>
      </c>
      <c r="J29" s="15"/>
      <c r="L29" s="20">
        <f>'TE BE'!$L$29*'TE BF'!$L$49</f>
        <v>0</v>
      </c>
      <c r="M29" s="20">
        <f>'TE BE'!$M$29*'TE BF'!$M$49</f>
        <v>0</v>
      </c>
      <c r="N29" s="20">
        <f>'TE BE'!$N$29*'TE BF'!$N$49</f>
        <v>0</v>
      </c>
      <c r="O29" s="20">
        <f>'TE BE'!$O$29*'TE BF'!$O$49</f>
        <v>0</v>
      </c>
      <c r="P29" s="20">
        <f>'TE BE'!$P$29*'TE BF'!$P$49</f>
        <v>0</v>
      </c>
      <c r="Q29" s="20">
        <f>SUM($L$29:$P$29)</f>
        <v>0</v>
      </c>
      <c r="R29" s="20">
        <f>'TE BE'!$R$29*'TE BF'!$R$49</f>
        <v>0</v>
      </c>
      <c r="S29" s="20">
        <f>SUM($R$29:$R$29)</f>
        <v>0</v>
      </c>
      <c r="T29" s="20">
        <f>'TE BE'!$T$29*'TE BF'!$T$49</f>
        <v>0</v>
      </c>
      <c r="U29" s="20">
        <f>'TE BE'!$U$29*'TE BF'!$U$49</f>
        <v>0</v>
      </c>
      <c r="V29" s="20">
        <f>'TE BE'!$V$29*'TE BF'!$V$49</f>
        <v>0</v>
      </c>
      <c r="W29" s="20">
        <f>SUM($T$29:$V$29)</f>
        <v>0</v>
      </c>
      <c r="X29" s="20">
        <f>'TE BE'!$AB$29*'TE BF'!$X$49</f>
        <v>0</v>
      </c>
      <c r="Y29" s="20">
        <f>SUM($X$29:$X$29)</f>
        <v>0</v>
      </c>
      <c r="Z29" s="20">
        <f>'TE BE'!$Z$29*'TE BF'!$Z$49</f>
        <v>0</v>
      </c>
      <c r="AA29" s="20">
        <f>SUM($Z$29:$Z$29)</f>
        <v>0</v>
      </c>
      <c r="AB29" s="20">
        <f>SUMIF($L$4:$AA$4,"SUBTOTAL",$L$29:$AA$29)</f>
        <v>0</v>
      </c>
    </row>
    <row r="30" spans="1:28" ht="11.25" customHeight="1" x14ac:dyDescent="0.3">
      <c r="A30" s="99"/>
      <c r="B30" s="99"/>
      <c r="C30" s="99"/>
      <c r="D30" s="99"/>
      <c r="E30" s="99"/>
      <c r="F30" s="99"/>
      <c r="G30" s="23" t="s">
        <v>91</v>
      </c>
      <c r="H30" s="23" t="s">
        <v>79</v>
      </c>
      <c r="I30" s="23">
        <f>'MERCADO TE'!$U$27</f>
        <v>0</v>
      </c>
      <c r="J30" s="15"/>
      <c r="L30" s="20">
        <f>'TE BE'!$L$30*'TE BF'!$L$49</f>
        <v>0</v>
      </c>
      <c r="M30" s="20">
        <f>'TE BE'!$M$30*'TE BF'!$M$49</f>
        <v>0</v>
      </c>
      <c r="N30" s="20">
        <f>'TE BE'!$N$30*'TE BF'!$N$49</f>
        <v>0</v>
      </c>
      <c r="O30" s="20">
        <f>'TE BE'!$O$30*'TE BF'!$O$49</f>
        <v>0</v>
      </c>
      <c r="P30" s="20">
        <f>'TE BE'!$P$30*'TE BF'!$P$49</f>
        <v>0</v>
      </c>
      <c r="Q30" s="20">
        <f>SUM($L$30:$P$30)</f>
        <v>0</v>
      </c>
      <c r="R30" s="20">
        <f>'TE BE'!$R$30*'TE BF'!$R$49</f>
        <v>0</v>
      </c>
      <c r="S30" s="20">
        <f>SUM($R$30:$R$30)</f>
        <v>0</v>
      </c>
      <c r="T30" s="20">
        <f>'TE BE'!$T$30*'TE BF'!$T$49</f>
        <v>0</v>
      </c>
      <c r="U30" s="20">
        <f>'TE BE'!$U$30*'TE BF'!$U$49</f>
        <v>0</v>
      </c>
      <c r="V30" s="20">
        <f>'TE BE'!$V$30*'TE BF'!$V$49</f>
        <v>0</v>
      </c>
      <c r="W30" s="20">
        <f>SUM($T$30:$V$30)</f>
        <v>0</v>
      </c>
      <c r="X30" s="20">
        <f>'TE BE'!$AB$30*'TE BF'!$X$49</f>
        <v>0</v>
      </c>
      <c r="Y30" s="20">
        <f>SUM($X$30:$X$30)</f>
        <v>0</v>
      </c>
      <c r="Z30" s="20">
        <f>'TE BE'!$Z$30*'TE BF'!$Z$49</f>
        <v>0</v>
      </c>
      <c r="AA30" s="20">
        <f>SUM($Z$30:$Z$30)</f>
        <v>0</v>
      </c>
      <c r="AB30" s="20">
        <f>SUMIF($L$4:$AA$4,"SUBTOTAL",$L$30:$AA$30)</f>
        <v>0</v>
      </c>
    </row>
    <row r="31" spans="1:28" ht="11.25" customHeight="1" x14ac:dyDescent="0.3">
      <c r="A31" s="99"/>
      <c r="B31" s="99"/>
      <c r="C31" s="99"/>
      <c r="D31" s="99"/>
      <c r="E31" s="99"/>
      <c r="F31" s="99"/>
      <c r="G31" s="23" t="s">
        <v>81</v>
      </c>
      <c r="H31" s="23" t="s">
        <v>79</v>
      </c>
      <c r="I31" s="23">
        <f>'MERCADO TE'!$U$28</f>
        <v>0</v>
      </c>
      <c r="J31" s="15"/>
      <c r="L31" s="20">
        <f>'TE BE'!$L$31*'TE BF'!$L$49</f>
        <v>0</v>
      </c>
      <c r="M31" s="20">
        <f>'TE BE'!$M$31*'TE BF'!$M$49</f>
        <v>0</v>
      </c>
      <c r="N31" s="20">
        <f>'TE BE'!$N$31*'TE BF'!$N$49</f>
        <v>0</v>
      </c>
      <c r="O31" s="20">
        <f>'TE BE'!$O$31*'TE BF'!$O$49</f>
        <v>0</v>
      </c>
      <c r="P31" s="20">
        <f>'TE BE'!$P$31*'TE BF'!$P$49</f>
        <v>0</v>
      </c>
      <c r="Q31" s="20">
        <f>SUM($L$31:$P$31)</f>
        <v>0</v>
      </c>
      <c r="R31" s="20">
        <f>'TE BE'!$R$31*'TE BF'!$R$49</f>
        <v>0</v>
      </c>
      <c r="S31" s="20">
        <f>SUM($R$31:$R$31)</f>
        <v>0</v>
      </c>
      <c r="T31" s="20">
        <f>'TE BE'!$T$31*'TE BF'!$T$49</f>
        <v>0</v>
      </c>
      <c r="U31" s="20">
        <f>'TE BE'!$U$31*'TE BF'!$U$49</f>
        <v>0</v>
      </c>
      <c r="V31" s="20">
        <f>'TE BE'!$V$31*'TE BF'!$V$49</f>
        <v>0</v>
      </c>
      <c r="W31" s="20">
        <f>SUM($T$31:$V$31)</f>
        <v>0</v>
      </c>
      <c r="X31" s="20">
        <f>'TE BE'!$AB$31*'TE BF'!$X$49</f>
        <v>0</v>
      </c>
      <c r="Y31" s="20">
        <f>SUM($X$31:$X$31)</f>
        <v>0</v>
      </c>
      <c r="Z31" s="20">
        <f>'TE BE'!$Z$31*'TE BF'!$Z$49</f>
        <v>0</v>
      </c>
      <c r="AA31" s="20">
        <f>SUM($Z$31:$Z$31)</f>
        <v>0</v>
      </c>
      <c r="AB31" s="20">
        <f>SUMIF($L$4:$AA$4,"SUBTOTAL",$L$31:$AA$31)</f>
        <v>0</v>
      </c>
    </row>
    <row r="32" spans="1:28" ht="11.25" customHeight="1" x14ac:dyDescent="0.3">
      <c r="A32" s="99"/>
      <c r="B32" s="22" t="s">
        <v>82</v>
      </c>
      <c r="C32" s="22" t="s">
        <v>41</v>
      </c>
      <c r="D32" s="22" t="s">
        <v>96</v>
      </c>
      <c r="E32" s="22" t="s">
        <v>25</v>
      </c>
      <c r="F32" s="22" t="s">
        <v>25</v>
      </c>
      <c r="G32" s="23" t="s">
        <v>83</v>
      </c>
      <c r="H32" s="23" t="s">
        <v>79</v>
      </c>
      <c r="I32" s="23">
        <f>'MERCADO TE'!$U$29</f>
        <v>0</v>
      </c>
      <c r="J32" s="15"/>
      <c r="L32" s="20">
        <f>'TE BE'!$L$32*'TE BF'!$L$49</f>
        <v>0</v>
      </c>
      <c r="M32" s="20">
        <f>'TE BE'!$M$32*'TE BF'!$M$49</f>
        <v>0</v>
      </c>
      <c r="N32" s="20">
        <f>'TE BE'!$N$32*'TE BF'!$N$49</f>
        <v>0</v>
      </c>
      <c r="O32" s="20">
        <f>'TE BE'!$O$32*'TE BF'!$O$49</f>
        <v>0</v>
      </c>
      <c r="P32" s="20">
        <f>'TE BE'!$P$32*'TE BF'!$P$49</f>
        <v>0</v>
      </c>
      <c r="Q32" s="20">
        <f>SUM($L$32:$P$32)</f>
        <v>0</v>
      </c>
      <c r="R32" s="20">
        <f>'TE BE'!$R$32*'TE BF'!$R$49</f>
        <v>0</v>
      </c>
      <c r="S32" s="20">
        <f>SUM($R$32:$R$32)</f>
        <v>0</v>
      </c>
      <c r="T32" s="20">
        <f>'TE BE'!$T$32*'TE BF'!$T$49</f>
        <v>0</v>
      </c>
      <c r="U32" s="20">
        <f>'TE BE'!$U$32*'TE BF'!$U$49</f>
        <v>0</v>
      </c>
      <c r="V32" s="20">
        <f>'TE BE'!$V$32*'TE BF'!$V$49</f>
        <v>0</v>
      </c>
      <c r="W32" s="20">
        <f>SUM($T$32:$V$32)</f>
        <v>0</v>
      </c>
      <c r="X32" s="20">
        <f>'TE BE'!$AB$32*'TE BF'!$X$49</f>
        <v>0</v>
      </c>
      <c r="Y32" s="20">
        <f>SUM($X$32:$X$32)</f>
        <v>0</v>
      </c>
      <c r="Z32" s="20">
        <f>'TE BE'!$Z$32*'TE BF'!$Z$49</f>
        <v>0</v>
      </c>
      <c r="AA32" s="20">
        <f>SUM($Z$32:$Z$32)</f>
        <v>0</v>
      </c>
      <c r="AB32" s="20">
        <f>SUMIF($L$4:$AA$4,"SUBTOTAL",$L$32:$AA$32)</f>
        <v>0</v>
      </c>
    </row>
    <row r="33" spans="1:28" ht="11.25" customHeight="1" x14ac:dyDescent="0.3">
      <c r="A33" s="99"/>
      <c r="B33" s="99" t="s">
        <v>93</v>
      </c>
      <c r="C33" s="99" t="s">
        <v>41</v>
      </c>
      <c r="D33" s="22" t="s">
        <v>25</v>
      </c>
      <c r="E33" s="22" t="s">
        <v>25</v>
      </c>
      <c r="F33" s="22" t="s">
        <v>25</v>
      </c>
      <c r="G33" s="23" t="s">
        <v>83</v>
      </c>
      <c r="H33" s="23" t="s">
        <v>79</v>
      </c>
      <c r="I33" s="23">
        <f>'MERCADO TE'!$U$30</f>
        <v>0</v>
      </c>
      <c r="J33" s="15"/>
      <c r="L33" s="20">
        <f>'TE BE'!$L$33*'TE BF'!$L$49</f>
        <v>0</v>
      </c>
      <c r="M33" s="20">
        <f>'TE BE'!$M$33*'TE BF'!$M$49</f>
        <v>0</v>
      </c>
      <c r="N33" s="20">
        <f>'TE BE'!$N$33*'TE BF'!$N$49</f>
        <v>0</v>
      </c>
      <c r="O33" s="20">
        <f>'TE BE'!$O$33*'TE BF'!$O$49</f>
        <v>0</v>
      </c>
      <c r="P33" s="20">
        <f>'TE BE'!$P$33*'TE BF'!$P$49</f>
        <v>0</v>
      </c>
      <c r="Q33" s="20">
        <f>SUM($L$33:$P$33)</f>
        <v>0</v>
      </c>
      <c r="R33" s="20">
        <f>'TE BE'!$R$33*'TE BF'!$R$49</f>
        <v>0</v>
      </c>
      <c r="S33" s="20">
        <f>SUM($R$33:$R$33)</f>
        <v>0</v>
      </c>
      <c r="T33" s="20">
        <f>'TE BE'!$T$33*'TE BF'!$T$49</f>
        <v>0</v>
      </c>
      <c r="U33" s="20">
        <f>'TE BE'!$U$33*'TE BF'!$U$49</f>
        <v>0</v>
      </c>
      <c r="V33" s="20">
        <f>'TE BE'!$V$33*'TE BF'!$V$49</f>
        <v>0</v>
      </c>
      <c r="W33" s="20">
        <f>SUM($T$33:$V$33)</f>
        <v>0</v>
      </c>
      <c r="X33" s="20">
        <f>'TE BE'!$AB$33*'TE BF'!$X$49</f>
        <v>0</v>
      </c>
      <c r="Y33" s="20">
        <f>SUM($X$33:$X$33)</f>
        <v>0</v>
      </c>
      <c r="Z33" s="20">
        <f>'TE BE'!$Z$33*'TE BF'!$Z$49</f>
        <v>0</v>
      </c>
      <c r="AA33" s="20">
        <f>SUM($Z$33:$Z$33)</f>
        <v>0</v>
      </c>
      <c r="AB33" s="20">
        <f>SUMIF($L$4:$AA$4,"SUBTOTAL",$L$33:$AA$33)</f>
        <v>0</v>
      </c>
    </row>
    <row r="34" spans="1:28" ht="11.25" customHeight="1" x14ac:dyDescent="0.3">
      <c r="A34" s="99"/>
      <c r="B34" s="99"/>
      <c r="C34" s="99"/>
      <c r="D34" s="22" t="s">
        <v>95</v>
      </c>
      <c r="E34" s="22" t="s">
        <v>25</v>
      </c>
      <c r="F34" s="22" t="s">
        <v>25</v>
      </c>
      <c r="G34" s="23" t="s">
        <v>83</v>
      </c>
      <c r="H34" s="23" t="s">
        <v>79</v>
      </c>
      <c r="I34" s="23">
        <f>'MERCADO TE'!$U$31</f>
        <v>0</v>
      </c>
      <c r="J34" s="15"/>
      <c r="L34" s="20">
        <f>'TE BE'!$L$34*'TE BF'!$L$49</f>
        <v>0</v>
      </c>
      <c r="M34" s="20">
        <f>'TE BE'!$M$34*'TE BF'!$M$49</f>
        <v>0</v>
      </c>
      <c r="N34" s="20">
        <f>'TE BE'!$N$34*'TE BF'!$N$49</f>
        <v>0</v>
      </c>
      <c r="O34" s="20">
        <f>'TE BE'!$O$34*'TE BF'!$O$49</f>
        <v>0</v>
      </c>
      <c r="P34" s="20">
        <f>'TE BE'!$P$34*'TE BF'!$P$49</f>
        <v>0</v>
      </c>
      <c r="Q34" s="20">
        <f>SUM($L$34:$P$34)</f>
        <v>0</v>
      </c>
      <c r="R34" s="20">
        <f>'TE BE'!$R$34*'TE BF'!$R$49</f>
        <v>0</v>
      </c>
      <c r="S34" s="20">
        <f>SUM($R$34:$R$34)</f>
        <v>0</v>
      </c>
      <c r="T34" s="20">
        <f>'TE BE'!$T$34*'TE BF'!$T$49</f>
        <v>0</v>
      </c>
      <c r="U34" s="20">
        <f>'TE BE'!$U$34*'TE BF'!$U$49</f>
        <v>0</v>
      </c>
      <c r="V34" s="20">
        <f>'TE BE'!$V$34*'TE BF'!$V$49</f>
        <v>0</v>
      </c>
      <c r="W34" s="20">
        <f>SUM($T$34:$V$34)</f>
        <v>0</v>
      </c>
      <c r="X34" s="20">
        <f>'TE BE'!$AB$34*'TE BF'!$X$49</f>
        <v>0</v>
      </c>
      <c r="Y34" s="20">
        <f>SUM($X$34:$X$34)</f>
        <v>0</v>
      </c>
      <c r="Z34" s="20">
        <f>'TE BE'!$Z$34*'TE BF'!$Z$49</f>
        <v>0</v>
      </c>
      <c r="AA34" s="20">
        <f>SUM($Z$34:$Z$34)</f>
        <v>0</v>
      </c>
      <c r="AB34" s="20">
        <f>SUMIF($L$4:$AA$4,"SUBTOTAL",$L$34:$AA$34)</f>
        <v>0</v>
      </c>
    </row>
    <row r="35" spans="1:28" ht="11.25" customHeight="1" x14ac:dyDescent="0.3">
      <c r="A35" s="99"/>
      <c r="B35" s="99"/>
      <c r="C35" s="99"/>
      <c r="D35" s="22" t="s">
        <v>96</v>
      </c>
      <c r="E35" s="22" t="s">
        <v>25</v>
      </c>
      <c r="F35" s="22" t="s">
        <v>25</v>
      </c>
      <c r="G35" s="23" t="s">
        <v>83</v>
      </c>
      <c r="H35" s="23" t="s">
        <v>79</v>
      </c>
      <c r="I35" s="23">
        <f>'MERCADO TE'!$U$32</f>
        <v>0</v>
      </c>
      <c r="J35" s="15"/>
      <c r="L35" s="20">
        <f>'TE BE'!$L$35*'TE BF'!$L$49</f>
        <v>0</v>
      </c>
      <c r="M35" s="20">
        <f>'TE BE'!$M$35*'TE BF'!$M$49</f>
        <v>0</v>
      </c>
      <c r="N35" s="20">
        <f>'TE BE'!$N$35*'TE BF'!$N$49</f>
        <v>0</v>
      </c>
      <c r="O35" s="20">
        <f>'TE BE'!$O$35*'TE BF'!$O$49</f>
        <v>0</v>
      </c>
      <c r="P35" s="20">
        <f>'TE BE'!$P$35*'TE BF'!$P$49</f>
        <v>0</v>
      </c>
      <c r="Q35" s="20">
        <f>SUM($L$35:$P$35)</f>
        <v>0</v>
      </c>
      <c r="R35" s="20">
        <f>'TE BE'!$R$35*'TE BF'!$R$49</f>
        <v>0</v>
      </c>
      <c r="S35" s="20">
        <f>SUM($R$35:$R$35)</f>
        <v>0</v>
      </c>
      <c r="T35" s="20">
        <f>'TE BE'!$T$35*'TE BF'!$T$49</f>
        <v>0</v>
      </c>
      <c r="U35" s="20">
        <f>'TE BE'!$U$35*'TE BF'!$U$49</f>
        <v>0</v>
      </c>
      <c r="V35" s="20">
        <f>'TE BE'!$V$35*'TE BF'!$V$49</f>
        <v>0</v>
      </c>
      <c r="W35" s="20">
        <f>SUM($T$35:$V$35)</f>
        <v>0</v>
      </c>
      <c r="X35" s="20">
        <f>'TE BE'!$AB$35*'TE BF'!$X$49</f>
        <v>0</v>
      </c>
      <c r="Y35" s="20">
        <f>SUM($X$35:$X$35)</f>
        <v>0</v>
      </c>
      <c r="Z35" s="20">
        <f>'TE BE'!$Z$35*'TE BF'!$Z$49</f>
        <v>0</v>
      </c>
      <c r="AA35" s="20">
        <f>SUM($Z$35:$Z$35)</f>
        <v>0</v>
      </c>
      <c r="AB35" s="20">
        <f>SUMIF($L$4:$AA$4,"SUBTOTAL",$L$35:$AA$35)</f>
        <v>0</v>
      </c>
    </row>
    <row r="36" spans="1:28" ht="11.25" customHeight="1" x14ac:dyDescent="0.3">
      <c r="A36" s="99" t="s">
        <v>32</v>
      </c>
      <c r="B36" s="99" t="s">
        <v>78</v>
      </c>
      <c r="C36" s="99" t="s">
        <v>25</v>
      </c>
      <c r="D36" s="99" t="s">
        <v>25</v>
      </c>
      <c r="E36" s="99" t="s">
        <v>25</v>
      </c>
      <c r="F36" s="99" t="s">
        <v>25</v>
      </c>
      <c r="G36" s="23" t="s">
        <v>80</v>
      </c>
      <c r="H36" s="23" t="s">
        <v>79</v>
      </c>
      <c r="I36" s="23">
        <f>'MERCADO TE'!$U$33</f>
        <v>0</v>
      </c>
      <c r="J36" s="15"/>
      <c r="L36" s="20">
        <f>'TE BE'!$L$36*'TE BF'!$L$49</f>
        <v>0</v>
      </c>
      <c r="M36" s="20">
        <f>'TE BE'!$M$36*'TE BF'!$M$49</f>
        <v>0</v>
      </c>
      <c r="N36" s="20">
        <f>'TE BE'!$N$36*'TE BF'!$N$49</f>
        <v>0</v>
      </c>
      <c r="O36" s="20">
        <f>'TE BE'!$O$36*'TE BF'!$O$49</f>
        <v>0</v>
      </c>
      <c r="P36" s="20">
        <f>'TE BE'!$P$36*'TE BF'!$P$49</f>
        <v>0</v>
      </c>
      <c r="Q36" s="20">
        <f>SUM($L$36:$P$36)</f>
        <v>0</v>
      </c>
      <c r="R36" s="20">
        <f>'TE BE'!$R$36*'TE BF'!$R$49</f>
        <v>0</v>
      </c>
      <c r="S36" s="20">
        <f>SUM($R$36:$R$36)</f>
        <v>0</v>
      </c>
      <c r="T36" s="20">
        <f>'TE BE'!$T$36*'TE BF'!$T$49</f>
        <v>0</v>
      </c>
      <c r="U36" s="20">
        <f>'TE BE'!$U$36*'TE BF'!$U$49</f>
        <v>0</v>
      </c>
      <c r="V36" s="20">
        <f>'TE BE'!$V$36*'TE BF'!$V$49</f>
        <v>0</v>
      </c>
      <c r="W36" s="20">
        <f>SUM($T$36:$V$36)</f>
        <v>0</v>
      </c>
      <c r="X36" s="20">
        <f>'TE BE'!$AB$36*'TE BF'!$X$49</f>
        <v>0</v>
      </c>
      <c r="Y36" s="20">
        <f>SUM($X$36:$X$36)</f>
        <v>0</v>
      </c>
      <c r="Z36" s="20">
        <f>'TE BE'!$Z$36*'TE BF'!$Z$49</f>
        <v>0</v>
      </c>
      <c r="AA36" s="20">
        <f>SUM($Z$36:$Z$36)</f>
        <v>0</v>
      </c>
      <c r="AB36" s="20">
        <f>SUMIF($L$4:$AA$4,"SUBTOTAL",$L$36:$AA$36)</f>
        <v>0</v>
      </c>
    </row>
    <row r="37" spans="1:28" ht="11.25" customHeight="1" x14ac:dyDescent="0.3">
      <c r="A37" s="99"/>
      <c r="B37" s="99"/>
      <c r="C37" s="99"/>
      <c r="D37" s="99"/>
      <c r="E37" s="99"/>
      <c r="F37" s="99"/>
      <c r="G37" s="23" t="s">
        <v>91</v>
      </c>
      <c r="H37" s="23" t="s">
        <v>79</v>
      </c>
      <c r="I37" s="23">
        <f>'MERCADO TE'!$U$34</f>
        <v>0</v>
      </c>
      <c r="J37" s="15"/>
      <c r="L37" s="20">
        <f>'TE BE'!$L$37*'TE BF'!$L$49</f>
        <v>0</v>
      </c>
      <c r="M37" s="20">
        <f>'TE BE'!$M$37*'TE BF'!$M$49</f>
        <v>0</v>
      </c>
      <c r="N37" s="20">
        <f>'TE BE'!$N$37*'TE BF'!$N$49</f>
        <v>0</v>
      </c>
      <c r="O37" s="20">
        <f>'TE BE'!$O$37*'TE BF'!$O$49</f>
        <v>0</v>
      </c>
      <c r="P37" s="20">
        <f>'TE BE'!$P$37*'TE BF'!$P$49</f>
        <v>0</v>
      </c>
      <c r="Q37" s="20">
        <f>SUM($L$37:$P$37)</f>
        <v>0</v>
      </c>
      <c r="R37" s="20">
        <f>'TE BE'!$R$37*'TE BF'!$R$49</f>
        <v>0</v>
      </c>
      <c r="S37" s="20">
        <f>SUM($R$37:$R$37)</f>
        <v>0</v>
      </c>
      <c r="T37" s="20">
        <f>'TE BE'!$T$37*'TE BF'!$T$49</f>
        <v>0</v>
      </c>
      <c r="U37" s="20">
        <f>'TE BE'!$U$37*'TE BF'!$U$49</f>
        <v>0</v>
      </c>
      <c r="V37" s="20">
        <f>'TE BE'!$V$37*'TE BF'!$V$49</f>
        <v>0</v>
      </c>
      <c r="W37" s="20">
        <f>SUM($T$37:$V$37)</f>
        <v>0</v>
      </c>
      <c r="X37" s="20">
        <f>'TE BE'!$AB$37*'TE BF'!$X$49</f>
        <v>0</v>
      </c>
      <c r="Y37" s="20">
        <f>SUM($X$37:$X$37)</f>
        <v>0</v>
      </c>
      <c r="Z37" s="20">
        <f>'TE BE'!$Z$37*'TE BF'!$Z$49</f>
        <v>0</v>
      </c>
      <c r="AA37" s="20">
        <f>SUM($Z$37:$Z$37)</f>
        <v>0</v>
      </c>
      <c r="AB37" s="20">
        <f>SUMIF($L$4:$AA$4,"SUBTOTAL",$L$37:$AA$37)</f>
        <v>0</v>
      </c>
    </row>
    <row r="38" spans="1:28" ht="11.25" customHeight="1" x14ac:dyDescent="0.3">
      <c r="A38" s="99"/>
      <c r="B38" s="99"/>
      <c r="C38" s="99"/>
      <c r="D38" s="99"/>
      <c r="E38" s="99"/>
      <c r="F38" s="99"/>
      <c r="G38" s="23" t="s">
        <v>81</v>
      </c>
      <c r="H38" s="23" t="s">
        <v>79</v>
      </c>
      <c r="I38" s="23">
        <f>'MERCADO TE'!$U$35</f>
        <v>0</v>
      </c>
      <c r="J38" s="15"/>
      <c r="L38" s="20">
        <f>'TE BE'!$L$38*'TE BF'!$L$49</f>
        <v>0</v>
      </c>
      <c r="M38" s="20">
        <f>'TE BE'!$M$38*'TE BF'!$M$49</f>
        <v>0</v>
      </c>
      <c r="N38" s="20">
        <f>'TE BE'!$N$38*'TE BF'!$N$49</f>
        <v>0</v>
      </c>
      <c r="O38" s="20">
        <f>'TE BE'!$O$38*'TE BF'!$O$49</f>
        <v>0</v>
      </c>
      <c r="P38" s="20">
        <f>'TE BE'!$P$38*'TE BF'!$P$49</f>
        <v>0</v>
      </c>
      <c r="Q38" s="20">
        <f>SUM($L$38:$P$38)</f>
        <v>0</v>
      </c>
      <c r="R38" s="20">
        <f>'TE BE'!$R$38*'TE BF'!$R$49</f>
        <v>0</v>
      </c>
      <c r="S38" s="20">
        <f>SUM($R$38:$R$38)</f>
        <v>0</v>
      </c>
      <c r="T38" s="20">
        <f>'TE BE'!$T$38*'TE BF'!$T$49</f>
        <v>0</v>
      </c>
      <c r="U38" s="20">
        <f>'TE BE'!$U$38*'TE BF'!$U$49</f>
        <v>0</v>
      </c>
      <c r="V38" s="20">
        <f>'TE BE'!$V$38*'TE BF'!$V$49</f>
        <v>0</v>
      </c>
      <c r="W38" s="20">
        <f>SUM($T$38:$V$38)</f>
        <v>0</v>
      </c>
      <c r="X38" s="20">
        <f>'TE BE'!$AB$38*'TE BF'!$X$49</f>
        <v>0</v>
      </c>
      <c r="Y38" s="20">
        <f>SUM($X$38:$X$38)</f>
        <v>0</v>
      </c>
      <c r="Z38" s="20">
        <f>'TE BE'!$Z$38*'TE BF'!$Z$49</f>
        <v>0</v>
      </c>
      <c r="AA38" s="20">
        <f>SUM($Z$38:$Z$38)</f>
        <v>0</v>
      </c>
      <c r="AB38" s="20">
        <f>SUMIF($L$4:$AA$4,"SUBTOTAL",$L$38:$AA$38)</f>
        <v>0</v>
      </c>
    </row>
    <row r="39" spans="1:28" ht="11.25" customHeight="1" x14ac:dyDescent="0.3">
      <c r="A39" s="99"/>
      <c r="B39" s="22" t="s">
        <v>82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83</v>
      </c>
      <c r="H39" s="23" t="s">
        <v>79</v>
      </c>
      <c r="I39" s="23">
        <f>'MERCADO TE'!$U$36</f>
        <v>7750.1880000000001</v>
      </c>
      <c r="J39" s="15"/>
      <c r="L39" s="20">
        <f>'TE BE'!$L$39*'TE BF'!$L$49</f>
        <v>0</v>
      </c>
      <c r="M39" s="20">
        <f>'TE BE'!$M$39*'TE BF'!$M$49</f>
        <v>0</v>
      </c>
      <c r="N39" s="20">
        <f>'TE BE'!$N$39*'TE BF'!$N$49</f>
        <v>0</v>
      </c>
      <c r="O39" s="20">
        <f>'TE BE'!$O$39*'TE BF'!$O$49</f>
        <v>0</v>
      </c>
      <c r="P39" s="20">
        <f>'TE BE'!$P$39*'TE BF'!$P$49</f>
        <v>0</v>
      </c>
      <c r="Q39" s="20">
        <f>SUM($L$39:$P$39)</f>
        <v>0</v>
      </c>
      <c r="R39" s="20">
        <f>'TE BE'!$R$39*'TE BF'!$R$49</f>
        <v>0</v>
      </c>
      <c r="S39" s="20">
        <f>SUM($R$39:$R$39)</f>
        <v>0</v>
      </c>
      <c r="T39" s="20">
        <f>'TE BE'!$T$39*'TE BF'!$T$49</f>
        <v>0</v>
      </c>
      <c r="U39" s="20">
        <f>'TE BE'!$U$39*'TE BF'!$U$49</f>
        <v>0</v>
      </c>
      <c r="V39" s="20">
        <f>'TE BE'!$V$39*'TE BF'!$V$49</f>
        <v>0</v>
      </c>
      <c r="W39" s="20">
        <f>SUM($T$39:$V$39)</f>
        <v>0</v>
      </c>
      <c r="X39" s="20">
        <f>'TE BE'!$AB$39*'TE BF'!$X$49</f>
        <v>0</v>
      </c>
      <c r="Y39" s="20">
        <f>SUM($X$39:$X$39)</f>
        <v>0</v>
      </c>
      <c r="Z39" s="20">
        <f>'TE BE'!$Z$39*'TE BF'!$Z$49</f>
        <v>0</v>
      </c>
      <c r="AA39" s="20">
        <f>SUM($Z$39:$Z$39)</f>
        <v>0</v>
      </c>
      <c r="AB39" s="20">
        <f>SUMIF($L$4:$AA$4,"SUBTOTAL",$L$39:$AA$39)</f>
        <v>0</v>
      </c>
    </row>
    <row r="40" spans="1:28" ht="11.25" customHeight="1" x14ac:dyDescent="0.3">
      <c r="A40" s="99"/>
      <c r="B40" s="22" t="s">
        <v>93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83</v>
      </c>
      <c r="H40" s="23" t="s">
        <v>79</v>
      </c>
      <c r="I40" s="23">
        <f>'MERCADO TE'!$U$37</f>
        <v>0</v>
      </c>
      <c r="J40" s="15"/>
      <c r="L40" s="20">
        <f>'TE BE'!$L$40*'TE BF'!$L$49</f>
        <v>0</v>
      </c>
      <c r="M40" s="20">
        <f>'TE BE'!$M$40*'TE BF'!$M$49</f>
        <v>0</v>
      </c>
      <c r="N40" s="20">
        <f>'TE BE'!$N$40*'TE BF'!$N$49</f>
        <v>0</v>
      </c>
      <c r="O40" s="20">
        <f>'TE BE'!$O$40*'TE BF'!$O$49</f>
        <v>0</v>
      </c>
      <c r="P40" s="20">
        <f>'TE BE'!$P$40*'TE BF'!$P$49</f>
        <v>0</v>
      </c>
      <c r="Q40" s="20">
        <f>SUM($L$40:$P$40)</f>
        <v>0</v>
      </c>
      <c r="R40" s="20">
        <f>'TE BE'!$R$40*'TE BF'!$R$49</f>
        <v>0</v>
      </c>
      <c r="S40" s="20">
        <f>SUM($R$40:$R$40)</f>
        <v>0</v>
      </c>
      <c r="T40" s="20">
        <f>'TE BE'!$T$40*'TE BF'!$T$49</f>
        <v>0</v>
      </c>
      <c r="U40" s="20">
        <f>'TE BE'!$U$40*'TE BF'!$U$49</f>
        <v>0</v>
      </c>
      <c r="V40" s="20">
        <f>'TE BE'!$V$40*'TE BF'!$V$49</f>
        <v>0</v>
      </c>
      <c r="W40" s="20">
        <f>SUM($T$40:$V$40)</f>
        <v>0</v>
      </c>
      <c r="X40" s="20">
        <f>'TE BE'!$AB$40*'TE BF'!$X$49</f>
        <v>0</v>
      </c>
      <c r="Y40" s="20">
        <f>SUM($X$40:$X$40)</f>
        <v>0</v>
      </c>
      <c r="Z40" s="20">
        <f>'TE BE'!$Z$40*'TE BF'!$Z$49</f>
        <v>0</v>
      </c>
      <c r="AA40" s="20">
        <f>SUM($Z$40:$Z$40)</f>
        <v>0</v>
      </c>
      <c r="AB40" s="20">
        <f>SUMIF($L$4:$AA$4,"SUBTOTAL",$L$40:$AA$40)</f>
        <v>0</v>
      </c>
    </row>
    <row r="41" spans="1:28" ht="11.25" customHeight="1" x14ac:dyDescent="0.3">
      <c r="A41" s="99" t="s">
        <v>43</v>
      </c>
      <c r="B41" s="99" t="s">
        <v>82</v>
      </c>
      <c r="C41" s="99" t="s">
        <v>44</v>
      </c>
      <c r="D41" s="22" t="s">
        <v>97</v>
      </c>
      <c r="E41" s="22" t="s">
        <v>25</v>
      </c>
      <c r="F41" s="22" t="s">
        <v>25</v>
      </c>
      <c r="G41" s="23" t="s">
        <v>83</v>
      </c>
      <c r="H41" s="23" t="s">
        <v>79</v>
      </c>
      <c r="I41" s="23">
        <f>'MERCADO TE'!$U$38</f>
        <v>0</v>
      </c>
      <c r="J41" s="15"/>
      <c r="L41" s="20">
        <f>'TE BE'!$L$41*'TE BF'!$L$49</f>
        <v>0</v>
      </c>
      <c r="M41" s="20">
        <f>'TE BE'!$M$41*'TE BF'!$M$49</f>
        <v>0</v>
      </c>
      <c r="N41" s="20">
        <f>'TE BE'!$N$41*'TE BF'!$N$49</f>
        <v>0</v>
      </c>
      <c r="O41" s="20">
        <f>'TE BE'!$O$41*'TE BF'!$O$49</f>
        <v>0</v>
      </c>
      <c r="P41" s="20">
        <f>'TE BE'!$P$41*'TE BF'!$P$49</f>
        <v>0</v>
      </c>
      <c r="Q41" s="20">
        <f>SUM($L$41:$P$41)</f>
        <v>0</v>
      </c>
      <c r="R41" s="20">
        <f>'TE BE'!$R$41*'TE BF'!$R$49</f>
        <v>0</v>
      </c>
      <c r="S41" s="20">
        <f>SUM($R$41:$R$41)</f>
        <v>0</v>
      </c>
      <c r="T41" s="20">
        <f>'TE BE'!$T$41*'TE BF'!$T$49</f>
        <v>0</v>
      </c>
      <c r="U41" s="20">
        <f>'TE BE'!$U$41*'TE BF'!$U$49</f>
        <v>0</v>
      </c>
      <c r="V41" s="20">
        <f>'TE BE'!$V$41*'TE BF'!$V$49</f>
        <v>0</v>
      </c>
      <c r="W41" s="20">
        <f>SUM($T$41:$V$41)</f>
        <v>0</v>
      </c>
      <c r="X41" s="20">
        <f>'TE BE'!$AB$41*'TE BF'!$X$49</f>
        <v>0</v>
      </c>
      <c r="Y41" s="20">
        <f>SUM($X$41:$X$41)</f>
        <v>0</v>
      </c>
      <c r="Z41" s="20">
        <f>'TE BE'!$Z$41*'TE BF'!$Z$49</f>
        <v>0</v>
      </c>
      <c r="AA41" s="20">
        <f>SUM($Z$41:$Z$41)</f>
        <v>0</v>
      </c>
      <c r="AB41" s="20">
        <f>SUMIF($L$4:$AA$4,"SUBTOTAL",$L$41:$AA$41)</f>
        <v>0</v>
      </c>
    </row>
    <row r="42" spans="1:28" ht="11.25" customHeight="1" x14ac:dyDescent="0.3">
      <c r="A42" s="99"/>
      <c r="B42" s="99"/>
      <c r="C42" s="99"/>
      <c r="D42" s="23" t="s">
        <v>45</v>
      </c>
      <c r="E42" s="23" t="s">
        <v>25</v>
      </c>
      <c r="F42" s="23" t="s">
        <v>25</v>
      </c>
      <c r="G42" s="23" t="s">
        <v>83</v>
      </c>
      <c r="H42" s="23" t="s">
        <v>79</v>
      </c>
      <c r="I42" s="23">
        <f>'MERCADO TE'!$U$39</f>
        <v>1776.7269999999999</v>
      </c>
      <c r="J42" s="15"/>
      <c r="L42" s="20">
        <f>'TE BE'!$L$42*'TE BF'!$L$49</f>
        <v>0</v>
      </c>
      <c r="M42" s="20">
        <f>'TE BE'!$M$42*'TE BF'!$M$49</f>
        <v>0</v>
      </c>
      <c r="N42" s="20">
        <f>'TE BE'!$N$42*'TE BF'!$N$49</f>
        <v>0</v>
      </c>
      <c r="O42" s="20">
        <f>'TE BE'!$O$42*'TE BF'!$O$49</f>
        <v>0</v>
      </c>
      <c r="P42" s="20">
        <f>'TE BE'!$P$42*'TE BF'!$P$49</f>
        <v>0</v>
      </c>
      <c r="Q42" s="20">
        <f>SUM($L$42:$P$42)</f>
        <v>0</v>
      </c>
      <c r="R42" s="20">
        <f>'TE BE'!$R$42*'TE BF'!$R$49</f>
        <v>0</v>
      </c>
      <c r="S42" s="20">
        <f>SUM($R$42:$R$42)</f>
        <v>0</v>
      </c>
      <c r="T42" s="20">
        <f>'TE BE'!$T$42*'TE BF'!$T$49</f>
        <v>0</v>
      </c>
      <c r="U42" s="20">
        <f>'TE BE'!$U$42*'TE BF'!$U$49</f>
        <v>0</v>
      </c>
      <c r="V42" s="20">
        <f>'TE BE'!$V$42*'TE BF'!$V$49</f>
        <v>0</v>
      </c>
      <c r="W42" s="20">
        <f>SUM($T$42:$V$42)</f>
        <v>0</v>
      </c>
      <c r="X42" s="20">
        <f>'TE BE'!$AB$42*'TE BF'!$X$49</f>
        <v>0</v>
      </c>
      <c r="Y42" s="20">
        <f>SUM($X$42:$X$42)</f>
        <v>0</v>
      </c>
      <c r="Z42" s="20">
        <f>'TE BE'!$Z$42*'TE BF'!$Z$49</f>
        <v>0</v>
      </c>
      <c r="AA42" s="20">
        <f>SUM($Z$42:$Z$42)</f>
        <v>0</v>
      </c>
      <c r="AB42" s="20">
        <f>SUMIF($L$4:$AA$4,"SUBTOTAL",$L$42:$AA$42)</f>
        <v>0</v>
      </c>
    </row>
    <row r="44" spans="1:28" ht="11.25" customHeight="1" x14ac:dyDescent="0.3">
      <c r="K44" s="25" t="s">
        <v>516</v>
      </c>
      <c r="L44" s="20">
        <f t="shared" ref="L44:AB44" si="0">SUMPRODUCT($I$5:$I$42,L$5:L$42)</f>
        <v>0</v>
      </c>
      <c r="M44" s="20">
        <f t="shared" si="0"/>
        <v>0</v>
      </c>
      <c r="N44" s="20">
        <f t="shared" si="0"/>
        <v>0</v>
      </c>
      <c r="O44" s="20">
        <f t="shared" si="0"/>
        <v>0</v>
      </c>
      <c r="P44" s="20">
        <f t="shared" si="0"/>
        <v>0</v>
      </c>
      <c r="Q44" s="20">
        <f t="shared" si="0"/>
        <v>0</v>
      </c>
      <c r="R44" s="20">
        <f t="shared" si="0"/>
        <v>0</v>
      </c>
      <c r="S44" s="20">
        <f t="shared" si="0"/>
        <v>0</v>
      </c>
      <c r="T44" s="20">
        <f t="shared" si="0"/>
        <v>0</v>
      </c>
      <c r="U44" s="20">
        <f t="shared" si="0"/>
        <v>0</v>
      </c>
      <c r="V44" s="20">
        <f t="shared" si="0"/>
        <v>0</v>
      </c>
      <c r="W44" s="20">
        <f t="shared" si="0"/>
        <v>0</v>
      </c>
      <c r="X44" s="20">
        <f t="shared" si="0"/>
        <v>0</v>
      </c>
      <c r="Y44" s="20">
        <f t="shared" si="0"/>
        <v>0</v>
      </c>
      <c r="Z44" s="20">
        <f t="shared" si="0"/>
        <v>0</v>
      </c>
      <c r="AA44" s="20">
        <f t="shared" si="0"/>
        <v>0</v>
      </c>
      <c r="AB44" s="20">
        <f t="shared" si="0"/>
        <v>0</v>
      </c>
    </row>
    <row r="45" spans="1:28" ht="11.25" customHeight="1" x14ac:dyDescent="0.3">
      <c r="K45" s="25" t="s">
        <v>435</v>
      </c>
      <c r="L45" s="20">
        <f>CUSTOS!$D$30</f>
        <v>0</v>
      </c>
      <c r="M45" s="20">
        <f>CUSTOS!$D$31</f>
        <v>696110.48</v>
      </c>
      <c r="N45" s="20">
        <f>CUSTOS!$D$32</f>
        <v>0</v>
      </c>
      <c r="O45" s="20">
        <f>CUSTOS!$D$33</f>
        <v>0</v>
      </c>
      <c r="P45" s="20">
        <f>CUSTOS!$D$34</f>
        <v>0</v>
      </c>
      <c r="Q45" s="20">
        <f>CUSTOS!$D$35</f>
        <v>696110.48</v>
      </c>
      <c r="R45" s="20">
        <f>CUSTOS!$D$36</f>
        <v>9134698.25261865</v>
      </c>
      <c r="S45" s="20">
        <f>CUSTOS!$D$37</f>
        <v>9134698.25261865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9830808.7326186504</v>
      </c>
    </row>
    <row r="46" spans="1:28" ht="11.25" customHeight="1" x14ac:dyDescent="0.3">
      <c r="K46" s="25" t="s">
        <v>436</v>
      </c>
      <c r="L46" s="20">
        <f>CUSTOS!$E$30</f>
        <v>0</v>
      </c>
      <c r="M46" s="20">
        <f>CUSTOS!$E$31</f>
        <v>0</v>
      </c>
      <c r="N46" s="20">
        <f>CUSTOS!$E$32</f>
        <v>0</v>
      </c>
      <c r="O46" s="20">
        <f>CUSTOS!$E$33</f>
        <v>0</v>
      </c>
      <c r="P46" s="20">
        <f>CUSTOS!$E$34</f>
        <v>0</v>
      </c>
      <c r="Q46" s="20">
        <f>CUSTOS!$E$35</f>
        <v>0</v>
      </c>
      <c r="R46" s="20">
        <f>CUSTOS!$E$36</f>
        <v>-594186.99455570441</v>
      </c>
      <c r="S46" s="20">
        <f>CUSTOS!$E$37</f>
        <v>-594186.99455570441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-594186.99455570441</v>
      </c>
    </row>
    <row r="47" spans="1:28" ht="11.25" customHeight="1" x14ac:dyDescent="0.3">
      <c r="K47" s="25" t="s">
        <v>437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0</v>
      </c>
      <c r="S47" s="20">
        <f>CUSTOS!$F$37</f>
        <v>0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0</v>
      </c>
    </row>
    <row r="48" spans="1:28" ht="11.25" customHeight="1" x14ac:dyDescent="0.3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1:28" ht="11.25" customHeight="1" x14ac:dyDescent="0.3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</sheetData>
  <mergeCells count="61">
    <mergeCell ref="E36:E38"/>
    <mergeCell ref="F36:F38"/>
    <mergeCell ref="A41:A42"/>
    <mergeCell ref="B41:B42"/>
    <mergeCell ref="C41:C42"/>
    <mergeCell ref="D36:D38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4">
    <cfRule type="cellIs" dxfId="708" priority="33" operator="notEqual">
      <formula>$L$47</formula>
    </cfRule>
    <cfRule type="cellIs" dxfId="707" priority="34" operator="equal">
      <formula>$L$47</formula>
    </cfRule>
  </conditionalFormatting>
  <conditionalFormatting sqref="M44">
    <cfRule type="cellIs" dxfId="706" priority="31" operator="notEqual">
      <formula>$M$47</formula>
    </cfRule>
    <cfRule type="cellIs" dxfId="705" priority="32" operator="equal">
      <formula>$M$47</formula>
    </cfRule>
  </conditionalFormatting>
  <conditionalFormatting sqref="N44">
    <cfRule type="cellIs" dxfId="704" priority="29" operator="notEqual">
      <formula>$N$47</formula>
    </cfRule>
    <cfRule type="cellIs" dxfId="703" priority="30" operator="equal">
      <formula>$N$47</formula>
    </cfRule>
  </conditionalFormatting>
  <conditionalFormatting sqref="O44">
    <cfRule type="cellIs" dxfId="702" priority="27" operator="notEqual">
      <formula>$O$47</formula>
    </cfRule>
    <cfRule type="cellIs" dxfId="701" priority="28" operator="equal">
      <formula>$O$47</formula>
    </cfRule>
  </conditionalFormatting>
  <conditionalFormatting sqref="P44">
    <cfRule type="cellIs" dxfId="700" priority="25" operator="notEqual">
      <formula>$P$47</formula>
    </cfRule>
    <cfRule type="cellIs" dxfId="699" priority="26" operator="equal">
      <formula>$P$47</formula>
    </cfRule>
  </conditionalFormatting>
  <conditionalFormatting sqref="Q44">
    <cfRule type="cellIs" dxfId="698" priority="23" operator="notEqual">
      <formula>$Q$47</formula>
    </cfRule>
    <cfRule type="cellIs" dxfId="697" priority="24" operator="equal">
      <formula>$Q$47</formula>
    </cfRule>
  </conditionalFormatting>
  <conditionalFormatting sqref="R44">
    <cfRule type="cellIs" dxfId="696" priority="21" operator="notEqual">
      <formula>$R$47</formula>
    </cfRule>
    <cfRule type="cellIs" dxfId="695" priority="22" operator="equal">
      <formula>$R$47</formula>
    </cfRule>
  </conditionalFormatting>
  <conditionalFormatting sqref="S44">
    <cfRule type="cellIs" dxfId="694" priority="19" operator="notEqual">
      <formula>$S$47</formula>
    </cfRule>
    <cfRule type="cellIs" dxfId="693" priority="20" operator="equal">
      <formula>$S$47</formula>
    </cfRule>
  </conditionalFormatting>
  <conditionalFormatting sqref="T44">
    <cfRule type="cellIs" dxfId="692" priority="17" operator="notEqual">
      <formula>$T$47</formula>
    </cfRule>
    <cfRule type="cellIs" dxfId="691" priority="18" operator="equal">
      <formula>$T$47</formula>
    </cfRule>
  </conditionalFormatting>
  <conditionalFormatting sqref="U44">
    <cfRule type="cellIs" dxfId="690" priority="15" operator="notEqual">
      <formula>$U$47</formula>
    </cfRule>
    <cfRule type="cellIs" dxfId="689" priority="16" operator="equal">
      <formula>$U$47</formula>
    </cfRule>
  </conditionalFormatting>
  <conditionalFormatting sqref="V44">
    <cfRule type="cellIs" dxfId="688" priority="13" operator="notEqual">
      <formula>$V$47</formula>
    </cfRule>
    <cfRule type="cellIs" dxfId="687" priority="14" operator="equal">
      <formula>$V$47</formula>
    </cfRule>
  </conditionalFormatting>
  <conditionalFormatting sqref="W44">
    <cfRule type="cellIs" dxfId="686" priority="11" operator="notEqual">
      <formula>$W$47</formula>
    </cfRule>
    <cfRule type="cellIs" dxfId="685" priority="12" operator="equal">
      <formula>$W$47</formula>
    </cfRule>
  </conditionalFormatting>
  <conditionalFormatting sqref="X44">
    <cfRule type="cellIs" dxfId="684" priority="9" operator="notEqual">
      <formula>$X$47</formula>
    </cfRule>
    <cfRule type="cellIs" dxfId="683" priority="10" operator="equal">
      <formula>$X$47</formula>
    </cfRule>
  </conditionalFormatting>
  <conditionalFormatting sqref="Y44">
    <cfRule type="cellIs" dxfId="682" priority="7" operator="notEqual">
      <formula>$Y$47</formula>
    </cfRule>
    <cfRule type="cellIs" dxfId="681" priority="8" operator="equal">
      <formula>$Y$47</formula>
    </cfRule>
  </conditionalFormatting>
  <conditionalFormatting sqref="Z44">
    <cfRule type="cellIs" dxfId="680" priority="5" operator="notEqual">
      <formula>$Z$47</formula>
    </cfRule>
    <cfRule type="cellIs" dxfId="679" priority="6" operator="equal">
      <formula>$Z$47</formula>
    </cfRule>
  </conditionalFormatting>
  <conditionalFormatting sqref="AA44">
    <cfRule type="cellIs" dxfId="678" priority="3" operator="notEqual">
      <formula>$AA$47</formula>
    </cfRule>
    <cfRule type="cellIs" dxfId="677" priority="4" operator="equal">
      <formula>$AA$47</formula>
    </cfRule>
  </conditionalFormatting>
  <conditionalFormatting sqref="AB44">
    <cfRule type="cellIs" dxfId="676" priority="1" operator="notEqual">
      <formula>$AB$47</formula>
    </cfRule>
    <cfRule type="cellIs" dxfId="675" priority="2" operator="equal">
      <formula>$AB$47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6FBE-45F2-4EF7-B480-CAF86B6DF0FF}">
  <dimension ref="A1:AV483"/>
  <sheetViews>
    <sheetView showGridLines="0" topLeftCell="AQ1" workbookViewId="0">
      <selection activeCell="AU14" sqref="AU14"/>
    </sheetView>
  </sheetViews>
  <sheetFormatPr defaultRowHeight="11.25" customHeight="1" x14ac:dyDescent="0.3"/>
  <cols>
    <col min="1" max="1" width="18" style="3" bestFit="1" customWidth="1"/>
    <col min="2" max="2" width="12.109375" style="3" bestFit="1" customWidth="1"/>
    <col min="3" max="3" width="13.5546875" style="3" bestFit="1" customWidth="1"/>
    <col min="4" max="4" width="12.6640625" style="3" bestFit="1" customWidth="1"/>
    <col min="5" max="5" width="23.109375" style="3" bestFit="1" customWidth="1"/>
    <col min="6" max="6" width="12.88671875" style="3" bestFit="1" customWidth="1"/>
    <col min="7" max="7" width="15.6640625" style="3" bestFit="1" customWidth="1"/>
    <col min="8" max="8" width="9.5546875" style="3" bestFit="1" customWidth="1"/>
    <col min="9" max="9" width="10.77734375" style="6" bestFit="1" customWidth="1"/>
    <col min="10" max="10" width="6.33203125" style="4" bestFit="1" customWidth="1"/>
    <col min="11" max="11" width="7.5546875" style="4" bestFit="1" customWidth="1"/>
    <col min="12" max="12" width="10.77734375" style="4" bestFit="1" customWidth="1"/>
    <col min="13" max="13" width="12.109375" style="4" bestFit="1" customWidth="1"/>
    <col min="14" max="14" width="8.6640625" style="4" bestFit="1" customWidth="1"/>
    <col min="15" max="15" width="10" style="4" bestFit="1" customWidth="1"/>
    <col min="16" max="16" width="7.21875" style="4" bestFit="1" customWidth="1"/>
    <col min="17" max="17" width="10.44140625" style="3" bestFit="1" customWidth="1"/>
    <col min="18" max="18" width="12.44140625" style="3" bestFit="1" customWidth="1"/>
    <col min="19" max="19" width="21.88671875" style="3" bestFit="1" customWidth="1"/>
    <col min="20" max="20" width="23.21875" style="3" bestFit="1" customWidth="1"/>
    <col min="21" max="21" width="21" style="3" bestFit="1" customWidth="1"/>
    <col min="22" max="22" width="14.88671875" style="3" bestFit="1" customWidth="1"/>
    <col min="23" max="23" width="16.21875" style="3" bestFit="1" customWidth="1"/>
    <col min="24" max="24" width="14.109375" style="3" bestFit="1" customWidth="1"/>
    <col min="25" max="25" width="19.5546875" style="3" bestFit="1" customWidth="1"/>
    <col min="26" max="26" width="20.88671875" style="3" bestFit="1" customWidth="1"/>
    <col min="27" max="27" width="18.77734375" style="3" bestFit="1" customWidth="1"/>
    <col min="28" max="28" width="21.6640625" style="3" bestFit="1" customWidth="1"/>
    <col min="29" max="29" width="23" style="3" bestFit="1" customWidth="1"/>
    <col min="30" max="30" width="20.77734375" style="3" bestFit="1" customWidth="1"/>
    <col min="31" max="31" width="22.6640625" style="3" bestFit="1" customWidth="1"/>
    <col min="32" max="32" width="24" style="3" bestFit="1" customWidth="1"/>
    <col min="33" max="33" width="21.88671875" style="3" bestFit="1" customWidth="1"/>
    <col min="34" max="34" width="8.88671875" style="3"/>
    <col min="35" max="35" width="9" style="3" bestFit="1" customWidth="1"/>
    <col min="36" max="36" width="13.5546875" style="3" bestFit="1" customWidth="1"/>
    <col min="37" max="37" width="14.5546875" style="3" bestFit="1" customWidth="1"/>
    <col min="38" max="38" width="8.33203125" style="3" bestFit="1" customWidth="1"/>
    <col min="39" max="39" width="8.88671875" style="3"/>
    <col min="40" max="40" width="9" style="3" bestFit="1" customWidth="1"/>
    <col min="41" max="41" width="11.33203125" style="3" bestFit="1" customWidth="1"/>
    <col min="42" max="42" width="12.33203125" style="3" bestFit="1" customWidth="1"/>
    <col min="43" max="43" width="8.33203125" style="3" bestFit="1" customWidth="1"/>
    <col min="44" max="44" width="8.88671875" style="3"/>
    <col min="45" max="45" width="9" style="3" bestFit="1" customWidth="1"/>
    <col min="46" max="47" width="10.5546875" style="3" bestFit="1" customWidth="1"/>
    <col min="48" max="48" width="8.33203125" style="3" bestFit="1" customWidth="1"/>
    <col min="49" max="16384" width="8.88671875" style="3"/>
  </cols>
  <sheetData>
    <row r="1" spans="1:48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565</v>
      </c>
      <c r="AC1" s="1" t="s">
        <v>566</v>
      </c>
      <c r="AD1" s="1" t="s">
        <v>567</v>
      </c>
      <c r="AE1" s="1" t="s">
        <v>568</v>
      </c>
      <c r="AF1" s="1" t="s">
        <v>569</v>
      </c>
      <c r="AG1" s="1" t="s">
        <v>570</v>
      </c>
      <c r="AI1" s="34" t="s">
        <v>69</v>
      </c>
      <c r="AJ1" s="34" t="s">
        <v>571</v>
      </c>
      <c r="AK1" s="34" t="s">
        <v>572</v>
      </c>
      <c r="AL1" s="34" t="s">
        <v>573</v>
      </c>
      <c r="AN1" s="34" t="s">
        <v>69</v>
      </c>
      <c r="AO1" s="34" t="s">
        <v>574</v>
      </c>
      <c r="AP1" s="34" t="s">
        <v>575</v>
      </c>
      <c r="AQ1" s="34" t="s">
        <v>573</v>
      </c>
      <c r="AS1" s="34" t="s">
        <v>69</v>
      </c>
      <c r="AT1" s="34" t="s">
        <v>576</v>
      </c>
      <c r="AU1" s="34" t="s">
        <v>577</v>
      </c>
      <c r="AV1" s="34" t="s">
        <v>573</v>
      </c>
    </row>
    <row r="2" spans="1:48" ht="11.25" customHeight="1" x14ac:dyDescent="0.3">
      <c r="A2" s="3" t="s">
        <v>21</v>
      </c>
      <c r="B2" s="3" t="s">
        <v>34</v>
      </c>
      <c r="C2" s="3" t="s">
        <v>35</v>
      </c>
      <c r="D2" s="3" t="s">
        <v>33</v>
      </c>
      <c r="E2" s="3" t="s">
        <v>25</v>
      </c>
      <c r="F2" s="3" t="s">
        <v>25</v>
      </c>
      <c r="G2" s="3" t="s">
        <v>25</v>
      </c>
      <c r="H2" s="3" t="s">
        <v>37</v>
      </c>
      <c r="I2" s="6">
        <v>44440</v>
      </c>
      <c r="J2" s="4">
        <v>38</v>
      </c>
      <c r="K2" s="4">
        <v>38</v>
      </c>
      <c r="L2" s="4">
        <v>12.73</v>
      </c>
      <c r="M2" s="4">
        <v>12.73</v>
      </c>
      <c r="N2" s="4">
        <v>12.73</v>
      </c>
      <c r="O2" s="4">
        <v>12.73</v>
      </c>
      <c r="P2" s="4">
        <v>0</v>
      </c>
      <c r="Q2" s="3" t="s">
        <v>26</v>
      </c>
      <c r="R2" s="3">
        <v>0</v>
      </c>
      <c r="S2" s="4">
        <v>9</v>
      </c>
      <c r="T2" s="4">
        <v>15</v>
      </c>
      <c r="U2" s="4">
        <v>62</v>
      </c>
      <c r="V2" s="4">
        <f>IF(ISERROR(VLOOKUP($S$2,'TAR FIN'!$A$1:$O$85,15,0)),0,VLOOKUP($S$2,'TAR FIN'!$A$1:$O$85,15,0))</f>
        <v>20.34</v>
      </c>
      <c r="W2" s="4">
        <f>IF(ISERROR(VLOOKUP($T$2,'TAR FIN'!$A$1:$O$85,15,0)),0,VLOOKUP($T$2,'TAR FIN'!$A$1:$O$85,15,0))</f>
        <v>80.73</v>
      </c>
      <c r="X2" s="4">
        <f>IF(ISERROR(VLOOKUP($U$2,'TAR FIN'!$A$1:$O$85,15,0)),0,VLOOKUP($U$2,'TAR FIN'!$A$1:$O$85,15,0))</f>
        <v>291.85000000000002</v>
      </c>
      <c r="Y2" s="4">
        <f ca="1">('TUSD BE'!$AM$6+'TUSD BF'!$AM$6+'TUSD CVA'!$AM$6)*1</f>
        <v>23.236586763614469</v>
      </c>
      <c r="Z2" s="4">
        <f ca="1">('TUSD BE'!$AM$7+'TUSD BF'!$AM$7+'TUSD CVA'!$AM$7)*1</f>
        <v>111.74556842703541</v>
      </c>
      <c r="AA2" s="4">
        <f>('TE BE'!$AB$6+'TE BF'!$AB$6+'TE CVA'!$AB$6)*1</f>
        <v>213.77329191067864</v>
      </c>
      <c r="AB2" s="4">
        <f>$K$2*$V$2</f>
        <v>772.92</v>
      </c>
      <c r="AC2" s="4">
        <f>$M$2*$W$2</f>
        <v>1027.6929</v>
      </c>
      <c r="AD2" s="4">
        <f>$O$2*$X$2</f>
        <v>3715.2505000000006</v>
      </c>
      <c r="AE2" s="4">
        <f ca="1">$K$2*$Y$2</f>
        <v>882.9902970173498</v>
      </c>
      <c r="AF2" s="4">
        <f ca="1">$M$2*$Z$2</f>
        <v>1422.5210860761608</v>
      </c>
      <c r="AG2" s="4">
        <f>$O$2*$AA$2</f>
        <v>2721.3340060229393</v>
      </c>
      <c r="AI2" s="35" t="s">
        <v>34</v>
      </c>
      <c r="AJ2" s="36">
        <f>SUMIF($B$2:$B$483,AI2,$AB$2:$AB$483)+SUMIF($B$2:$B$483,AI2,$AC$2:$AC$483)</f>
        <v>2934839.6329297568</v>
      </c>
      <c r="AK2" s="36">
        <f ca="1">SUMIF($B$2:$B$483,AI2,$AE$2:$AE$483)+SUMIF($B$2:$B$483,AI2,$AF$2:$AF$483)</f>
        <v>3399208.2349354876</v>
      </c>
      <c r="AL2" s="37">
        <f t="shared" ref="AL2:AL9" ca="1" si="0">IF(AJ2&lt;&gt;0,AK2/AJ2-1,0)</f>
        <v>0.15822622701267197</v>
      </c>
      <c r="AN2" s="35" t="s">
        <v>34</v>
      </c>
      <c r="AO2" s="36">
        <f>SUMIF($B$2:$B$483,AN2,$AD$2:$AD$483)</f>
        <v>2260929.8581740004</v>
      </c>
      <c r="AP2" s="36">
        <f>SUMIF($B$2:$B$483,AN2,$AG$2:$AG$483)</f>
        <v>1656459.4463115055</v>
      </c>
      <c r="AQ2" s="37">
        <f t="shared" ref="AQ2:AQ9" si="1">IF(AO2&lt;&gt;0,AP2/AO2-1,0)</f>
        <v>-0.26735478311153116</v>
      </c>
      <c r="AS2" s="35" t="s">
        <v>34</v>
      </c>
      <c r="AT2" s="36">
        <f>SUMIF($B$2:$B$483,AS2,$AB$2:$AB$483)+SUMIF($B$2:$B$483,AS2,$AC$2:$AC$483)+SUMIF($B$2:$B$483,AS2,$AD$2:$AD$483)</f>
        <v>5195769.4911037572</v>
      </c>
      <c r="AU2" s="36">
        <f ca="1">SUMIF($B$2:$B$483,AS2,$AE$2:$AE$483)+SUMIF($B$2:$B$483,AS2,$AF$2:$AF$483)+SUMIF($B$2:$B$483,AS2,$AG$2:$AG$483)</f>
        <v>5055667.6812469931</v>
      </c>
      <c r="AV2" s="37">
        <f t="shared" ref="AV2:AV9" ca="1" si="2">IF(AT2&lt;&gt;0,AU2/AT2-1,0)</f>
        <v>-2.6964593039904394E-2</v>
      </c>
    </row>
    <row r="3" spans="1:48" ht="11.25" customHeight="1" x14ac:dyDescent="0.3">
      <c r="A3" s="3" t="s">
        <v>21</v>
      </c>
      <c r="B3" s="3" t="s">
        <v>34</v>
      </c>
      <c r="C3" s="3" t="s">
        <v>35</v>
      </c>
      <c r="D3" s="3" t="s">
        <v>33</v>
      </c>
      <c r="E3" s="3" t="s">
        <v>25</v>
      </c>
      <c r="F3" s="3" t="s">
        <v>25</v>
      </c>
      <c r="G3" s="3" t="s">
        <v>25</v>
      </c>
      <c r="H3" s="3" t="s">
        <v>37</v>
      </c>
      <c r="I3" s="6">
        <v>44470</v>
      </c>
      <c r="J3" s="4">
        <v>38</v>
      </c>
      <c r="K3" s="4">
        <v>38</v>
      </c>
      <c r="L3" s="4">
        <v>12.662000000000001</v>
      </c>
      <c r="M3" s="4">
        <v>12.662000000000001</v>
      </c>
      <c r="N3" s="4">
        <v>12.662000000000001</v>
      </c>
      <c r="O3" s="4">
        <v>12.662000000000001</v>
      </c>
      <c r="P3" s="4">
        <v>0</v>
      </c>
      <c r="Q3" s="3" t="s">
        <v>26</v>
      </c>
      <c r="R3" s="3">
        <v>0</v>
      </c>
      <c r="S3" s="4">
        <v>9</v>
      </c>
      <c r="T3" s="4">
        <v>15</v>
      </c>
      <c r="U3" s="4">
        <v>62</v>
      </c>
      <c r="V3" s="4">
        <f>IF(ISERROR(VLOOKUP($S$3,'TAR FIN'!$A$1:$O$85,15,0)),0,VLOOKUP($S$3,'TAR FIN'!$A$1:$O$85,15,0))</f>
        <v>20.34</v>
      </c>
      <c r="W3" s="4">
        <f>IF(ISERROR(VLOOKUP($T$3,'TAR FIN'!$A$1:$O$85,15,0)),0,VLOOKUP($T$3,'TAR FIN'!$A$1:$O$85,15,0))</f>
        <v>80.73</v>
      </c>
      <c r="X3" s="4">
        <f>IF(ISERROR(VLOOKUP($U$3,'TAR FIN'!$A$1:$O$85,15,0)),0,VLOOKUP($U$3,'TAR FIN'!$A$1:$O$85,15,0))</f>
        <v>291.85000000000002</v>
      </c>
      <c r="Y3" s="4">
        <f ca="1">('TUSD BE'!$AM$6+'TUSD BF'!$AM$6+'TUSD CVA'!$AM$6)*1</f>
        <v>23.236586763614469</v>
      </c>
      <c r="Z3" s="4">
        <f ca="1">('TUSD BE'!$AM$7+'TUSD BF'!$AM$7+'TUSD CVA'!$AM$7)*1</f>
        <v>111.74556842703541</v>
      </c>
      <c r="AA3" s="4">
        <f>('TE BE'!$AB$6+'TE BF'!$AB$6+'TE CVA'!$AB$6)*1</f>
        <v>213.77329191067864</v>
      </c>
      <c r="AB3" s="4">
        <f>$K$3*$V$3</f>
        <v>772.92</v>
      </c>
      <c r="AC3" s="4">
        <f>$M$3*$W$3</f>
        <v>1022.2032600000001</v>
      </c>
      <c r="AD3" s="4">
        <f>$O$3*$X$3</f>
        <v>3695.4047000000005</v>
      </c>
      <c r="AE3" s="4">
        <f ca="1">$K$3*$Y$3</f>
        <v>882.9902970173498</v>
      </c>
      <c r="AF3" s="4">
        <f ca="1">$M$3*$Z$3</f>
        <v>1414.9223874231225</v>
      </c>
      <c r="AG3" s="4">
        <f>$O$3*$AA$3</f>
        <v>2706.7974221730133</v>
      </c>
      <c r="AI3" s="35" t="s">
        <v>22</v>
      </c>
      <c r="AJ3" s="36">
        <f>SUMIF($B$2:$B$483,AI3,$AB$2:$AB$483)+SUMIF($B$2:$B$483,AI3,$AC$2:$AC$483)</f>
        <v>4188706.020580003</v>
      </c>
      <c r="AK3" s="36">
        <f ca="1">SUMIF($B$2:$B$483,AI3,$AE$2:$AE$483)+SUMIF($B$2:$B$483,AI3,$AF$2:$AF$483)</f>
        <v>4838367.8068216909</v>
      </c>
      <c r="AL3" s="37">
        <f t="shared" ca="1" si="0"/>
        <v>0.15509844401821504</v>
      </c>
      <c r="AN3" s="35" t="s">
        <v>22</v>
      </c>
      <c r="AO3" s="36">
        <f>SUMIF($B$2:$B$483,AN3,$AD$2:$AD$483)</f>
        <v>3318840.3141699992</v>
      </c>
      <c r="AP3" s="36">
        <f>SUMIF($B$2:$B$483,AN3,$AG$2:$AG$483)</f>
        <v>2430971.9323574663</v>
      </c>
      <c r="AQ3" s="37">
        <f t="shared" si="1"/>
        <v>-0.26752368230002588</v>
      </c>
      <c r="AS3" s="35" t="s">
        <v>22</v>
      </c>
      <c r="AT3" s="36">
        <f>SUMIF($B$2:$B$483,AS3,$AB$2:$AB$483)+SUMIF($B$2:$B$483,AS3,$AC$2:$AC$483)+SUMIF($B$2:$B$483,AS3,$AD$2:$AD$483)</f>
        <v>7507546.3347500023</v>
      </c>
      <c r="AU3" s="36">
        <f ca="1">SUMIF($B$2:$B$483,AS3,$AE$2:$AE$483)+SUMIF($B$2:$B$483,AS3,$AF$2:$AF$483)+SUMIF($B$2:$B$483,AS3,$AG$2:$AG$483)</f>
        <v>7269339.7391791567</v>
      </c>
      <c r="AV3" s="37">
        <f t="shared" ca="1" si="2"/>
        <v>-3.1728954434588563E-2</v>
      </c>
    </row>
    <row r="4" spans="1:48" ht="11.25" customHeight="1" x14ac:dyDescent="0.3">
      <c r="A4" s="3" t="s">
        <v>21</v>
      </c>
      <c r="B4" s="3" t="s">
        <v>34</v>
      </c>
      <c r="C4" s="3" t="s">
        <v>35</v>
      </c>
      <c r="D4" s="3" t="s">
        <v>33</v>
      </c>
      <c r="E4" s="3" t="s">
        <v>25</v>
      </c>
      <c r="F4" s="3" t="s">
        <v>25</v>
      </c>
      <c r="G4" s="3" t="s">
        <v>25</v>
      </c>
      <c r="H4" s="3" t="s">
        <v>37</v>
      </c>
      <c r="I4" s="6">
        <v>44501</v>
      </c>
      <c r="J4" s="4">
        <v>38</v>
      </c>
      <c r="K4" s="4">
        <v>38</v>
      </c>
      <c r="L4" s="4">
        <v>12.772</v>
      </c>
      <c r="M4" s="4">
        <v>12.772</v>
      </c>
      <c r="N4" s="4">
        <v>12.772</v>
      </c>
      <c r="O4" s="4">
        <v>12.772</v>
      </c>
      <c r="P4" s="4">
        <v>0</v>
      </c>
      <c r="Q4" s="3" t="s">
        <v>26</v>
      </c>
      <c r="R4" s="3">
        <v>0</v>
      </c>
      <c r="S4" s="4">
        <v>9</v>
      </c>
      <c r="T4" s="4">
        <v>15</v>
      </c>
      <c r="U4" s="4">
        <v>62</v>
      </c>
      <c r="V4" s="4">
        <f>IF(ISERROR(VLOOKUP($S$4,'TAR FIN'!$A$1:$O$85,15,0)),0,VLOOKUP($S$4,'TAR FIN'!$A$1:$O$85,15,0))</f>
        <v>20.34</v>
      </c>
      <c r="W4" s="4">
        <f>IF(ISERROR(VLOOKUP($T$4,'TAR FIN'!$A$1:$O$85,15,0)),0,VLOOKUP($T$4,'TAR FIN'!$A$1:$O$85,15,0))</f>
        <v>80.73</v>
      </c>
      <c r="X4" s="4">
        <f>IF(ISERROR(VLOOKUP($U$4,'TAR FIN'!$A$1:$O$85,15,0)),0,VLOOKUP($U$4,'TAR FIN'!$A$1:$O$85,15,0))</f>
        <v>291.85000000000002</v>
      </c>
      <c r="Y4" s="4">
        <f ca="1">('TUSD BE'!$AM$6+'TUSD BF'!$AM$6+'TUSD CVA'!$AM$6)*1</f>
        <v>23.236586763614469</v>
      </c>
      <c r="Z4" s="4">
        <f ca="1">('TUSD BE'!$AM$7+'TUSD BF'!$AM$7+'TUSD CVA'!$AM$7)*1</f>
        <v>111.74556842703541</v>
      </c>
      <c r="AA4" s="4">
        <f>('TE BE'!$AB$6+'TE BF'!$AB$6+'TE CVA'!$AB$6)*1</f>
        <v>213.77329191067864</v>
      </c>
      <c r="AB4" s="4">
        <f>$K$4*$V$4</f>
        <v>772.92</v>
      </c>
      <c r="AC4" s="4">
        <f>$M$4*$W$4</f>
        <v>1031.08356</v>
      </c>
      <c r="AD4" s="4">
        <f>$O$4*$X$4</f>
        <v>3727.5082000000002</v>
      </c>
      <c r="AE4" s="4">
        <f ca="1">$K$4*$Y$4</f>
        <v>882.9902970173498</v>
      </c>
      <c r="AF4" s="4">
        <f ca="1">$M$4*$Z$4</f>
        <v>1427.2143999500963</v>
      </c>
      <c r="AG4" s="4">
        <f>$O$4*$AA$4</f>
        <v>2730.3124842831876</v>
      </c>
      <c r="AI4" s="35" t="s">
        <v>40</v>
      </c>
      <c r="AJ4" s="36">
        <f>SUMIF($B$2:$B$483,AI4,$AB$2:$AB$483)+SUMIF($B$2:$B$483,AI4,$AC$2:$AC$483)</f>
        <v>4586720.7502379986</v>
      </c>
      <c r="AK4" s="36">
        <f ca="1">SUMIF($B$2:$B$483,AI4,$AE$2:$AE$483)+SUMIF($B$2:$B$483,AI4,$AF$2:$AF$483)</f>
        <v>5673227.6437572716</v>
      </c>
      <c r="AL4" s="37">
        <f t="shared" ca="1" si="0"/>
        <v>0.23688097721294588</v>
      </c>
      <c r="AN4" s="35" t="s">
        <v>40</v>
      </c>
      <c r="AO4" s="36">
        <f>SUMIF($B$2:$B$483,AN4,$AD$2:$AD$483)</f>
        <v>3611415.0963659999</v>
      </c>
      <c r="AP4" s="36">
        <f>SUMIF($B$2:$B$483,AN4,$AG$2:$AG$483)</f>
        <v>2825614.7957392661</v>
      </c>
      <c r="AQ4" s="37">
        <f t="shared" si="1"/>
        <v>-0.21758792042970865</v>
      </c>
      <c r="AS4" s="35" t="s">
        <v>40</v>
      </c>
      <c r="AT4" s="36">
        <f>SUMIF($B$2:$B$483,AS4,$AB$2:$AB$483)+SUMIF($B$2:$B$483,AS4,$AC$2:$AC$483)+SUMIF($B$2:$B$483,AS4,$AD$2:$AD$483)</f>
        <v>8198135.8466039989</v>
      </c>
      <c r="AU4" s="36">
        <f ca="1">SUMIF($B$2:$B$483,AS4,$AE$2:$AE$483)+SUMIF($B$2:$B$483,AS4,$AF$2:$AF$483)+SUMIF($B$2:$B$483,AS4,$AG$2:$AG$483)</f>
        <v>8498842.4394965377</v>
      </c>
      <c r="AV4" s="37">
        <f t="shared" ca="1" si="2"/>
        <v>3.6679874366451592E-2</v>
      </c>
    </row>
    <row r="5" spans="1:48" ht="11.25" customHeight="1" x14ac:dyDescent="0.3">
      <c r="A5" s="3" t="s">
        <v>21</v>
      </c>
      <c r="B5" s="3" t="s">
        <v>34</v>
      </c>
      <c r="C5" s="3" t="s">
        <v>35</v>
      </c>
      <c r="D5" s="3" t="s">
        <v>33</v>
      </c>
      <c r="E5" s="3" t="s">
        <v>25</v>
      </c>
      <c r="F5" s="3" t="s">
        <v>25</v>
      </c>
      <c r="G5" s="3" t="s">
        <v>25</v>
      </c>
      <c r="H5" s="3" t="s">
        <v>37</v>
      </c>
      <c r="I5" s="6">
        <v>44531</v>
      </c>
      <c r="J5" s="4">
        <v>38</v>
      </c>
      <c r="K5" s="4">
        <v>38</v>
      </c>
      <c r="L5" s="4">
        <v>14.241</v>
      </c>
      <c r="M5" s="4">
        <v>14.241</v>
      </c>
      <c r="N5" s="4">
        <v>14.241</v>
      </c>
      <c r="O5" s="4">
        <v>14.241</v>
      </c>
      <c r="P5" s="4">
        <v>0</v>
      </c>
      <c r="Q5" s="3" t="s">
        <v>26</v>
      </c>
      <c r="R5" s="3">
        <v>0</v>
      </c>
      <c r="S5" s="4">
        <v>9</v>
      </c>
      <c r="T5" s="4">
        <v>15</v>
      </c>
      <c r="U5" s="4">
        <v>62</v>
      </c>
      <c r="V5" s="4">
        <f>IF(ISERROR(VLOOKUP($S$5,'TAR FIN'!$A$1:$O$85,15,0)),0,VLOOKUP($S$5,'TAR FIN'!$A$1:$O$85,15,0))</f>
        <v>20.34</v>
      </c>
      <c r="W5" s="4">
        <f>IF(ISERROR(VLOOKUP($T$5,'TAR FIN'!$A$1:$O$85,15,0)),0,VLOOKUP($T$5,'TAR FIN'!$A$1:$O$85,15,0))</f>
        <v>80.73</v>
      </c>
      <c r="X5" s="4">
        <f>IF(ISERROR(VLOOKUP($U$5,'TAR FIN'!$A$1:$O$85,15,0)),0,VLOOKUP($U$5,'TAR FIN'!$A$1:$O$85,15,0))</f>
        <v>291.85000000000002</v>
      </c>
      <c r="Y5" s="4">
        <f ca="1">('TUSD BE'!$AM$6+'TUSD BF'!$AM$6+'TUSD CVA'!$AM$6)*1</f>
        <v>23.236586763614469</v>
      </c>
      <c r="Z5" s="4">
        <f ca="1">('TUSD BE'!$AM$7+'TUSD BF'!$AM$7+'TUSD CVA'!$AM$7)*1</f>
        <v>111.74556842703541</v>
      </c>
      <c r="AA5" s="4">
        <f>('TE BE'!$AB$6+'TE BF'!$AB$6+'TE CVA'!$AB$6)*1</f>
        <v>213.77329191067864</v>
      </c>
      <c r="AB5" s="4">
        <f>$K$5*$V$5</f>
        <v>772.92</v>
      </c>
      <c r="AC5" s="4">
        <f>$M$5*$W$5</f>
        <v>1149.6759300000001</v>
      </c>
      <c r="AD5" s="4">
        <f>$O$5*$X$5</f>
        <v>4156.23585</v>
      </c>
      <c r="AE5" s="4">
        <f ca="1">$K$5*$Y$5</f>
        <v>882.9902970173498</v>
      </c>
      <c r="AF5" s="4">
        <f ca="1">$M$5*$Z$5</f>
        <v>1591.3686399694111</v>
      </c>
      <c r="AG5" s="4">
        <f>$O$5*$AA$5</f>
        <v>3044.3454500999742</v>
      </c>
      <c r="AI5" s="35" t="s">
        <v>32</v>
      </c>
      <c r="AJ5" s="36">
        <f>SUMIF($B$2:$B$483,AI5,$AB$2:$AB$483)+SUMIF($B$2:$B$483,AI5,$AC$2:$AC$483)</f>
        <v>2868888.0062868008</v>
      </c>
      <c r="AK5" s="36">
        <f ca="1">SUMIF($B$2:$B$483,AI5,$AE$2:$AE$483)+SUMIF($B$2:$B$483,AI5,$AF$2:$AF$483)</f>
        <v>3324266.6288018934</v>
      </c>
      <c r="AL5" s="37">
        <f t="shared" ca="1" si="0"/>
        <v>0.15873001020506505</v>
      </c>
      <c r="AN5" s="35" t="s">
        <v>32</v>
      </c>
      <c r="AO5" s="36">
        <f>SUMIF($B$2:$B$483,AN5,$AD$2:$AD$483)</f>
        <v>2258902.9424130018</v>
      </c>
      <c r="AP5" s="36">
        <f>SUMIF($B$2:$B$483,AN5,$AG$2:$AG$483)</f>
        <v>1655688.3596343857</v>
      </c>
      <c r="AQ5" s="37">
        <f t="shared" si="1"/>
        <v>-0.2670387343575954</v>
      </c>
      <c r="AS5" s="35" t="s">
        <v>32</v>
      </c>
      <c r="AT5" s="36">
        <f>SUMIF($B$2:$B$483,AS5,$AB$2:$AB$483)+SUMIF($B$2:$B$483,AS5,$AC$2:$AC$483)+SUMIF($B$2:$B$483,AS5,$AD$2:$AD$483)</f>
        <v>5127790.9486998022</v>
      </c>
      <c r="AU5" s="36">
        <f ca="1">SUMIF($B$2:$B$483,AS5,$AE$2:$AE$483)+SUMIF($B$2:$B$483,AS5,$AF$2:$AF$483)+SUMIF($B$2:$B$483,AS5,$AG$2:$AG$483)</f>
        <v>4979954.9884362789</v>
      </c>
      <c r="AV5" s="37">
        <f t="shared" ca="1" si="2"/>
        <v>-2.8830340733958404E-2</v>
      </c>
    </row>
    <row r="6" spans="1:48" ht="11.25" customHeight="1" x14ac:dyDescent="0.3">
      <c r="A6" s="3" t="s">
        <v>21</v>
      </c>
      <c r="B6" s="3" t="s">
        <v>34</v>
      </c>
      <c r="C6" s="3" t="s">
        <v>35</v>
      </c>
      <c r="D6" s="3" t="s">
        <v>33</v>
      </c>
      <c r="E6" s="3" t="s">
        <v>25</v>
      </c>
      <c r="F6" s="3" t="s">
        <v>25</v>
      </c>
      <c r="G6" s="3" t="s">
        <v>25</v>
      </c>
      <c r="H6" s="3" t="s">
        <v>37</v>
      </c>
      <c r="I6" s="6">
        <v>44562</v>
      </c>
      <c r="J6" s="4">
        <v>39</v>
      </c>
      <c r="K6" s="4">
        <v>39</v>
      </c>
      <c r="L6" s="4">
        <v>14.169</v>
      </c>
      <c r="M6" s="4">
        <v>14.169</v>
      </c>
      <c r="N6" s="4">
        <v>14.169</v>
      </c>
      <c r="O6" s="4">
        <v>14.169</v>
      </c>
      <c r="P6" s="4">
        <v>0</v>
      </c>
      <c r="Q6" s="3" t="s">
        <v>26</v>
      </c>
      <c r="R6" s="3">
        <v>0</v>
      </c>
      <c r="S6" s="4">
        <v>9</v>
      </c>
      <c r="T6" s="4">
        <v>15</v>
      </c>
      <c r="U6" s="4">
        <v>62</v>
      </c>
      <c r="V6" s="4">
        <f>IF(ISERROR(VLOOKUP($S$6,'TAR FIN'!$A$1:$O$85,15,0)),0,VLOOKUP($S$6,'TAR FIN'!$A$1:$O$85,15,0))</f>
        <v>20.34</v>
      </c>
      <c r="W6" s="4">
        <f>IF(ISERROR(VLOOKUP($T$6,'TAR FIN'!$A$1:$O$85,15,0)),0,VLOOKUP($T$6,'TAR FIN'!$A$1:$O$85,15,0))</f>
        <v>80.73</v>
      </c>
      <c r="X6" s="4">
        <f>IF(ISERROR(VLOOKUP($U$6,'TAR FIN'!$A$1:$O$85,15,0)),0,VLOOKUP($U$6,'TAR FIN'!$A$1:$O$85,15,0))</f>
        <v>291.85000000000002</v>
      </c>
      <c r="Y6" s="4">
        <f ca="1">('TUSD BE'!$AM$6+'TUSD BF'!$AM$6+'TUSD CVA'!$AM$6)*1</f>
        <v>23.236586763614469</v>
      </c>
      <c r="Z6" s="4">
        <f ca="1">('TUSD BE'!$AM$7+'TUSD BF'!$AM$7+'TUSD CVA'!$AM$7)*1</f>
        <v>111.74556842703541</v>
      </c>
      <c r="AA6" s="4">
        <f>('TE BE'!$AB$6+'TE BF'!$AB$6+'TE CVA'!$AB$6)*1</f>
        <v>213.77329191067864</v>
      </c>
      <c r="AB6" s="4">
        <f>$K$6*$V$6</f>
        <v>793.26</v>
      </c>
      <c r="AC6" s="4">
        <f>$M$6*$W$6</f>
        <v>1143.86337</v>
      </c>
      <c r="AD6" s="4">
        <f>$O$6*$X$6</f>
        <v>4135.2226500000006</v>
      </c>
      <c r="AE6" s="4">
        <f ca="1">$K$6*$Y$6</f>
        <v>906.22688378096427</v>
      </c>
      <c r="AF6" s="4">
        <f ca="1">$M$6*$Z$6</f>
        <v>1583.3229590426647</v>
      </c>
      <c r="AG6" s="4">
        <f>$O$6*$AA$6</f>
        <v>3028.9537730824059</v>
      </c>
      <c r="AI6" s="35" t="s">
        <v>43</v>
      </c>
      <c r="AJ6" s="36">
        <f>SUMIF($B$2:$B$483,AI6,$AB$2:$AB$483)+SUMIF($B$2:$B$483,AI6,$AC$2:$AC$483)</f>
        <v>395144.08479999995</v>
      </c>
      <c r="AK6" s="36">
        <f ca="1">SUMIF($B$2:$B$483,AI6,$AE$2:$AE$483)+SUMIF($B$2:$B$483,AI6,$AF$2:$AF$483)</f>
        <v>457554.31142267463</v>
      </c>
      <c r="AL6" s="37">
        <f t="shared" ca="1" si="0"/>
        <v>0.15794296061464075</v>
      </c>
      <c r="AN6" s="35" t="s">
        <v>43</v>
      </c>
      <c r="AO6" s="36">
        <f>SUMIF($B$2:$B$483,AN6,$AD$2:$AD$483)</f>
        <v>311122.66496999998</v>
      </c>
      <c r="AP6" s="36">
        <f>SUMIF($B$2:$B$483,AN6,$AG$2:$AG$483)</f>
        <v>227890.0677699506</v>
      </c>
      <c r="AQ6" s="37">
        <f t="shared" si="1"/>
        <v>-0.26752341301806182</v>
      </c>
      <c r="AS6" s="35" t="s">
        <v>43</v>
      </c>
      <c r="AT6" s="36">
        <f>SUMIF($B$2:$B$483,AS6,$AB$2:$AB$483)+SUMIF($B$2:$B$483,AS6,$AC$2:$AC$483)+SUMIF($B$2:$B$483,AS6,$AD$2:$AD$483)</f>
        <v>706266.74976999988</v>
      </c>
      <c r="AU6" s="36">
        <f ca="1">SUMIF($B$2:$B$483,AS6,$AE$2:$AE$483)+SUMIF($B$2:$B$483,AS6,$AF$2:$AF$483)+SUMIF($B$2:$B$483,AS6,$AG$2:$AG$483)</f>
        <v>685444.37919262517</v>
      </c>
      <c r="AV6" s="37">
        <f t="shared" ca="1" si="2"/>
        <v>-2.948230337072455E-2</v>
      </c>
    </row>
    <row r="7" spans="1:48" ht="11.25" customHeight="1" x14ac:dyDescent="0.3">
      <c r="A7" s="3" t="s">
        <v>21</v>
      </c>
      <c r="B7" s="3" t="s">
        <v>34</v>
      </c>
      <c r="C7" s="3" t="s">
        <v>35</v>
      </c>
      <c r="D7" s="3" t="s">
        <v>33</v>
      </c>
      <c r="E7" s="3" t="s">
        <v>25</v>
      </c>
      <c r="F7" s="3" t="s">
        <v>25</v>
      </c>
      <c r="G7" s="3" t="s">
        <v>25</v>
      </c>
      <c r="H7" s="3" t="s">
        <v>37</v>
      </c>
      <c r="I7" s="6">
        <v>44593</v>
      </c>
      <c r="J7" s="4">
        <v>38</v>
      </c>
      <c r="K7" s="4">
        <v>38</v>
      </c>
      <c r="L7" s="4">
        <v>13.044</v>
      </c>
      <c r="M7" s="4">
        <v>13.044</v>
      </c>
      <c r="N7" s="4">
        <v>13.044</v>
      </c>
      <c r="O7" s="4">
        <v>13.044</v>
      </c>
      <c r="P7" s="4">
        <v>0</v>
      </c>
      <c r="Q7" s="3" t="s">
        <v>26</v>
      </c>
      <c r="R7" s="3">
        <v>0</v>
      </c>
      <c r="S7" s="4">
        <v>9</v>
      </c>
      <c r="T7" s="4">
        <v>15</v>
      </c>
      <c r="U7" s="4">
        <v>62</v>
      </c>
      <c r="V7" s="4">
        <f>IF(ISERROR(VLOOKUP($S$7,'TAR FIN'!$A$1:$O$85,15,0)),0,VLOOKUP($S$7,'TAR FIN'!$A$1:$O$85,15,0))</f>
        <v>20.34</v>
      </c>
      <c r="W7" s="4">
        <f>IF(ISERROR(VLOOKUP($T$7,'TAR FIN'!$A$1:$O$85,15,0)),0,VLOOKUP($T$7,'TAR FIN'!$A$1:$O$85,15,0))</f>
        <v>80.73</v>
      </c>
      <c r="X7" s="4">
        <f>IF(ISERROR(VLOOKUP($U$7,'TAR FIN'!$A$1:$O$85,15,0)),0,VLOOKUP($U$7,'TAR FIN'!$A$1:$O$85,15,0))</f>
        <v>291.85000000000002</v>
      </c>
      <c r="Y7" s="4">
        <f ca="1">('TUSD BE'!$AM$6+'TUSD BF'!$AM$6+'TUSD CVA'!$AM$6)*1</f>
        <v>23.236586763614469</v>
      </c>
      <c r="Z7" s="4">
        <f ca="1">('TUSD BE'!$AM$7+'TUSD BF'!$AM$7+'TUSD CVA'!$AM$7)*1</f>
        <v>111.74556842703541</v>
      </c>
      <c r="AA7" s="4">
        <f>('TE BE'!$AB$6+'TE BF'!$AB$6+'TE CVA'!$AB$6)*1</f>
        <v>213.77329191067864</v>
      </c>
      <c r="AB7" s="4">
        <f>$K$7*$V$7</f>
        <v>772.92</v>
      </c>
      <c r="AC7" s="4">
        <f>$M$7*$W$7</f>
        <v>1053.0421200000001</v>
      </c>
      <c r="AD7" s="4">
        <f>$O$7*$X$7</f>
        <v>3806.8914000000004</v>
      </c>
      <c r="AE7" s="4">
        <f ca="1">$K$7*$Y$7</f>
        <v>882.9902970173498</v>
      </c>
      <c r="AF7" s="4">
        <f ca="1">$M$7*$Z$7</f>
        <v>1457.60919456225</v>
      </c>
      <c r="AG7" s="4">
        <f>$O$7*$AA$7</f>
        <v>2788.4588196828922</v>
      </c>
      <c r="AI7" s="35" t="s">
        <v>578</v>
      </c>
      <c r="AJ7" s="36">
        <f>+$AJ$2</f>
        <v>2934839.6329297568</v>
      </c>
      <c r="AK7" s="36">
        <f ca="1">+$AK$2</f>
        <v>3399208.2349354876</v>
      </c>
      <c r="AL7" s="37">
        <f t="shared" ca="1" si="0"/>
        <v>0.15822622701267197</v>
      </c>
      <c r="AN7" s="35" t="s">
        <v>578</v>
      </c>
      <c r="AO7" s="36">
        <f>+$AO$2</f>
        <v>2260929.8581740004</v>
      </c>
      <c r="AP7" s="36">
        <f>+$AP$2</f>
        <v>1656459.4463115055</v>
      </c>
      <c r="AQ7" s="37">
        <f t="shared" si="1"/>
        <v>-0.26735478311153116</v>
      </c>
      <c r="AS7" s="35" t="s">
        <v>578</v>
      </c>
      <c r="AT7" s="36">
        <f>+$AT$2</f>
        <v>5195769.4911037572</v>
      </c>
      <c r="AU7" s="36">
        <f ca="1">+$AU$2</f>
        <v>5055667.6812469931</v>
      </c>
      <c r="AV7" s="37">
        <f t="shared" ca="1" si="2"/>
        <v>-2.6964593039904394E-2</v>
      </c>
    </row>
    <row r="8" spans="1:48" ht="11.25" customHeight="1" x14ac:dyDescent="0.3">
      <c r="A8" s="3" t="s">
        <v>21</v>
      </c>
      <c r="B8" s="3" t="s">
        <v>34</v>
      </c>
      <c r="C8" s="3" t="s">
        <v>35</v>
      </c>
      <c r="D8" s="3" t="s">
        <v>33</v>
      </c>
      <c r="E8" s="3" t="s">
        <v>25</v>
      </c>
      <c r="F8" s="3" t="s">
        <v>25</v>
      </c>
      <c r="G8" s="3" t="s">
        <v>25</v>
      </c>
      <c r="H8" s="3" t="s">
        <v>37</v>
      </c>
      <c r="I8" s="6">
        <v>44621</v>
      </c>
      <c r="J8" s="4">
        <v>38</v>
      </c>
      <c r="K8" s="4">
        <v>38</v>
      </c>
      <c r="L8" s="4">
        <v>13.077999999999999</v>
      </c>
      <c r="M8" s="4">
        <v>13.077999999999999</v>
      </c>
      <c r="N8" s="4">
        <v>13.077999999999999</v>
      </c>
      <c r="O8" s="4">
        <v>13.077999999999999</v>
      </c>
      <c r="P8" s="4">
        <v>0</v>
      </c>
      <c r="Q8" s="3" t="s">
        <v>26</v>
      </c>
      <c r="R8" s="3">
        <v>0</v>
      </c>
      <c r="S8" s="4">
        <v>9</v>
      </c>
      <c r="T8" s="4">
        <v>15</v>
      </c>
      <c r="U8" s="4">
        <v>62</v>
      </c>
      <c r="V8" s="4">
        <f>IF(ISERROR(VLOOKUP($S$8,'TAR FIN'!$A$1:$O$85,15,0)),0,VLOOKUP($S$8,'TAR FIN'!$A$1:$O$85,15,0))</f>
        <v>20.34</v>
      </c>
      <c r="W8" s="4">
        <f>IF(ISERROR(VLOOKUP($T$8,'TAR FIN'!$A$1:$O$85,15,0)),0,VLOOKUP($T$8,'TAR FIN'!$A$1:$O$85,15,0))</f>
        <v>80.73</v>
      </c>
      <c r="X8" s="4">
        <f>IF(ISERROR(VLOOKUP($U$8,'TAR FIN'!$A$1:$O$85,15,0)),0,VLOOKUP($U$8,'TAR FIN'!$A$1:$O$85,15,0))</f>
        <v>291.85000000000002</v>
      </c>
      <c r="Y8" s="4">
        <f ca="1">('TUSD BE'!$AM$6+'TUSD BF'!$AM$6+'TUSD CVA'!$AM$6)*1</f>
        <v>23.236586763614469</v>
      </c>
      <c r="Z8" s="4">
        <f ca="1">('TUSD BE'!$AM$7+'TUSD BF'!$AM$7+'TUSD CVA'!$AM$7)*1</f>
        <v>111.74556842703541</v>
      </c>
      <c r="AA8" s="4">
        <f>('TE BE'!$AB$6+'TE BF'!$AB$6+'TE CVA'!$AB$6)*1</f>
        <v>213.77329191067864</v>
      </c>
      <c r="AB8" s="4">
        <f>$K$8*$V$8</f>
        <v>772.92</v>
      </c>
      <c r="AC8" s="4">
        <f>$M$8*$W$8</f>
        <v>1055.78694</v>
      </c>
      <c r="AD8" s="4">
        <f>$O$8*$X$8</f>
        <v>3816.8143</v>
      </c>
      <c r="AE8" s="4">
        <f ca="1">$K$8*$Y$8</f>
        <v>882.9902970173498</v>
      </c>
      <c r="AF8" s="4">
        <f ca="1">$M$8*$Z$8</f>
        <v>1461.4085438887689</v>
      </c>
      <c r="AG8" s="4">
        <f>$O$8*$AA$8</f>
        <v>2795.727111607855</v>
      </c>
      <c r="AI8" s="35" t="s">
        <v>88</v>
      </c>
      <c r="AJ8" s="36">
        <f>+$AJ$3+$AJ$4+$AJ$5+$AJ$6</f>
        <v>12039458.861904802</v>
      </c>
      <c r="AK8" s="36">
        <f ca="1">+$AK$3+$AK$4+$AK$5+$AK$6</f>
        <v>14293416.390803529</v>
      </c>
      <c r="AL8" s="37">
        <f t="shared" ca="1" si="0"/>
        <v>0.18721418917179822</v>
      </c>
      <c r="AN8" s="35" t="s">
        <v>88</v>
      </c>
      <c r="AO8" s="36">
        <f>+$AO$3+$AO$4+$AO$5+$AO$6</f>
        <v>9500281.0179190002</v>
      </c>
      <c r="AP8" s="36">
        <f>+$AP$3+$AP$4+$AP$5+$AP$6</f>
        <v>7140165.1555010686</v>
      </c>
      <c r="AQ8" s="37">
        <f t="shared" si="1"/>
        <v>-0.24842590003036624</v>
      </c>
      <c r="AS8" s="35" t="s">
        <v>88</v>
      </c>
      <c r="AT8" s="36">
        <f>+$AT$3+$AT$4+$AT$5+$AT$6</f>
        <v>21539739.879823804</v>
      </c>
      <c r="AU8" s="36">
        <f ca="1">+$AU$3+$AU$4+$AU$5+$AU$6</f>
        <v>21433581.546304598</v>
      </c>
      <c r="AV8" s="37">
        <f t="shared" ca="1" si="2"/>
        <v>-4.9284872571113691E-3</v>
      </c>
    </row>
    <row r="9" spans="1:48" ht="11.25" customHeight="1" x14ac:dyDescent="0.3">
      <c r="A9" s="3" t="s">
        <v>21</v>
      </c>
      <c r="B9" s="3" t="s">
        <v>34</v>
      </c>
      <c r="C9" s="3" t="s">
        <v>35</v>
      </c>
      <c r="D9" s="3" t="s">
        <v>33</v>
      </c>
      <c r="E9" s="3" t="s">
        <v>25</v>
      </c>
      <c r="F9" s="3" t="s">
        <v>25</v>
      </c>
      <c r="G9" s="3" t="s">
        <v>25</v>
      </c>
      <c r="H9" s="3" t="s">
        <v>37</v>
      </c>
      <c r="I9" s="6">
        <v>44652</v>
      </c>
      <c r="J9" s="4">
        <v>38</v>
      </c>
      <c r="K9" s="4">
        <v>38</v>
      </c>
      <c r="L9" s="4">
        <v>12.239000000000001</v>
      </c>
      <c r="M9" s="4">
        <v>12.239000000000001</v>
      </c>
      <c r="N9" s="4">
        <v>12.239000000000001</v>
      </c>
      <c r="O9" s="4">
        <v>12.239000000000001</v>
      </c>
      <c r="P9" s="4">
        <v>0</v>
      </c>
      <c r="Q9" s="3" t="s">
        <v>26</v>
      </c>
      <c r="R9" s="3">
        <v>0</v>
      </c>
      <c r="S9" s="4">
        <v>9</v>
      </c>
      <c r="T9" s="4">
        <v>15</v>
      </c>
      <c r="U9" s="4">
        <v>62</v>
      </c>
      <c r="V9" s="4">
        <f>IF(ISERROR(VLOOKUP($S$9,'TAR FIN'!$A$1:$O$85,15,0)),0,VLOOKUP($S$9,'TAR FIN'!$A$1:$O$85,15,0))</f>
        <v>20.34</v>
      </c>
      <c r="W9" s="4">
        <f>IF(ISERROR(VLOOKUP($T$9,'TAR FIN'!$A$1:$O$85,15,0)),0,VLOOKUP($T$9,'TAR FIN'!$A$1:$O$85,15,0))</f>
        <v>80.73</v>
      </c>
      <c r="X9" s="4">
        <f>IF(ISERROR(VLOOKUP($U$9,'TAR FIN'!$A$1:$O$85,15,0)),0,VLOOKUP($U$9,'TAR FIN'!$A$1:$O$85,15,0))</f>
        <v>291.85000000000002</v>
      </c>
      <c r="Y9" s="4">
        <f ca="1">('TUSD BE'!$AM$6+'TUSD BF'!$AM$6+'TUSD CVA'!$AM$6)*1</f>
        <v>23.236586763614469</v>
      </c>
      <c r="Z9" s="4">
        <f ca="1">('TUSD BE'!$AM$7+'TUSD BF'!$AM$7+'TUSD CVA'!$AM$7)*1</f>
        <v>111.74556842703541</v>
      </c>
      <c r="AA9" s="4">
        <f>('TE BE'!$AB$6+'TE BF'!$AB$6+'TE CVA'!$AB$6)*1</f>
        <v>213.77329191067864</v>
      </c>
      <c r="AB9" s="4">
        <f>$K$9*$V$9</f>
        <v>772.92</v>
      </c>
      <c r="AC9" s="4">
        <f>$M$9*$W$9</f>
        <v>988.05447000000015</v>
      </c>
      <c r="AD9" s="4">
        <f>$O$9*$X$9</f>
        <v>3571.9521500000005</v>
      </c>
      <c r="AE9" s="4">
        <f ca="1">$K$9*$Y$9</f>
        <v>882.9902970173498</v>
      </c>
      <c r="AF9" s="4">
        <f ca="1">$M$9*$Z$9</f>
        <v>1367.6540119784866</v>
      </c>
      <c r="AG9" s="4">
        <f>$O$9*$AA$9</f>
        <v>2616.3713196947961</v>
      </c>
      <c r="AI9" s="35" t="s">
        <v>579</v>
      </c>
      <c r="AJ9" s="36">
        <f>AJ8+AJ7</f>
        <v>14974298.494834559</v>
      </c>
      <c r="AK9" s="36">
        <f ca="1">AK8+AK7</f>
        <v>17692624.625739016</v>
      </c>
      <c r="AL9" s="37">
        <f t="shared" ca="1" si="0"/>
        <v>0.18153278645020698</v>
      </c>
      <c r="AN9" s="35" t="s">
        <v>579</v>
      </c>
      <c r="AO9" s="36">
        <f>AO8+AO7</f>
        <v>11761210.876093</v>
      </c>
      <c r="AP9" s="36">
        <f>AP8+AP7</f>
        <v>8796624.601812575</v>
      </c>
      <c r="AQ9" s="37">
        <f t="shared" si="1"/>
        <v>-0.25206471557333743</v>
      </c>
      <c r="AS9" s="35" t="s">
        <v>579</v>
      </c>
      <c r="AT9" s="36">
        <f>AT8+AT7</f>
        <v>26735509.370927561</v>
      </c>
      <c r="AU9" s="36">
        <f ca="1">AU8+AU7</f>
        <v>26489249.227551591</v>
      </c>
      <c r="AV9" s="37">
        <f t="shared" ca="1" si="2"/>
        <v>-9.2109763071788198E-3</v>
      </c>
    </row>
    <row r="10" spans="1:48" ht="11.25" customHeight="1" x14ac:dyDescent="0.3">
      <c r="A10" s="3" t="s">
        <v>21</v>
      </c>
      <c r="B10" s="3" t="s">
        <v>34</v>
      </c>
      <c r="C10" s="3" t="s">
        <v>35</v>
      </c>
      <c r="D10" s="3" t="s">
        <v>33</v>
      </c>
      <c r="E10" s="3" t="s">
        <v>25</v>
      </c>
      <c r="F10" s="3" t="s">
        <v>25</v>
      </c>
      <c r="G10" s="3" t="s">
        <v>25</v>
      </c>
      <c r="H10" s="3" t="s">
        <v>37</v>
      </c>
      <c r="I10" s="6">
        <v>44682</v>
      </c>
      <c r="J10" s="4">
        <v>38</v>
      </c>
      <c r="K10" s="4">
        <v>38</v>
      </c>
      <c r="L10" s="4">
        <v>12.154999999999999</v>
      </c>
      <c r="M10" s="4">
        <v>12.154999999999999</v>
      </c>
      <c r="N10" s="4">
        <v>12.154999999999999</v>
      </c>
      <c r="O10" s="4">
        <v>12.154999999999999</v>
      </c>
      <c r="P10" s="4">
        <v>0</v>
      </c>
      <c r="Q10" s="3" t="s">
        <v>26</v>
      </c>
      <c r="R10" s="3">
        <v>0</v>
      </c>
      <c r="S10" s="4">
        <v>9</v>
      </c>
      <c r="T10" s="4">
        <v>15</v>
      </c>
      <c r="U10" s="4">
        <v>62</v>
      </c>
      <c r="V10" s="4">
        <f>IF(ISERROR(VLOOKUP($S$10,'TAR FIN'!$A$1:$O$85,15,0)),0,VLOOKUP($S$10,'TAR FIN'!$A$1:$O$85,15,0))</f>
        <v>20.34</v>
      </c>
      <c r="W10" s="4">
        <f>IF(ISERROR(VLOOKUP($T$10,'TAR FIN'!$A$1:$O$85,15,0)),0,VLOOKUP($T$10,'TAR FIN'!$A$1:$O$85,15,0))</f>
        <v>80.73</v>
      </c>
      <c r="X10" s="4">
        <f>IF(ISERROR(VLOOKUP($U$10,'TAR FIN'!$A$1:$O$85,15,0)),0,VLOOKUP($U$10,'TAR FIN'!$A$1:$O$85,15,0))</f>
        <v>291.85000000000002</v>
      </c>
      <c r="Y10" s="4">
        <f ca="1">('TUSD BE'!$AM$6+'TUSD BF'!$AM$6+'TUSD CVA'!$AM$6)*1</f>
        <v>23.236586763614469</v>
      </c>
      <c r="Z10" s="4">
        <f ca="1">('TUSD BE'!$AM$7+'TUSD BF'!$AM$7+'TUSD CVA'!$AM$7)*1</f>
        <v>111.74556842703541</v>
      </c>
      <c r="AA10" s="4">
        <f>('TE BE'!$AB$6+'TE BF'!$AB$6+'TE CVA'!$AB$6)*1</f>
        <v>213.77329191067864</v>
      </c>
      <c r="AB10" s="4">
        <f>$K$10*$V$10</f>
        <v>772.92</v>
      </c>
      <c r="AC10" s="4">
        <f>$M$10*$W$10</f>
        <v>981.27314999999999</v>
      </c>
      <c r="AD10" s="4">
        <f>$O$10*$X$10</f>
        <v>3547.4367500000003</v>
      </c>
      <c r="AE10" s="4">
        <f ca="1">$K$10*$Y$10</f>
        <v>882.9902970173498</v>
      </c>
      <c r="AF10" s="4">
        <f ca="1">$M$10*$Z$10</f>
        <v>1358.2673842306153</v>
      </c>
      <c r="AG10" s="4">
        <f>$O$10*$AA$10</f>
        <v>2598.4143631742986</v>
      </c>
    </row>
    <row r="11" spans="1:48" ht="11.25" customHeight="1" x14ac:dyDescent="0.3">
      <c r="A11" s="3" t="s">
        <v>21</v>
      </c>
      <c r="B11" s="3" t="s">
        <v>34</v>
      </c>
      <c r="C11" s="3" t="s">
        <v>35</v>
      </c>
      <c r="D11" s="3" t="s">
        <v>33</v>
      </c>
      <c r="E11" s="3" t="s">
        <v>25</v>
      </c>
      <c r="F11" s="3" t="s">
        <v>25</v>
      </c>
      <c r="G11" s="3" t="s">
        <v>25</v>
      </c>
      <c r="H11" s="3" t="s">
        <v>37</v>
      </c>
      <c r="I11" s="6">
        <v>44713</v>
      </c>
      <c r="J11" s="4">
        <v>38</v>
      </c>
      <c r="K11" s="4">
        <v>38</v>
      </c>
      <c r="L11" s="4">
        <v>11.324999999999999</v>
      </c>
      <c r="M11" s="4">
        <v>11.324999999999999</v>
      </c>
      <c r="N11" s="4">
        <v>11.324999999999999</v>
      </c>
      <c r="O11" s="4">
        <v>11.324999999999999</v>
      </c>
      <c r="P11" s="4">
        <v>0</v>
      </c>
      <c r="Q11" s="3" t="s">
        <v>26</v>
      </c>
      <c r="R11" s="3">
        <v>0</v>
      </c>
      <c r="S11" s="4">
        <v>9</v>
      </c>
      <c r="T11" s="4">
        <v>15</v>
      </c>
      <c r="U11" s="4">
        <v>62</v>
      </c>
      <c r="V11" s="4">
        <f>IF(ISERROR(VLOOKUP($S$11,'TAR FIN'!$A$1:$O$85,15,0)),0,VLOOKUP($S$11,'TAR FIN'!$A$1:$O$85,15,0))</f>
        <v>20.34</v>
      </c>
      <c r="W11" s="4">
        <f>IF(ISERROR(VLOOKUP($T$11,'TAR FIN'!$A$1:$O$85,15,0)),0,VLOOKUP($T$11,'TAR FIN'!$A$1:$O$85,15,0))</f>
        <v>80.73</v>
      </c>
      <c r="X11" s="4">
        <f>IF(ISERROR(VLOOKUP($U$11,'TAR FIN'!$A$1:$O$85,15,0)),0,VLOOKUP($U$11,'TAR FIN'!$A$1:$O$85,15,0))</f>
        <v>291.85000000000002</v>
      </c>
      <c r="Y11" s="4">
        <f ca="1">('TUSD BE'!$AM$6+'TUSD BF'!$AM$6+'TUSD CVA'!$AM$6)*1</f>
        <v>23.236586763614469</v>
      </c>
      <c r="Z11" s="4">
        <f ca="1">('TUSD BE'!$AM$7+'TUSD BF'!$AM$7+'TUSD CVA'!$AM$7)*1</f>
        <v>111.74556842703541</v>
      </c>
      <c r="AA11" s="4">
        <f>('TE BE'!$AB$6+'TE BF'!$AB$6+'TE CVA'!$AB$6)*1</f>
        <v>213.77329191067864</v>
      </c>
      <c r="AB11" s="4">
        <f>$K$11*$V$11</f>
        <v>772.92</v>
      </c>
      <c r="AC11" s="4">
        <f>$M$11*$W$11</f>
        <v>914.26724999999999</v>
      </c>
      <c r="AD11" s="4">
        <f>$O$11*$X$11</f>
        <v>3305.2012500000001</v>
      </c>
      <c r="AE11" s="4">
        <f ca="1">$K$11*$Y$11</f>
        <v>882.9902970173498</v>
      </c>
      <c r="AF11" s="4">
        <f ca="1">$M$11*$Z$11</f>
        <v>1265.5185624361759</v>
      </c>
      <c r="AG11" s="4">
        <f>$O$11*$AA$11</f>
        <v>2420.9825308884356</v>
      </c>
      <c r="AU11" s="4">
        <f ca="1">AU9</f>
        <v>26489249.227551591</v>
      </c>
    </row>
    <row r="12" spans="1:48" ht="11.25" customHeight="1" x14ac:dyDescent="0.3">
      <c r="A12" s="3" t="s">
        <v>21</v>
      </c>
      <c r="B12" s="3" t="s">
        <v>34</v>
      </c>
      <c r="C12" s="3" t="s">
        <v>35</v>
      </c>
      <c r="D12" s="3" t="s">
        <v>33</v>
      </c>
      <c r="E12" s="3" t="s">
        <v>25</v>
      </c>
      <c r="F12" s="3" t="s">
        <v>25</v>
      </c>
      <c r="G12" s="3" t="s">
        <v>25</v>
      </c>
      <c r="H12" s="3" t="s">
        <v>37</v>
      </c>
      <c r="I12" s="6">
        <v>44743</v>
      </c>
      <c r="J12" s="4">
        <v>38</v>
      </c>
      <c r="K12" s="4">
        <v>38</v>
      </c>
      <c r="L12" s="4">
        <v>12.382</v>
      </c>
      <c r="M12" s="4">
        <v>12.382</v>
      </c>
      <c r="N12" s="4">
        <v>12.382</v>
      </c>
      <c r="O12" s="4">
        <v>12.382</v>
      </c>
      <c r="P12" s="4">
        <v>0</v>
      </c>
      <c r="Q12" s="3" t="s">
        <v>26</v>
      </c>
      <c r="R12" s="3">
        <v>0</v>
      </c>
      <c r="S12" s="4">
        <v>9</v>
      </c>
      <c r="T12" s="4">
        <v>15</v>
      </c>
      <c r="U12" s="4">
        <v>62</v>
      </c>
      <c r="V12" s="4">
        <f>IF(ISERROR(VLOOKUP($S$12,'TAR FIN'!$A$1:$O$85,15,0)),0,VLOOKUP($S$12,'TAR FIN'!$A$1:$O$85,15,0))</f>
        <v>20.34</v>
      </c>
      <c r="W12" s="4">
        <f>IF(ISERROR(VLOOKUP($T$12,'TAR FIN'!$A$1:$O$85,15,0)),0,VLOOKUP($T$12,'TAR FIN'!$A$1:$O$85,15,0))</f>
        <v>80.73</v>
      </c>
      <c r="X12" s="4">
        <f>IF(ISERROR(VLOOKUP($U$12,'TAR FIN'!$A$1:$O$85,15,0)),0,VLOOKUP($U$12,'TAR FIN'!$A$1:$O$85,15,0))</f>
        <v>291.85000000000002</v>
      </c>
      <c r="Y12" s="4">
        <f ca="1">('TUSD BE'!$AM$6+'TUSD BF'!$AM$6+'TUSD CVA'!$AM$6)*1</f>
        <v>23.236586763614469</v>
      </c>
      <c r="Z12" s="4">
        <f ca="1">('TUSD BE'!$AM$7+'TUSD BF'!$AM$7+'TUSD CVA'!$AM$7)*1</f>
        <v>111.74556842703541</v>
      </c>
      <c r="AA12" s="4">
        <f>('TE BE'!$AB$6+'TE BF'!$AB$6+'TE CVA'!$AB$6)*1</f>
        <v>213.77329191067864</v>
      </c>
      <c r="AB12" s="4">
        <f>$K$12*$V$12</f>
        <v>772.92</v>
      </c>
      <c r="AC12" s="4">
        <f>$M$12*$W$12</f>
        <v>999.59886000000006</v>
      </c>
      <c r="AD12" s="4">
        <f>$O$12*$X$12</f>
        <v>3613.6867000000002</v>
      </c>
      <c r="AE12" s="4">
        <f ca="1">$K$12*$Y$12</f>
        <v>882.9902970173498</v>
      </c>
      <c r="AF12" s="4">
        <f ca="1">$M$12*$Z$12</f>
        <v>1383.6336282635523</v>
      </c>
      <c r="AG12" s="4">
        <f>$O$12*$AA$12</f>
        <v>2646.9409004380227</v>
      </c>
      <c r="AU12" s="4">
        <f ca="1">SUBSIDIO!AJ11</f>
        <v>3061121.041079239</v>
      </c>
    </row>
    <row r="13" spans="1:48" ht="11.25" customHeight="1" x14ac:dyDescent="0.3">
      <c r="A13" s="3" t="s">
        <v>53</v>
      </c>
      <c r="B13" s="3" t="s">
        <v>34</v>
      </c>
      <c r="C13" s="3" t="s">
        <v>35</v>
      </c>
      <c r="D13" s="3" t="s">
        <v>33</v>
      </c>
      <c r="E13" s="3" t="s">
        <v>25</v>
      </c>
      <c r="F13" s="3" t="s">
        <v>25</v>
      </c>
      <c r="G13" s="3" t="s">
        <v>25</v>
      </c>
      <c r="H13" s="3" t="s">
        <v>37</v>
      </c>
      <c r="I13" s="6">
        <v>44774</v>
      </c>
      <c r="J13" s="4">
        <v>38</v>
      </c>
      <c r="K13" s="4">
        <v>38</v>
      </c>
      <c r="L13" s="4">
        <v>12.382</v>
      </c>
      <c r="M13" s="4">
        <v>12.382</v>
      </c>
      <c r="N13" s="4">
        <v>12.382</v>
      </c>
      <c r="O13" s="4">
        <v>12.382</v>
      </c>
      <c r="P13" s="4">
        <v>0</v>
      </c>
      <c r="Q13" s="3" t="s">
        <v>26</v>
      </c>
      <c r="R13" s="3">
        <v>0</v>
      </c>
      <c r="S13" s="4">
        <v>9</v>
      </c>
      <c r="T13" s="4">
        <v>15</v>
      </c>
      <c r="U13" s="4">
        <v>62</v>
      </c>
      <c r="V13" s="4">
        <f>IF(ISERROR(VLOOKUP($S$13,'TAR FIN'!$A$1:$O$85,15,0)),0,VLOOKUP($S$13,'TAR FIN'!$A$1:$O$85,15,0))</f>
        <v>20.34</v>
      </c>
      <c r="W13" s="4">
        <f>IF(ISERROR(VLOOKUP($T$13,'TAR FIN'!$A$1:$O$85,15,0)),0,VLOOKUP($T$13,'TAR FIN'!$A$1:$O$85,15,0))</f>
        <v>80.73</v>
      </c>
      <c r="X13" s="4">
        <f>IF(ISERROR(VLOOKUP($U$13,'TAR FIN'!$A$1:$O$85,15,0)),0,VLOOKUP($U$13,'TAR FIN'!$A$1:$O$85,15,0))</f>
        <v>291.85000000000002</v>
      </c>
      <c r="Y13" s="4">
        <f ca="1">('TUSD BE'!$AM$6+'TUSD BF'!$AM$6+'TUSD CVA'!$AM$6)*1</f>
        <v>23.236586763614469</v>
      </c>
      <c r="Z13" s="4">
        <f ca="1">('TUSD BE'!$AM$7+'TUSD BF'!$AM$7+'TUSD CVA'!$AM$7)*1</f>
        <v>111.74556842703541</v>
      </c>
      <c r="AA13" s="4">
        <f>('TE BE'!$AB$6+'TE BF'!$AB$6+'TE CVA'!$AB$6)*1</f>
        <v>213.77329191067864</v>
      </c>
      <c r="AB13" s="4">
        <f>$K$13*$V$13</f>
        <v>772.92</v>
      </c>
      <c r="AC13" s="4">
        <f>$M$13*$W$13</f>
        <v>999.59886000000006</v>
      </c>
      <c r="AD13" s="4">
        <f>$O$13*$X$13</f>
        <v>3613.6867000000002</v>
      </c>
      <c r="AE13" s="4">
        <f ca="1">$K$13*$Y$13</f>
        <v>882.9902970173498</v>
      </c>
      <c r="AF13" s="4">
        <f ca="1">$M$13*$Z$13</f>
        <v>1383.6336282635523</v>
      </c>
      <c r="AG13" s="4">
        <f>$O$13*$AA$13</f>
        <v>2646.9409004380227</v>
      </c>
      <c r="AU13" s="61">
        <f ca="1">AU11+AU12-CUSTOS!H49</f>
        <v>-1.601874828338623E-7</v>
      </c>
    </row>
    <row r="14" spans="1:48" ht="11.25" customHeight="1" x14ac:dyDescent="0.3">
      <c r="A14" s="3" t="s">
        <v>21</v>
      </c>
      <c r="B14" s="3" t="s">
        <v>34</v>
      </c>
      <c r="C14" s="3" t="s">
        <v>35</v>
      </c>
      <c r="D14" s="3" t="s">
        <v>33</v>
      </c>
      <c r="E14" s="3" t="s">
        <v>25</v>
      </c>
      <c r="F14" s="3" t="s">
        <v>25</v>
      </c>
      <c r="G14" s="3" t="s">
        <v>25</v>
      </c>
      <c r="H14" s="3" t="s">
        <v>36</v>
      </c>
      <c r="I14" s="6">
        <v>44440</v>
      </c>
      <c r="J14" s="4">
        <v>31</v>
      </c>
      <c r="K14" s="4">
        <v>31</v>
      </c>
      <c r="L14" s="4">
        <v>1.0820000000000001</v>
      </c>
      <c r="M14" s="4">
        <v>1.0820000000000001</v>
      </c>
      <c r="N14" s="4">
        <v>1.0820000000000001</v>
      </c>
      <c r="O14" s="4">
        <v>1.0820000000000001</v>
      </c>
      <c r="P14" s="4">
        <v>0</v>
      </c>
      <c r="Q14" s="3" t="s">
        <v>26</v>
      </c>
      <c r="R14" s="3">
        <v>0</v>
      </c>
      <c r="S14" s="4">
        <v>7</v>
      </c>
      <c r="T14" s="4">
        <v>15</v>
      </c>
      <c r="U14" s="4">
        <v>22</v>
      </c>
      <c r="V14" s="4">
        <f>IF(ISERROR(VLOOKUP($S$14,'TAR FIN'!$A$1:$O$85,15,0)),0,VLOOKUP($S$14,'TAR FIN'!$A$1:$O$85,15,0))</f>
        <v>64.150000000000006</v>
      </c>
      <c r="W14" s="4">
        <f>IF(ISERROR(VLOOKUP($T$14,'TAR FIN'!$A$1:$O$85,15,0)),0,VLOOKUP($T$14,'TAR FIN'!$A$1:$O$85,15,0))</f>
        <v>80.73</v>
      </c>
      <c r="X14" s="4">
        <f>IF(ISERROR(VLOOKUP($U$14,'TAR FIN'!$A$1:$O$85,15,0)),0,VLOOKUP($U$14,'TAR FIN'!$A$1:$O$85,15,0))</f>
        <v>291.85000000000002</v>
      </c>
      <c r="Y14" s="4">
        <f ca="1">('TUSD BE'!$AM$5+'TUSD BF'!$AM$5+'TUSD CVA'!$AM$5)*1</f>
        <v>63.563812830009482</v>
      </c>
      <c r="Z14" s="4">
        <f ca="1">('TUSD BE'!$AM$7+'TUSD BF'!$AM$7+'TUSD CVA'!$AM$7)*1</f>
        <v>111.74556842703541</v>
      </c>
      <c r="AA14" s="4">
        <f>('TE BE'!$AB$5+'TE BF'!$AB$5+'TE CVA'!$AB$5)*1</f>
        <v>213.77329191067864</v>
      </c>
      <c r="AB14" s="4">
        <f>$K$14*$V$14</f>
        <v>1988.65</v>
      </c>
      <c r="AC14" s="4">
        <f>$M$14*$W$14</f>
        <v>87.349860000000007</v>
      </c>
      <c r="AD14" s="4">
        <f>$O$14*$X$14</f>
        <v>315.78170000000006</v>
      </c>
      <c r="AE14" s="4">
        <f ca="1">$K$14*$Y$14</f>
        <v>1970.4781977302939</v>
      </c>
      <c r="AF14" s="4">
        <f ca="1">$M$14*$Z$14</f>
        <v>120.90870503805232</v>
      </c>
      <c r="AG14" s="4">
        <f>$O$14*$AA$14</f>
        <v>231.30270184735431</v>
      </c>
    </row>
    <row r="15" spans="1:48" ht="11.25" customHeight="1" x14ac:dyDescent="0.3">
      <c r="A15" s="3" t="s">
        <v>21</v>
      </c>
      <c r="B15" s="3" t="s">
        <v>34</v>
      </c>
      <c r="C15" s="3" t="s">
        <v>35</v>
      </c>
      <c r="D15" s="3" t="s">
        <v>33</v>
      </c>
      <c r="E15" s="3" t="s">
        <v>25</v>
      </c>
      <c r="F15" s="3" t="s">
        <v>25</v>
      </c>
      <c r="G15" s="3" t="s">
        <v>25</v>
      </c>
      <c r="H15" s="3" t="s">
        <v>36</v>
      </c>
      <c r="I15" s="6">
        <v>44470</v>
      </c>
      <c r="J15" s="4">
        <v>31</v>
      </c>
      <c r="K15" s="4">
        <v>31</v>
      </c>
      <c r="L15" s="4">
        <v>1.091</v>
      </c>
      <c r="M15" s="4">
        <v>1.091</v>
      </c>
      <c r="N15" s="4">
        <v>1.091</v>
      </c>
      <c r="O15" s="4">
        <v>1.091</v>
      </c>
      <c r="P15" s="4">
        <v>0</v>
      </c>
      <c r="Q15" s="3" t="s">
        <v>26</v>
      </c>
      <c r="R15" s="3">
        <v>0</v>
      </c>
      <c r="S15" s="4">
        <v>7</v>
      </c>
      <c r="T15" s="4">
        <v>15</v>
      </c>
      <c r="U15" s="4">
        <v>22</v>
      </c>
      <c r="V15" s="4">
        <f>IF(ISERROR(VLOOKUP($S$15,'TAR FIN'!$A$1:$O$85,15,0)),0,VLOOKUP($S$15,'TAR FIN'!$A$1:$O$85,15,0))</f>
        <v>64.150000000000006</v>
      </c>
      <c r="W15" s="4">
        <f>IF(ISERROR(VLOOKUP($T$15,'TAR FIN'!$A$1:$O$85,15,0)),0,VLOOKUP($T$15,'TAR FIN'!$A$1:$O$85,15,0))</f>
        <v>80.73</v>
      </c>
      <c r="X15" s="4">
        <f>IF(ISERROR(VLOOKUP($U$15,'TAR FIN'!$A$1:$O$85,15,0)),0,VLOOKUP($U$15,'TAR FIN'!$A$1:$O$85,15,0))</f>
        <v>291.85000000000002</v>
      </c>
      <c r="Y15" s="4">
        <f ca="1">('TUSD BE'!$AM$5+'TUSD BF'!$AM$5+'TUSD CVA'!$AM$5)*1</f>
        <v>63.563812830009482</v>
      </c>
      <c r="Z15" s="4">
        <f ca="1">('TUSD BE'!$AM$7+'TUSD BF'!$AM$7+'TUSD CVA'!$AM$7)*1</f>
        <v>111.74556842703541</v>
      </c>
      <c r="AA15" s="4">
        <f>('TE BE'!$AB$5+'TE BF'!$AB$5+'TE CVA'!$AB$5)*1</f>
        <v>213.77329191067864</v>
      </c>
      <c r="AB15" s="4">
        <f>$K$15*$V$15</f>
        <v>1988.65</v>
      </c>
      <c r="AC15" s="4">
        <f>$M$15*$W$15</f>
        <v>88.076430000000002</v>
      </c>
      <c r="AD15" s="4">
        <f>$O$15*$X$15</f>
        <v>318.40835000000004</v>
      </c>
      <c r="AE15" s="4">
        <f ca="1">$K$15*$Y$15</f>
        <v>1970.4781977302939</v>
      </c>
      <c r="AF15" s="4">
        <f ca="1">$M$15*$Z$15</f>
        <v>121.91441515389563</v>
      </c>
      <c r="AG15" s="4">
        <f>$O$15*$AA$15</f>
        <v>233.22666147455038</v>
      </c>
    </row>
    <row r="16" spans="1:48" ht="11.25" customHeight="1" x14ac:dyDescent="0.3">
      <c r="A16" s="3" t="s">
        <v>21</v>
      </c>
      <c r="B16" s="3" t="s">
        <v>34</v>
      </c>
      <c r="C16" s="3" t="s">
        <v>35</v>
      </c>
      <c r="D16" s="3" t="s">
        <v>33</v>
      </c>
      <c r="E16" s="3" t="s">
        <v>25</v>
      </c>
      <c r="F16" s="3" t="s">
        <v>25</v>
      </c>
      <c r="G16" s="3" t="s">
        <v>25</v>
      </c>
      <c r="H16" s="3" t="s">
        <v>36</v>
      </c>
      <c r="I16" s="6">
        <v>44501</v>
      </c>
      <c r="J16" s="4">
        <v>31</v>
      </c>
      <c r="K16" s="4">
        <v>31</v>
      </c>
      <c r="L16" s="4">
        <v>1.0009999999999999</v>
      </c>
      <c r="M16" s="4">
        <v>1.0009999999999999</v>
      </c>
      <c r="N16" s="4">
        <v>1.0009999999999999</v>
      </c>
      <c r="O16" s="4">
        <v>1.0009999999999999</v>
      </c>
      <c r="P16" s="4">
        <v>0</v>
      </c>
      <c r="Q16" s="3" t="s">
        <v>26</v>
      </c>
      <c r="R16" s="3">
        <v>0</v>
      </c>
      <c r="S16" s="4">
        <v>7</v>
      </c>
      <c r="T16" s="4">
        <v>15</v>
      </c>
      <c r="U16" s="4">
        <v>22</v>
      </c>
      <c r="V16" s="4">
        <f>IF(ISERROR(VLOOKUP($S$16,'TAR FIN'!$A$1:$O$85,15,0)),0,VLOOKUP($S$16,'TAR FIN'!$A$1:$O$85,15,0))</f>
        <v>64.150000000000006</v>
      </c>
      <c r="W16" s="4">
        <f>IF(ISERROR(VLOOKUP($T$16,'TAR FIN'!$A$1:$O$85,15,0)),0,VLOOKUP($T$16,'TAR FIN'!$A$1:$O$85,15,0))</f>
        <v>80.73</v>
      </c>
      <c r="X16" s="4">
        <f>IF(ISERROR(VLOOKUP($U$16,'TAR FIN'!$A$1:$O$85,15,0)),0,VLOOKUP($U$16,'TAR FIN'!$A$1:$O$85,15,0))</f>
        <v>291.85000000000002</v>
      </c>
      <c r="Y16" s="4">
        <f ca="1">('TUSD BE'!$AM$5+'TUSD BF'!$AM$5+'TUSD CVA'!$AM$5)*1</f>
        <v>63.563812830009482</v>
      </c>
      <c r="Z16" s="4">
        <f ca="1">('TUSD BE'!$AM$7+'TUSD BF'!$AM$7+'TUSD CVA'!$AM$7)*1</f>
        <v>111.74556842703541</v>
      </c>
      <c r="AA16" s="4">
        <f>('TE BE'!$AB$5+'TE BF'!$AB$5+'TE CVA'!$AB$5)*1</f>
        <v>213.77329191067864</v>
      </c>
      <c r="AB16" s="4">
        <f>$K$16*$V$16</f>
        <v>1988.65</v>
      </c>
      <c r="AC16" s="4">
        <f>$M$16*$W$16</f>
        <v>80.810729999999992</v>
      </c>
      <c r="AD16" s="4">
        <f>$O$16*$X$16</f>
        <v>292.14184999999998</v>
      </c>
      <c r="AE16" s="4">
        <f ca="1">$K$16*$Y$16</f>
        <v>1970.4781977302939</v>
      </c>
      <c r="AF16" s="4">
        <f ca="1">$M$16*$Z$16</f>
        <v>111.85731399546243</v>
      </c>
      <c r="AG16" s="4">
        <f>$O$16*$AA$16</f>
        <v>213.98706520258929</v>
      </c>
    </row>
    <row r="17" spans="1:33" ht="11.25" customHeight="1" x14ac:dyDescent="0.3">
      <c r="A17" s="3" t="s">
        <v>21</v>
      </c>
      <c r="B17" s="3" t="s">
        <v>34</v>
      </c>
      <c r="C17" s="3" t="s">
        <v>35</v>
      </c>
      <c r="D17" s="3" t="s">
        <v>33</v>
      </c>
      <c r="E17" s="3" t="s">
        <v>25</v>
      </c>
      <c r="F17" s="3" t="s">
        <v>25</v>
      </c>
      <c r="G17" s="3" t="s">
        <v>25</v>
      </c>
      <c r="H17" s="3" t="s">
        <v>36</v>
      </c>
      <c r="I17" s="6">
        <v>44531</v>
      </c>
      <c r="J17" s="4">
        <v>31</v>
      </c>
      <c r="K17" s="4">
        <v>31</v>
      </c>
      <c r="L17" s="4">
        <v>1.1359999999999999</v>
      </c>
      <c r="M17" s="4">
        <v>1.1359999999999999</v>
      </c>
      <c r="N17" s="4">
        <v>1.1359999999999999</v>
      </c>
      <c r="O17" s="4">
        <v>1.1359999999999999</v>
      </c>
      <c r="P17" s="4">
        <v>0</v>
      </c>
      <c r="Q17" s="3" t="s">
        <v>26</v>
      </c>
      <c r="R17" s="3">
        <v>0</v>
      </c>
      <c r="S17" s="4">
        <v>7</v>
      </c>
      <c r="T17" s="4">
        <v>15</v>
      </c>
      <c r="U17" s="4">
        <v>22</v>
      </c>
      <c r="V17" s="4">
        <f>IF(ISERROR(VLOOKUP($S$17,'TAR FIN'!$A$1:$O$85,15,0)),0,VLOOKUP($S$17,'TAR FIN'!$A$1:$O$85,15,0))</f>
        <v>64.150000000000006</v>
      </c>
      <c r="W17" s="4">
        <f>IF(ISERROR(VLOOKUP($T$17,'TAR FIN'!$A$1:$O$85,15,0)),0,VLOOKUP($T$17,'TAR FIN'!$A$1:$O$85,15,0))</f>
        <v>80.73</v>
      </c>
      <c r="X17" s="4">
        <f>IF(ISERROR(VLOOKUP($U$17,'TAR FIN'!$A$1:$O$85,15,0)),0,VLOOKUP($U$17,'TAR FIN'!$A$1:$O$85,15,0))</f>
        <v>291.85000000000002</v>
      </c>
      <c r="Y17" s="4">
        <f ca="1">('TUSD BE'!$AM$5+'TUSD BF'!$AM$5+'TUSD CVA'!$AM$5)*1</f>
        <v>63.563812830009482</v>
      </c>
      <c r="Z17" s="4">
        <f ca="1">('TUSD BE'!$AM$7+'TUSD BF'!$AM$7+'TUSD CVA'!$AM$7)*1</f>
        <v>111.74556842703541</v>
      </c>
      <c r="AA17" s="4">
        <f>('TE BE'!$AB$5+'TE BF'!$AB$5+'TE CVA'!$AB$5)*1</f>
        <v>213.77329191067864</v>
      </c>
      <c r="AB17" s="4">
        <f>$K$17*$V$17</f>
        <v>1988.65</v>
      </c>
      <c r="AC17" s="4">
        <f>$M$17*$W$17</f>
        <v>91.709279999999993</v>
      </c>
      <c r="AD17" s="4">
        <f>$O$17*$X$17</f>
        <v>331.54160000000002</v>
      </c>
      <c r="AE17" s="4">
        <f ca="1">$K$17*$Y$17</f>
        <v>1970.4781977302939</v>
      </c>
      <c r="AF17" s="4">
        <f ca="1">$M$17*$Z$17</f>
        <v>126.94296573311222</v>
      </c>
      <c r="AG17" s="4">
        <f>$O$17*$AA$17</f>
        <v>242.8464596105309</v>
      </c>
    </row>
    <row r="18" spans="1:33" ht="11.25" customHeight="1" x14ac:dyDescent="0.3">
      <c r="A18" s="3" t="s">
        <v>21</v>
      </c>
      <c r="B18" s="3" t="s">
        <v>34</v>
      </c>
      <c r="C18" s="3" t="s">
        <v>35</v>
      </c>
      <c r="D18" s="3" t="s">
        <v>33</v>
      </c>
      <c r="E18" s="3" t="s">
        <v>25</v>
      </c>
      <c r="F18" s="3" t="s">
        <v>25</v>
      </c>
      <c r="G18" s="3" t="s">
        <v>25</v>
      </c>
      <c r="H18" s="3" t="s">
        <v>36</v>
      </c>
      <c r="I18" s="6">
        <v>44562</v>
      </c>
      <c r="J18" s="4">
        <v>31</v>
      </c>
      <c r="K18" s="4">
        <v>31</v>
      </c>
      <c r="L18" s="4">
        <v>1.167</v>
      </c>
      <c r="M18" s="4">
        <v>1.167</v>
      </c>
      <c r="N18" s="4">
        <v>1.167</v>
      </c>
      <c r="O18" s="4">
        <v>1.167</v>
      </c>
      <c r="P18" s="4">
        <v>0</v>
      </c>
      <c r="Q18" s="3" t="s">
        <v>26</v>
      </c>
      <c r="R18" s="3">
        <v>0</v>
      </c>
      <c r="S18" s="4">
        <v>7</v>
      </c>
      <c r="T18" s="4">
        <v>15</v>
      </c>
      <c r="U18" s="4">
        <v>22</v>
      </c>
      <c r="V18" s="4">
        <f>IF(ISERROR(VLOOKUP($S$18,'TAR FIN'!$A$1:$O$85,15,0)),0,VLOOKUP($S$18,'TAR FIN'!$A$1:$O$85,15,0))</f>
        <v>64.150000000000006</v>
      </c>
      <c r="W18" s="4">
        <f>IF(ISERROR(VLOOKUP($T$18,'TAR FIN'!$A$1:$O$85,15,0)),0,VLOOKUP($T$18,'TAR FIN'!$A$1:$O$85,15,0))</f>
        <v>80.73</v>
      </c>
      <c r="X18" s="4">
        <f>IF(ISERROR(VLOOKUP($U$18,'TAR FIN'!$A$1:$O$85,15,0)),0,VLOOKUP($U$18,'TAR FIN'!$A$1:$O$85,15,0))</f>
        <v>291.85000000000002</v>
      </c>
      <c r="Y18" s="4">
        <f ca="1">('TUSD BE'!$AM$5+'TUSD BF'!$AM$5+'TUSD CVA'!$AM$5)*1</f>
        <v>63.563812830009482</v>
      </c>
      <c r="Z18" s="4">
        <f ca="1">('TUSD BE'!$AM$7+'TUSD BF'!$AM$7+'TUSD CVA'!$AM$7)*1</f>
        <v>111.74556842703541</v>
      </c>
      <c r="AA18" s="4">
        <f>('TE BE'!$AB$5+'TE BF'!$AB$5+'TE CVA'!$AB$5)*1</f>
        <v>213.77329191067864</v>
      </c>
      <c r="AB18" s="4">
        <f>$K$18*$V$18</f>
        <v>1988.65</v>
      </c>
      <c r="AC18" s="4">
        <f>$M$18*$W$18</f>
        <v>94.211910000000003</v>
      </c>
      <c r="AD18" s="4">
        <f>$O$18*$X$18</f>
        <v>340.58895000000001</v>
      </c>
      <c r="AE18" s="4">
        <f ca="1">$K$18*$Y$18</f>
        <v>1970.4781977302939</v>
      </c>
      <c r="AF18" s="4">
        <f ca="1">$M$18*$Z$18</f>
        <v>130.40707835435032</v>
      </c>
      <c r="AG18" s="4">
        <f>$O$18*$AA$18</f>
        <v>249.47343165976199</v>
      </c>
    </row>
    <row r="19" spans="1:33" ht="11.25" customHeight="1" x14ac:dyDescent="0.3">
      <c r="A19" s="3" t="s">
        <v>21</v>
      </c>
      <c r="B19" s="3" t="s">
        <v>34</v>
      </c>
      <c r="C19" s="3" t="s">
        <v>35</v>
      </c>
      <c r="D19" s="3" t="s">
        <v>33</v>
      </c>
      <c r="E19" s="3" t="s">
        <v>25</v>
      </c>
      <c r="F19" s="3" t="s">
        <v>25</v>
      </c>
      <c r="G19" s="3" t="s">
        <v>25</v>
      </c>
      <c r="H19" s="3" t="s">
        <v>36</v>
      </c>
      <c r="I19" s="6">
        <v>44593</v>
      </c>
      <c r="J19" s="4">
        <v>31</v>
      </c>
      <c r="K19" s="4">
        <v>31</v>
      </c>
      <c r="L19" s="4">
        <v>1.0009999999999999</v>
      </c>
      <c r="M19" s="4">
        <v>1.0009999999999999</v>
      </c>
      <c r="N19" s="4">
        <v>1.0009999999999999</v>
      </c>
      <c r="O19" s="4">
        <v>1.0009999999999999</v>
      </c>
      <c r="P19" s="4">
        <v>0</v>
      </c>
      <c r="Q19" s="3" t="s">
        <v>26</v>
      </c>
      <c r="R19" s="3">
        <v>0</v>
      </c>
      <c r="S19" s="4">
        <v>7</v>
      </c>
      <c r="T19" s="4">
        <v>15</v>
      </c>
      <c r="U19" s="4">
        <v>22</v>
      </c>
      <c r="V19" s="4">
        <f>IF(ISERROR(VLOOKUP($S$19,'TAR FIN'!$A$1:$O$85,15,0)),0,VLOOKUP($S$19,'TAR FIN'!$A$1:$O$85,15,0))</f>
        <v>64.150000000000006</v>
      </c>
      <c r="W19" s="4">
        <f>IF(ISERROR(VLOOKUP($T$19,'TAR FIN'!$A$1:$O$85,15,0)),0,VLOOKUP($T$19,'TAR FIN'!$A$1:$O$85,15,0))</f>
        <v>80.73</v>
      </c>
      <c r="X19" s="4">
        <f>IF(ISERROR(VLOOKUP($U$19,'TAR FIN'!$A$1:$O$85,15,0)),0,VLOOKUP($U$19,'TAR FIN'!$A$1:$O$85,15,0))</f>
        <v>291.85000000000002</v>
      </c>
      <c r="Y19" s="4">
        <f ca="1">('TUSD BE'!$AM$5+'TUSD BF'!$AM$5+'TUSD CVA'!$AM$5)*1</f>
        <v>63.563812830009482</v>
      </c>
      <c r="Z19" s="4">
        <f ca="1">('TUSD BE'!$AM$7+'TUSD BF'!$AM$7+'TUSD CVA'!$AM$7)*1</f>
        <v>111.74556842703541</v>
      </c>
      <c r="AA19" s="4">
        <f>('TE BE'!$AB$5+'TE BF'!$AB$5+'TE CVA'!$AB$5)*1</f>
        <v>213.77329191067864</v>
      </c>
      <c r="AB19" s="4">
        <f>$K$19*$V$19</f>
        <v>1988.65</v>
      </c>
      <c r="AC19" s="4">
        <f>$M$19*$W$19</f>
        <v>80.810729999999992</v>
      </c>
      <c r="AD19" s="4">
        <f>$O$19*$X$19</f>
        <v>292.14184999999998</v>
      </c>
      <c r="AE19" s="4">
        <f ca="1">$K$19*$Y$19</f>
        <v>1970.4781977302939</v>
      </c>
      <c r="AF19" s="4">
        <f ca="1">$M$19*$Z$19</f>
        <v>111.85731399546243</v>
      </c>
      <c r="AG19" s="4">
        <f>$O$19*$AA$19</f>
        <v>213.98706520258929</v>
      </c>
    </row>
    <row r="20" spans="1:33" ht="11.25" customHeight="1" x14ac:dyDescent="0.3">
      <c r="A20" s="3" t="s">
        <v>21</v>
      </c>
      <c r="B20" s="3" t="s">
        <v>34</v>
      </c>
      <c r="C20" s="3" t="s">
        <v>35</v>
      </c>
      <c r="D20" s="3" t="s">
        <v>33</v>
      </c>
      <c r="E20" s="3" t="s">
        <v>25</v>
      </c>
      <c r="F20" s="3" t="s">
        <v>25</v>
      </c>
      <c r="G20" s="3" t="s">
        <v>25</v>
      </c>
      <c r="H20" s="3" t="s">
        <v>36</v>
      </c>
      <c r="I20" s="6">
        <v>44621</v>
      </c>
      <c r="J20" s="4">
        <v>31</v>
      </c>
      <c r="K20" s="4">
        <v>31</v>
      </c>
      <c r="L20" s="4">
        <v>1.157</v>
      </c>
      <c r="M20" s="4">
        <v>1.157</v>
      </c>
      <c r="N20" s="4">
        <v>1.157</v>
      </c>
      <c r="O20" s="4">
        <v>1.157</v>
      </c>
      <c r="P20" s="4">
        <v>0</v>
      </c>
      <c r="Q20" s="3" t="s">
        <v>26</v>
      </c>
      <c r="R20" s="3">
        <v>0</v>
      </c>
      <c r="S20" s="4">
        <v>7</v>
      </c>
      <c r="T20" s="4">
        <v>15</v>
      </c>
      <c r="U20" s="4">
        <v>22</v>
      </c>
      <c r="V20" s="4">
        <f>IF(ISERROR(VLOOKUP($S$20,'TAR FIN'!$A$1:$O$85,15,0)),0,VLOOKUP($S$20,'TAR FIN'!$A$1:$O$85,15,0))</f>
        <v>64.150000000000006</v>
      </c>
      <c r="W20" s="4">
        <f>IF(ISERROR(VLOOKUP($T$20,'TAR FIN'!$A$1:$O$85,15,0)),0,VLOOKUP($T$20,'TAR FIN'!$A$1:$O$85,15,0))</f>
        <v>80.73</v>
      </c>
      <c r="X20" s="4">
        <f>IF(ISERROR(VLOOKUP($U$20,'TAR FIN'!$A$1:$O$85,15,0)),0,VLOOKUP($U$20,'TAR FIN'!$A$1:$O$85,15,0))</f>
        <v>291.85000000000002</v>
      </c>
      <c r="Y20" s="4">
        <f ca="1">('TUSD BE'!$AM$5+'TUSD BF'!$AM$5+'TUSD CVA'!$AM$5)*1</f>
        <v>63.563812830009482</v>
      </c>
      <c r="Z20" s="4">
        <f ca="1">('TUSD BE'!$AM$7+'TUSD BF'!$AM$7+'TUSD CVA'!$AM$7)*1</f>
        <v>111.74556842703541</v>
      </c>
      <c r="AA20" s="4">
        <f>('TE BE'!$AB$5+'TE BF'!$AB$5+'TE CVA'!$AB$5)*1</f>
        <v>213.77329191067864</v>
      </c>
      <c r="AB20" s="4">
        <f>$K$20*$V$20</f>
        <v>1988.65</v>
      </c>
      <c r="AC20" s="4">
        <f>$M$20*$W$20</f>
        <v>93.404610000000005</v>
      </c>
      <c r="AD20" s="4">
        <f>$O$20*$X$20</f>
        <v>337.67045000000002</v>
      </c>
      <c r="AE20" s="4">
        <f ca="1">$K$20*$Y$20</f>
        <v>1970.4781977302939</v>
      </c>
      <c r="AF20" s="4">
        <f ca="1">$M$20*$Z$20</f>
        <v>129.28962267007998</v>
      </c>
      <c r="AG20" s="4">
        <f>$O$20*$AA$20</f>
        <v>247.33569874065518</v>
      </c>
    </row>
    <row r="21" spans="1:33" ht="11.25" customHeight="1" x14ac:dyDescent="0.3">
      <c r="A21" s="3" t="s">
        <v>21</v>
      </c>
      <c r="B21" s="3" t="s">
        <v>34</v>
      </c>
      <c r="C21" s="3" t="s">
        <v>35</v>
      </c>
      <c r="D21" s="3" t="s">
        <v>33</v>
      </c>
      <c r="E21" s="3" t="s">
        <v>25</v>
      </c>
      <c r="F21" s="3" t="s">
        <v>25</v>
      </c>
      <c r="G21" s="3" t="s">
        <v>25</v>
      </c>
      <c r="H21" s="3" t="s">
        <v>36</v>
      </c>
      <c r="I21" s="6">
        <v>44652</v>
      </c>
      <c r="J21" s="4">
        <v>31</v>
      </c>
      <c r="K21" s="4">
        <v>31</v>
      </c>
      <c r="L21" s="4">
        <v>1.1040000000000001</v>
      </c>
      <c r="M21" s="4">
        <v>1.1040000000000001</v>
      </c>
      <c r="N21" s="4">
        <v>1.1040000000000001</v>
      </c>
      <c r="O21" s="4">
        <v>1.1040000000000001</v>
      </c>
      <c r="P21" s="4">
        <v>0</v>
      </c>
      <c r="Q21" s="3" t="s">
        <v>26</v>
      </c>
      <c r="R21" s="3">
        <v>0</v>
      </c>
      <c r="S21" s="4">
        <v>7</v>
      </c>
      <c r="T21" s="4">
        <v>15</v>
      </c>
      <c r="U21" s="4">
        <v>22</v>
      </c>
      <c r="V21" s="4">
        <f>IF(ISERROR(VLOOKUP($S$21,'TAR FIN'!$A$1:$O$85,15,0)),0,VLOOKUP($S$21,'TAR FIN'!$A$1:$O$85,15,0))</f>
        <v>64.150000000000006</v>
      </c>
      <c r="W21" s="4">
        <f>IF(ISERROR(VLOOKUP($T$21,'TAR FIN'!$A$1:$O$85,15,0)),0,VLOOKUP($T$21,'TAR FIN'!$A$1:$O$85,15,0))</f>
        <v>80.73</v>
      </c>
      <c r="X21" s="4">
        <f>IF(ISERROR(VLOOKUP($U$21,'TAR FIN'!$A$1:$O$85,15,0)),0,VLOOKUP($U$21,'TAR FIN'!$A$1:$O$85,15,0))</f>
        <v>291.85000000000002</v>
      </c>
      <c r="Y21" s="4">
        <f ca="1">('TUSD BE'!$AM$5+'TUSD BF'!$AM$5+'TUSD CVA'!$AM$5)*1</f>
        <v>63.563812830009482</v>
      </c>
      <c r="Z21" s="4">
        <f ca="1">('TUSD BE'!$AM$7+'TUSD BF'!$AM$7+'TUSD CVA'!$AM$7)*1</f>
        <v>111.74556842703541</v>
      </c>
      <c r="AA21" s="4">
        <f>('TE BE'!$AB$5+'TE BF'!$AB$5+'TE CVA'!$AB$5)*1</f>
        <v>213.77329191067864</v>
      </c>
      <c r="AB21" s="4">
        <f>$K$21*$V$21</f>
        <v>1988.65</v>
      </c>
      <c r="AC21" s="4">
        <f>$M$21*$W$21</f>
        <v>89.125920000000008</v>
      </c>
      <c r="AD21" s="4">
        <f>$O$21*$X$21</f>
        <v>322.20240000000007</v>
      </c>
      <c r="AE21" s="4">
        <f ca="1">$K$21*$Y$21</f>
        <v>1970.4781977302939</v>
      </c>
      <c r="AF21" s="4">
        <f ca="1">$M$21*$Z$21</f>
        <v>123.3671075434471</v>
      </c>
      <c r="AG21" s="4">
        <f>$O$21*$AA$21</f>
        <v>236.00571426938924</v>
      </c>
    </row>
    <row r="22" spans="1:33" ht="11.25" customHeight="1" x14ac:dyDescent="0.3">
      <c r="A22" s="3" t="s">
        <v>21</v>
      </c>
      <c r="B22" s="3" t="s">
        <v>34</v>
      </c>
      <c r="C22" s="3" t="s">
        <v>35</v>
      </c>
      <c r="D22" s="3" t="s">
        <v>33</v>
      </c>
      <c r="E22" s="3" t="s">
        <v>25</v>
      </c>
      <c r="F22" s="3" t="s">
        <v>25</v>
      </c>
      <c r="G22" s="3" t="s">
        <v>25</v>
      </c>
      <c r="H22" s="3" t="s">
        <v>36</v>
      </c>
      <c r="I22" s="6">
        <v>44682</v>
      </c>
      <c r="J22" s="4">
        <v>31</v>
      </c>
      <c r="K22" s="4">
        <v>31</v>
      </c>
      <c r="L22" s="4">
        <v>1.1659999999999999</v>
      </c>
      <c r="M22" s="4">
        <v>1.1659999999999999</v>
      </c>
      <c r="N22" s="4">
        <v>1.1659999999999999</v>
      </c>
      <c r="O22" s="4">
        <v>1.1659999999999999</v>
      </c>
      <c r="P22" s="4">
        <v>0</v>
      </c>
      <c r="Q22" s="3" t="s">
        <v>26</v>
      </c>
      <c r="R22" s="3">
        <v>0</v>
      </c>
      <c r="S22" s="4">
        <v>7</v>
      </c>
      <c r="T22" s="4">
        <v>15</v>
      </c>
      <c r="U22" s="4">
        <v>22</v>
      </c>
      <c r="V22" s="4">
        <f>IF(ISERROR(VLOOKUP($S$22,'TAR FIN'!$A$1:$O$85,15,0)),0,VLOOKUP($S$22,'TAR FIN'!$A$1:$O$85,15,0))</f>
        <v>64.150000000000006</v>
      </c>
      <c r="W22" s="4">
        <f>IF(ISERROR(VLOOKUP($T$22,'TAR FIN'!$A$1:$O$85,15,0)),0,VLOOKUP($T$22,'TAR FIN'!$A$1:$O$85,15,0))</f>
        <v>80.73</v>
      </c>
      <c r="X22" s="4">
        <f>IF(ISERROR(VLOOKUP($U$22,'TAR FIN'!$A$1:$O$85,15,0)),0,VLOOKUP($U$22,'TAR FIN'!$A$1:$O$85,15,0))</f>
        <v>291.85000000000002</v>
      </c>
      <c r="Y22" s="4">
        <f ca="1">('TUSD BE'!$AM$5+'TUSD BF'!$AM$5+'TUSD CVA'!$AM$5)*1</f>
        <v>63.563812830009482</v>
      </c>
      <c r="Z22" s="4">
        <f ca="1">('TUSD BE'!$AM$7+'TUSD BF'!$AM$7+'TUSD CVA'!$AM$7)*1</f>
        <v>111.74556842703541</v>
      </c>
      <c r="AA22" s="4">
        <f>('TE BE'!$AB$5+'TE BF'!$AB$5+'TE CVA'!$AB$5)*1</f>
        <v>213.77329191067864</v>
      </c>
      <c r="AB22" s="4">
        <f>$K$22*$V$22</f>
        <v>1988.65</v>
      </c>
      <c r="AC22" s="4">
        <f>$M$22*$W$22</f>
        <v>94.131180000000001</v>
      </c>
      <c r="AD22" s="4">
        <f>$O$22*$X$22</f>
        <v>340.2971</v>
      </c>
      <c r="AE22" s="4">
        <f ca="1">$K$22*$Y$22</f>
        <v>1970.4781977302939</v>
      </c>
      <c r="AF22" s="4">
        <f ca="1">$M$22*$Z$22</f>
        <v>130.29533278592328</v>
      </c>
      <c r="AG22" s="4">
        <f>$O$22*$AA$22</f>
        <v>249.25965836785127</v>
      </c>
    </row>
    <row r="23" spans="1:33" ht="11.25" customHeight="1" x14ac:dyDescent="0.3">
      <c r="A23" s="3" t="s">
        <v>21</v>
      </c>
      <c r="B23" s="3" t="s">
        <v>34</v>
      </c>
      <c r="C23" s="3" t="s">
        <v>35</v>
      </c>
      <c r="D23" s="3" t="s">
        <v>33</v>
      </c>
      <c r="E23" s="3" t="s">
        <v>25</v>
      </c>
      <c r="F23" s="3" t="s">
        <v>25</v>
      </c>
      <c r="G23" s="3" t="s">
        <v>25</v>
      </c>
      <c r="H23" s="3" t="s">
        <v>36</v>
      </c>
      <c r="I23" s="6">
        <v>44713</v>
      </c>
      <c r="J23" s="4">
        <v>31</v>
      </c>
      <c r="K23" s="4">
        <v>31</v>
      </c>
      <c r="L23" s="4">
        <v>1.1919999999999999</v>
      </c>
      <c r="M23" s="4">
        <v>1.1919999999999999</v>
      </c>
      <c r="N23" s="4">
        <v>1.1919999999999999</v>
      </c>
      <c r="O23" s="4">
        <v>1.1919999999999999</v>
      </c>
      <c r="P23" s="4">
        <v>0</v>
      </c>
      <c r="Q23" s="3" t="s">
        <v>26</v>
      </c>
      <c r="R23" s="3">
        <v>0</v>
      </c>
      <c r="S23" s="4">
        <v>7</v>
      </c>
      <c r="T23" s="4">
        <v>15</v>
      </c>
      <c r="U23" s="4">
        <v>22</v>
      </c>
      <c r="V23" s="4">
        <f>IF(ISERROR(VLOOKUP($S$23,'TAR FIN'!$A$1:$O$85,15,0)),0,VLOOKUP($S$23,'TAR FIN'!$A$1:$O$85,15,0))</f>
        <v>64.150000000000006</v>
      </c>
      <c r="W23" s="4">
        <f>IF(ISERROR(VLOOKUP($T$23,'TAR FIN'!$A$1:$O$85,15,0)),0,VLOOKUP($T$23,'TAR FIN'!$A$1:$O$85,15,0))</f>
        <v>80.73</v>
      </c>
      <c r="X23" s="4">
        <f>IF(ISERROR(VLOOKUP($U$23,'TAR FIN'!$A$1:$O$85,15,0)),0,VLOOKUP($U$23,'TAR FIN'!$A$1:$O$85,15,0))</f>
        <v>291.85000000000002</v>
      </c>
      <c r="Y23" s="4">
        <f ca="1">('TUSD BE'!$AM$5+'TUSD BF'!$AM$5+'TUSD CVA'!$AM$5)*1</f>
        <v>63.563812830009482</v>
      </c>
      <c r="Z23" s="4">
        <f ca="1">('TUSD BE'!$AM$7+'TUSD BF'!$AM$7+'TUSD CVA'!$AM$7)*1</f>
        <v>111.74556842703541</v>
      </c>
      <c r="AA23" s="4">
        <f>('TE BE'!$AB$5+'TE BF'!$AB$5+'TE CVA'!$AB$5)*1</f>
        <v>213.77329191067864</v>
      </c>
      <c r="AB23" s="4">
        <f>$K$23*$V$23</f>
        <v>1988.65</v>
      </c>
      <c r="AC23" s="4">
        <f>$M$23*$W$23</f>
        <v>96.230159999999998</v>
      </c>
      <c r="AD23" s="4">
        <f>$O$23*$X$23</f>
        <v>347.8852</v>
      </c>
      <c r="AE23" s="4">
        <f ca="1">$K$23*$Y$23</f>
        <v>1970.4781977302939</v>
      </c>
      <c r="AF23" s="4">
        <f ca="1">$M$23*$Z$23</f>
        <v>133.2007175650262</v>
      </c>
      <c r="AG23" s="4">
        <f>$O$23*$AA$23</f>
        <v>254.81776395752891</v>
      </c>
    </row>
    <row r="24" spans="1:33" ht="11.25" customHeight="1" x14ac:dyDescent="0.3">
      <c r="A24" s="3" t="s">
        <v>21</v>
      </c>
      <c r="B24" s="3" t="s">
        <v>34</v>
      </c>
      <c r="C24" s="3" t="s">
        <v>35</v>
      </c>
      <c r="D24" s="3" t="s">
        <v>33</v>
      </c>
      <c r="E24" s="3" t="s">
        <v>25</v>
      </c>
      <c r="F24" s="3" t="s">
        <v>25</v>
      </c>
      <c r="G24" s="3" t="s">
        <v>25</v>
      </c>
      <c r="H24" s="3" t="s">
        <v>36</v>
      </c>
      <c r="I24" s="6">
        <v>44743</v>
      </c>
      <c r="J24" s="4">
        <v>31</v>
      </c>
      <c r="K24" s="4">
        <v>31</v>
      </c>
      <c r="L24" s="4">
        <v>1.278</v>
      </c>
      <c r="M24" s="4">
        <v>1.278</v>
      </c>
      <c r="N24" s="4">
        <v>1.278</v>
      </c>
      <c r="O24" s="4">
        <v>1.278</v>
      </c>
      <c r="P24" s="4">
        <v>0</v>
      </c>
      <c r="Q24" s="3" t="s">
        <v>26</v>
      </c>
      <c r="R24" s="3">
        <v>0</v>
      </c>
      <c r="S24" s="4">
        <v>7</v>
      </c>
      <c r="T24" s="4">
        <v>15</v>
      </c>
      <c r="U24" s="4">
        <v>22</v>
      </c>
      <c r="V24" s="4">
        <f>IF(ISERROR(VLOOKUP($S$24,'TAR FIN'!$A$1:$O$85,15,0)),0,VLOOKUP($S$24,'TAR FIN'!$A$1:$O$85,15,0))</f>
        <v>64.150000000000006</v>
      </c>
      <c r="W24" s="4">
        <f>IF(ISERROR(VLOOKUP($T$24,'TAR FIN'!$A$1:$O$85,15,0)),0,VLOOKUP($T$24,'TAR FIN'!$A$1:$O$85,15,0))</f>
        <v>80.73</v>
      </c>
      <c r="X24" s="4">
        <f>IF(ISERROR(VLOOKUP($U$24,'TAR FIN'!$A$1:$O$85,15,0)),0,VLOOKUP($U$24,'TAR FIN'!$A$1:$O$85,15,0))</f>
        <v>291.85000000000002</v>
      </c>
      <c r="Y24" s="4">
        <f ca="1">('TUSD BE'!$AM$5+'TUSD BF'!$AM$5+'TUSD CVA'!$AM$5)*1</f>
        <v>63.563812830009482</v>
      </c>
      <c r="Z24" s="4">
        <f ca="1">('TUSD BE'!$AM$7+'TUSD BF'!$AM$7+'TUSD CVA'!$AM$7)*1</f>
        <v>111.74556842703541</v>
      </c>
      <c r="AA24" s="4">
        <f>('TE BE'!$AB$5+'TE BF'!$AB$5+'TE CVA'!$AB$5)*1</f>
        <v>213.77329191067864</v>
      </c>
      <c r="AB24" s="4">
        <f>$K$24*$V$24</f>
        <v>1988.65</v>
      </c>
      <c r="AC24" s="4">
        <f>$M$24*$W$24</f>
        <v>103.17294000000001</v>
      </c>
      <c r="AD24" s="4">
        <f>$O$24*$X$24</f>
        <v>372.98430000000002</v>
      </c>
      <c r="AE24" s="4">
        <f ca="1">$K$24*$Y$24</f>
        <v>1970.4781977302939</v>
      </c>
      <c r="AF24" s="4">
        <f ca="1">$M$24*$Z$24</f>
        <v>142.81083644975126</v>
      </c>
      <c r="AG24" s="4">
        <f>$O$24*$AA$24</f>
        <v>273.20226706184729</v>
      </c>
    </row>
    <row r="25" spans="1:33" ht="11.25" customHeight="1" x14ac:dyDescent="0.3">
      <c r="A25" s="3" t="s">
        <v>53</v>
      </c>
      <c r="B25" s="3" t="s">
        <v>34</v>
      </c>
      <c r="C25" s="3" t="s">
        <v>35</v>
      </c>
      <c r="D25" s="3" t="s">
        <v>33</v>
      </c>
      <c r="E25" s="3" t="s">
        <v>25</v>
      </c>
      <c r="F25" s="3" t="s">
        <v>25</v>
      </c>
      <c r="G25" s="3" t="s">
        <v>25</v>
      </c>
      <c r="H25" s="3" t="s">
        <v>36</v>
      </c>
      <c r="I25" s="6">
        <v>44774</v>
      </c>
      <c r="J25" s="4">
        <v>31</v>
      </c>
      <c r="K25" s="4">
        <v>31</v>
      </c>
      <c r="L25" s="4">
        <v>1.278</v>
      </c>
      <c r="M25" s="4">
        <v>1.278</v>
      </c>
      <c r="N25" s="4">
        <v>1.278</v>
      </c>
      <c r="O25" s="4">
        <v>1.278</v>
      </c>
      <c r="P25" s="4">
        <v>0</v>
      </c>
      <c r="Q25" s="3" t="s">
        <v>26</v>
      </c>
      <c r="R25" s="3">
        <v>0</v>
      </c>
      <c r="S25" s="4">
        <v>7</v>
      </c>
      <c r="T25" s="4">
        <v>15</v>
      </c>
      <c r="U25" s="4">
        <v>22</v>
      </c>
      <c r="V25" s="4">
        <f>IF(ISERROR(VLOOKUP($S$25,'TAR FIN'!$A$1:$O$85,15,0)),0,VLOOKUP($S$25,'TAR FIN'!$A$1:$O$85,15,0))</f>
        <v>64.150000000000006</v>
      </c>
      <c r="W25" s="4">
        <f>IF(ISERROR(VLOOKUP($T$25,'TAR FIN'!$A$1:$O$85,15,0)),0,VLOOKUP($T$25,'TAR FIN'!$A$1:$O$85,15,0))</f>
        <v>80.73</v>
      </c>
      <c r="X25" s="4">
        <f>IF(ISERROR(VLOOKUP($U$25,'TAR FIN'!$A$1:$O$85,15,0)),0,VLOOKUP($U$25,'TAR FIN'!$A$1:$O$85,15,0))</f>
        <v>291.85000000000002</v>
      </c>
      <c r="Y25" s="4">
        <f ca="1">('TUSD BE'!$AM$5+'TUSD BF'!$AM$5+'TUSD CVA'!$AM$5)*1</f>
        <v>63.563812830009482</v>
      </c>
      <c r="Z25" s="4">
        <f ca="1">('TUSD BE'!$AM$7+'TUSD BF'!$AM$7+'TUSD CVA'!$AM$7)*1</f>
        <v>111.74556842703541</v>
      </c>
      <c r="AA25" s="4">
        <f>('TE BE'!$AB$5+'TE BF'!$AB$5+'TE CVA'!$AB$5)*1</f>
        <v>213.77329191067864</v>
      </c>
      <c r="AB25" s="4">
        <f>$K$25*$V$25</f>
        <v>1988.65</v>
      </c>
      <c r="AC25" s="4">
        <f>$M$25*$W$25</f>
        <v>103.17294000000001</v>
      </c>
      <c r="AD25" s="4">
        <f>$O$25*$X$25</f>
        <v>372.98430000000002</v>
      </c>
      <c r="AE25" s="4">
        <f ca="1">$K$25*$Y$25</f>
        <v>1970.4781977302939</v>
      </c>
      <c r="AF25" s="4">
        <f ca="1">$M$25*$Z$25</f>
        <v>142.81083644975126</v>
      </c>
      <c r="AG25" s="4">
        <f>$O$25*$AA$25</f>
        <v>273.20226706184729</v>
      </c>
    </row>
    <row r="26" spans="1:33" ht="11.25" customHeight="1" x14ac:dyDescent="0.3">
      <c r="A26" s="3" t="s">
        <v>21</v>
      </c>
      <c r="B26" s="3" t="s">
        <v>34</v>
      </c>
      <c r="C26" s="3" t="s">
        <v>56</v>
      </c>
      <c r="D26" s="3" t="s">
        <v>25</v>
      </c>
      <c r="E26" s="3" t="s">
        <v>25</v>
      </c>
      <c r="F26" s="3" t="s">
        <v>25</v>
      </c>
      <c r="G26" s="3" t="s">
        <v>57</v>
      </c>
      <c r="H26" s="3" t="s">
        <v>25</v>
      </c>
      <c r="I26" s="6">
        <v>44440</v>
      </c>
      <c r="J26" s="4">
        <v>6000</v>
      </c>
      <c r="K26" s="4">
        <v>3000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 t="s">
        <v>58</v>
      </c>
      <c r="R26" s="3">
        <v>659</v>
      </c>
      <c r="S26" s="4">
        <v>1</v>
      </c>
      <c r="T26" s="4">
        <v>0</v>
      </c>
      <c r="U26" s="4">
        <v>0</v>
      </c>
      <c r="V26" s="4">
        <f>IF(ISERROR(VLOOKUP($S$26,'TAR FIN'!$A$1:$O$85,15,0)),0,VLOOKUP($S$26,'TAR FIN'!$A$1:$O$85,15,0))</f>
        <v>5.7</v>
      </c>
      <c r="W26" s="4">
        <f>IF(ISERROR(VLOOKUP($T$26,'TAR FIN'!$A$1:$O$85,15,0)),0,VLOOKUP($T$26,'TAR FIN'!$A$1:$O$85,15,0))</f>
        <v>0</v>
      </c>
      <c r="X26" s="4">
        <f>IF(ISERROR(VLOOKUP($U$26,'TAR FIN'!$A$1:$O$85,15,0)),0,VLOOKUP($U$26,'TAR FIN'!$A$1:$O$85,15,0))</f>
        <v>0</v>
      </c>
      <c r="Y26" s="4">
        <f ca="1">('TUSD BE'!$AM$9+'TUSD BF'!$AM$9+'TUSD CVA'!$AM$9)*1</f>
        <v>6.7679680991043316</v>
      </c>
      <c r="Z26" s="4"/>
      <c r="AA26" s="4"/>
      <c r="AB26" s="4">
        <f>$K$26*$V$26</f>
        <v>17100</v>
      </c>
      <c r="AC26" s="4">
        <f>$M$26*$W$26</f>
        <v>0</v>
      </c>
      <c r="AD26" s="4">
        <f>$O$26*$X$26</f>
        <v>0</v>
      </c>
      <c r="AE26" s="4">
        <f ca="1">$K$26*$Y$26</f>
        <v>20303.904297312994</v>
      </c>
      <c r="AF26" s="4">
        <f>$M$26*$Z$26</f>
        <v>0</v>
      </c>
      <c r="AG26" s="4">
        <f>$O$26*$AA$26</f>
        <v>0</v>
      </c>
    </row>
    <row r="27" spans="1:33" ht="11.25" customHeight="1" x14ac:dyDescent="0.3">
      <c r="A27" s="3" t="s">
        <v>21</v>
      </c>
      <c r="B27" s="3" t="s">
        <v>34</v>
      </c>
      <c r="C27" s="3" t="s">
        <v>56</v>
      </c>
      <c r="D27" s="3" t="s">
        <v>25</v>
      </c>
      <c r="E27" s="3" t="s">
        <v>25</v>
      </c>
      <c r="F27" s="3" t="s">
        <v>25</v>
      </c>
      <c r="G27" s="3" t="s">
        <v>59</v>
      </c>
      <c r="H27" s="3" t="s">
        <v>25</v>
      </c>
      <c r="I27" s="6">
        <v>44440</v>
      </c>
      <c r="J27" s="4">
        <v>833</v>
      </c>
      <c r="K27" s="4">
        <v>416.5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3" t="s">
        <v>58</v>
      </c>
      <c r="R27" s="3">
        <v>29592</v>
      </c>
      <c r="S27" s="4">
        <v>1</v>
      </c>
      <c r="T27" s="4">
        <v>0</v>
      </c>
      <c r="U27" s="4">
        <v>0</v>
      </c>
      <c r="V27" s="4">
        <f>IF(ISERROR(VLOOKUP($S$27,'TAR FIN'!$A$1:$O$85,15,0)),0,VLOOKUP($S$27,'TAR FIN'!$A$1:$O$85,15,0))</f>
        <v>5.7</v>
      </c>
      <c r="W27" s="4">
        <f>IF(ISERROR(VLOOKUP($T$27,'TAR FIN'!$A$1:$O$85,15,0)),0,VLOOKUP($T$27,'TAR FIN'!$A$1:$O$85,15,0))</f>
        <v>0</v>
      </c>
      <c r="X27" s="4">
        <f>IF(ISERROR(VLOOKUP($U$27,'TAR FIN'!$A$1:$O$85,15,0)),0,VLOOKUP($U$27,'TAR FIN'!$A$1:$O$85,15,0))</f>
        <v>0</v>
      </c>
      <c r="Y27" s="4">
        <f ca="1">('TUSD BE'!$AM$9+'TUSD BF'!$AM$9+'TUSD CVA'!$AM$9)*1</f>
        <v>6.7679680991043316</v>
      </c>
      <c r="Z27" s="4"/>
      <c r="AA27" s="4"/>
      <c r="AB27" s="4">
        <f>$K$27*$V$27</f>
        <v>2374.0500000000002</v>
      </c>
      <c r="AC27" s="4">
        <f>$M$27*$W$27</f>
        <v>0</v>
      </c>
      <c r="AD27" s="4">
        <f>$O$27*$X$27</f>
        <v>0</v>
      </c>
      <c r="AE27" s="4">
        <f ca="1">$K$27*$Y$27</f>
        <v>2818.8587132769539</v>
      </c>
      <c r="AF27" s="4">
        <f>$M$27*$Z$27</f>
        <v>0</v>
      </c>
      <c r="AG27" s="4">
        <f>$O$27*$AA$27</f>
        <v>0</v>
      </c>
    </row>
    <row r="28" spans="1:33" ht="11.25" customHeight="1" x14ac:dyDescent="0.3">
      <c r="A28" s="3" t="s">
        <v>21</v>
      </c>
      <c r="B28" s="3" t="s">
        <v>34</v>
      </c>
      <c r="C28" s="3" t="s">
        <v>56</v>
      </c>
      <c r="D28" s="3" t="s">
        <v>25</v>
      </c>
      <c r="E28" s="3" t="s">
        <v>25</v>
      </c>
      <c r="F28" s="3" t="s">
        <v>25</v>
      </c>
      <c r="G28" s="3" t="s">
        <v>60</v>
      </c>
      <c r="H28" s="3" t="s">
        <v>25</v>
      </c>
      <c r="I28" s="6">
        <v>44440</v>
      </c>
      <c r="J28" s="4">
        <v>1000</v>
      </c>
      <c r="K28" s="4">
        <v>500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3" t="s">
        <v>58</v>
      </c>
      <c r="R28" s="3">
        <v>30368</v>
      </c>
      <c r="S28" s="4">
        <v>1</v>
      </c>
      <c r="T28" s="4">
        <v>0</v>
      </c>
      <c r="U28" s="4">
        <v>0</v>
      </c>
      <c r="V28" s="4">
        <f>IF(ISERROR(VLOOKUP($S$28,'TAR FIN'!$A$1:$O$85,15,0)),0,VLOOKUP($S$28,'TAR FIN'!$A$1:$O$85,15,0))</f>
        <v>5.7</v>
      </c>
      <c r="W28" s="4">
        <f>IF(ISERROR(VLOOKUP($T$28,'TAR FIN'!$A$1:$O$85,15,0)),0,VLOOKUP($T$28,'TAR FIN'!$A$1:$O$85,15,0))</f>
        <v>0</v>
      </c>
      <c r="X28" s="4">
        <f>IF(ISERROR(VLOOKUP($U$28,'TAR FIN'!$A$1:$O$85,15,0)),0,VLOOKUP($U$28,'TAR FIN'!$A$1:$O$85,15,0))</f>
        <v>0</v>
      </c>
      <c r="Y28" s="4">
        <f ca="1">('TUSD BE'!$AM$9+'TUSD BF'!$AM$9+'TUSD CVA'!$AM$9)*1</f>
        <v>6.7679680991043316</v>
      </c>
      <c r="Z28" s="4"/>
      <c r="AA28" s="4"/>
      <c r="AB28" s="4">
        <f>$K$28*$V$28</f>
        <v>2850</v>
      </c>
      <c r="AC28" s="4">
        <f>$M$28*$W$28</f>
        <v>0</v>
      </c>
      <c r="AD28" s="4">
        <f>$O$28*$X$28</f>
        <v>0</v>
      </c>
      <c r="AE28" s="4">
        <f ca="1">$K$28*$Y$28</f>
        <v>3383.9840495521657</v>
      </c>
      <c r="AF28" s="4">
        <f>$M$28*$Z$28</f>
        <v>0</v>
      </c>
      <c r="AG28" s="4">
        <f>$O$28*$AA$28</f>
        <v>0</v>
      </c>
    </row>
    <row r="29" spans="1:33" ht="11.25" customHeight="1" x14ac:dyDescent="0.3">
      <c r="A29" s="3" t="s">
        <v>21</v>
      </c>
      <c r="B29" s="3" t="s">
        <v>34</v>
      </c>
      <c r="C29" s="3" t="s">
        <v>56</v>
      </c>
      <c r="D29" s="3" t="s">
        <v>25</v>
      </c>
      <c r="E29" s="3" t="s">
        <v>25</v>
      </c>
      <c r="F29" s="3" t="s">
        <v>25</v>
      </c>
      <c r="G29" s="3" t="s">
        <v>61</v>
      </c>
      <c r="H29" s="3" t="s">
        <v>25</v>
      </c>
      <c r="I29" s="6">
        <v>44440</v>
      </c>
      <c r="J29" s="4">
        <v>3130</v>
      </c>
      <c r="K29" s="4">
        <v>1565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3" t="s">
        <v>58</v>
      </c>
      <c r="R29" s="3">
        <v>30494</v>
      </c>
      <c r="S29" s="4">
        <v>1</v>
      </c>
      <c r="T29" s="4">
        <v>0</v>
      </c>
      <c r="U29" s="4">
        <v>0</v>
      </c>
      <c r="V29" s="4">
        <f>IF(ISERROR(VLOOKUP($S$29,'TAR FIN'!$A$1:$O$85,15,0)),0,VLOOKUP($S$29,'TAR FIN'!$A$1:$O$85,15,0))</f>
        <v>5.7</v>
      </c>
      <c r="W29" s="4">
        <f>IF(ISERROR(VLOOKUP($T$29,'TAR FIN'!$A$1:$O$85,15,0)),0,VLOOKUP($T$29,'TAR FIN'!$A$1:$O$85,15,0))</f>
        <v>0</v>
      </c>
      <c r="X29" s="4">
        <f>IF(ISERROR(VLOOKUP($U$29,'TAR FIN'!$A$1:$O$85,15,0)),0,VLOOKUP($U$29,'TAR FIN'!$A$1:$O$85,15,0))</f>
        <v>0</v>
      </c>
      <c r="Y29" s="4">
        <f ca="1">('TUSD BE'!$AM$9+'TUSD BF'!$AM$9+'TUSD CVA'!$AM$9)*1</f>
        <v>6.7679680991043316</v>
      </c>
      <c r="Z29" s="4"/>
      <c r="AA29" s="4"/>
      <c r="AB29" s="4">
        <f>$K$29*$V$29</f>
        <v>8920.5</v>
      </c>
      <c r="AC29" s="4">
        <f>$M$29*$W$29</f>
        <v>0</v>
      </c>
      <c r="AD29" s="4">
        <f>$O$29*$X$29</f>
        <v>0</v>
      </c>
      <c r="AE29" s="4">
        <f ca="1">$K$29*$Y$29</f>
        <v>10591.870075098279</v>
      </c>
      <c r="AF29" s="4">
        <f>$M$29*$Z$29</f>
        <v>0</v>
      </c>
      <c r="AG29" s="4">
        <f>$O$29*$AA$29</f>
        <v>0</v>
      </c>
    </row>
    <row r="30" spans="1:33" ht="11.25" customHeight="1" x14ac:dyDescent="0.3">
      <c r="A30" s="3" t="s">
        <v>21</v>
      </c>
      <c r="B30" s="3" t="s">
        <v>34</v>
      </c>
      <c r="C30" s="3" t="s">
        <v>56</v>
      </c>
      <c r="D30" s="3" t="s">
        <v>25</v>
      </c>
      <c r="E30" s="3" t="s">
        <v>25</v>
      </c>
      <c r="F30" s="3" t="s">
        <v>25</v>
      </c>
      <c r="G30" s="3" t="s">
        <v>62</v>
      </c>
      <c r="H30" s="3" t="s">
        <v>25</v>
      </c>
      <c r="I30" s="6">
        <v>44440</v>
      </c>
      <c r="J30" s="4">
        <v>500</v>
      </c>
      <c r="K30" s="4">
        <v>250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3" t="s">
        <v>58</v>
      </c>
      <c r="R30" s="3">
        <v>27182</v>
      </c>
      <c r="S30" s="4">
        <v>1</v>
      </c>
      <c r="T30" s="4">
        <v>0</v>
      </c>
      <c r="U30" s="4">
        <v>0</v>
      </c>
      <c r="V30" s="4">
        <f>IF(ISERROR(VLOOKUP($S$30,'TAR FIN'!$A$1:$O$85,15,0)),0,VLOOKUP($S$30,'TAR FIN'!$A$1:$O$85,15,0))</f>
        <v>5.7</v>
      </c>
      <c r="W30" s="4">
        <f>IF(ISERROR(VLOOKUP($T$30,'TAR FIN'!$A$1:$O$85,15,0)),0,VLOOKUP($T$30,'TAR FIN'!$A$1:$O$85,15,0))</f>
        <v>0</v>
      </c>
      <c r="X30" s="4">
        <f>IF(ISERROR(VLOOKUP($U$30,'TAR FIN'!$A$1:$O$85,15,0)),0,VLOOKUP($U$30,'TAR FIN'!$A$1:$O$85,15,0))</f>
        <v>0</v>
      </c>
      <c r="Y30" s="4">
        <f ca="1">('TUSD BE'!$AM$9+'TUSD BF'!$AM$9+'TUSD CVA'!$AM$9)*1</f>
        <v>6.7679680991043316</v>
      </c>
      <c r="Z30" s="4"/>
      <c r="AA30" s="4"/>
      <c r="AB30" s="4">
        <f>$K$30*$V$30</f>
        <v>1425</v>
      </c>
      <c r="AC30" s="4">
        <f>$M$30*$W$30</f>
        <v>0</v>
      </c>
      <c r="AD30" s="4">
        <f>$O$30*$X$30</f>
        <v>0</v>
      </c>
      <c r="AE30" s="4">
        <f ca="1">$K$30*$Y$30</f>
        <v>1691.9920247760829</v>
      </c>
      <c r="AF30" s="4">
        <f>$M$30*$Z$30</f>
        <v>0</v>
      </c>
      <c r="AG30" s="4">
        <f>$O$30*$AA$30</f>
        <v>0</v>
      </c>
    </row>
    <row r="31" spans="1:33" ht="11.25" customHeight="1" x14ac:dyDescent="0.3">
      <c r="A31" s="3" t="s">
        <v>21</v>
      </c>
      <c r="B31" s="3" t="s">
        <v>34</v>
      </c>
      <c r="C31" s="3" t="s">
        <v>56</v>
      </c>
      <c r="D31" s="3" t="s">
        <v>25</v>
      </c>
      <c r="E31" s="3" t="s">
        <v>25</v>
      </c>
      <c r="F31" s="3" t="s">
        <v>25</v>
      </c>
      <c r="G31" s="3" t="s">
        <v>57</v>
      </c>
      <c r="H31" s="3" t="s">
        <v>25</v>
      </c>
      <c r="I31" s="6">
        <v>44470</v>
      </c>
      <c r="J31" s="4">
        <v>6000</v>
      </c>
      <c r="K31" s="4">
        <v>3000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3" t="s">
        <v>58</v>
      </c>
      <c r="R31" s="3">
        <v>659</v>
      </c>
      <c r="S31" s="4">
        <v>1</v>
      </c>
      <c r="T31" s="4">
        <v>0</v>
      </c>
      <c r="U31" s="4">
        <v>0</v>
      </c>
      <c r="V31" s="4">
        <f>IF(ISERROR(VLOOKUP($S$31,'TAR FIN'!$A$1:$O$85,15,0)),0,VLOOKUP($S$31,'TAR FIN'!$A$1:$O$85,15,0))</f>
        <v>5.7</v>
      </c>
      <c r="W31" s="4">
        <f>IF(ISERROR(VLOOKUP($T$31,'TAR FIN'!$A$1:$O$85,15,0)),0,VLOOKUP($T$31,'TAR FIN'!$A$1:$O$85,15,0))</f>
        <v>0</v>
      </c>
      <c r="X31" s="4">
        <f>IF(ISERROR(VLOOKUP($U$31,'TAR FIN'!$A$1:$O$85,15,0)),0,VLOOKUP($U$31,'TAR FIN'!$A$1:$O$85,15,0))</f>
        <v>0</v>
      </c>
      <c r="Y31" s="4">
        <f ca="1">('TUSD BE'!$AM$9+'TUSD BF'!$AM$9+'TUSD CVA'!$AM$9)*1</f>
        <v>6.7679680991043316</v>
      </c>
      <c r="Z31" s="4"/>
      <c r="AA31" s="4"/>
      <c r="AB31" s="4">
        <f>$K$31*$V$31</f>
        <v>17100</v>
      </c>
      <c r="AC31" s="4">
        <f>$M$31*$W$31</f>
        <v>0</v>
      </c>
      <c r="AD31" s="4">
        <f>$O$31*$X$31</f>
        <v>0</v>
      </c>
      <c r="AE31" s="4">
        <f ca="1">$K$31*$Y$31</f>
        <v>20303.904297312994</v>
      </c>
      <c r="AF31" s="4">
        <f>$M$31*$Z$31</f>
        <v>0</v>
      </c>
      <c r="AG31" s="4">
        <f>$O$31*$AA$31</f>
        <v>0</v>
      </c>
    </row>
    <row r="32" spans="1:33" ht="11.25" customHeight="1" x14ac:dyDescent="0.3">
      <c r="A32" s="3" t="s">
        <v>21</v>
      </c>
      <c r="B32" s="3" t="s">
        <v>34</v>
      </c>
      <c r="C32" s="3" t="s">
        <v>56</v>
      </c>
      <c r="D32" s="3" t="s">
        <v>25</v>
      </c>
      <c r="E32" s="3" t="s">
        <v>25</v>
      </c>
      <c r="F32" s="3" t="s">
        <v>25</v>
      </c>
      <c r="G32" s="3" t="s">
        <v>59</v>
      </c>
      <c r="H32" s="3" t="s">
        <v>25</v>
      </c>
      <c r="I32" s="6">
        <v>44470</v>
      </c>
      <c r="J32" s="4">
        <v>833</v>
      </c>
      <c r="K32" s="4">
        <v>416.5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3" t="s">
        <v>58</v>
      </c>
      <c r="R32" s="3">
        <v>29592</v>
      </c>
      <c r="S32" s="4">
        <v>1</v>
      </c>
      <c r="T32" s="4">
        <v>0</v>
      </c>
      <c r="U32" s="4">
        <v>0</v>
      </c>
      <c r="V32" s="4">
        <f>IF(ISERROR(VLOOKUP($S$32,'TAR FIN'!$A$1:$O$85,15,0)),0,VLOOKUP($S$32,'TAR FIN'!$A$1:$O$85,15,0))</f>
        <v>5.7</v>
      </c>
      <c r="W32" s="4">
        <f>IF(ISERROR(VLOOKUP($T$32,'TAR FIN'!$A$1:$O$85,15,0)),0,VLOOKUP($T$32,'TAR FIN'!$A$1:$O$85,15,0))</f>
        <v>0</v>
      </c>
      <c r="X32" s="4">
        <f>IF(ISERROR(VLOOKUP($U$32,'TAR FIN'!$A$1:$O$85,15,0)),0,VLOOKUP($U$32,'TAR FIN'!$A$1:$O$85,15,0))</f>
        <v>0</v>
      </c>
      <c r="Y32" s="4">
        <f ca="1">('TUSD BE'!$AM$9+'TUSD BF'!$AM$9+'TUSD CVA'!$AM$9)*1</f>
        <v>6.7679680991043316</v>
      </c>
      <c r="Z32" s="4"/>
      <c r="AA32" s="4"/>
      <c r="AB32" s="4">
        <f>$K$32*$V$32</f>
        <v>2374.0500000000002</v>
      </c>
      <c r="AC32" s="4">
        <f>$M$32*$W$32</f>
        <v>0</v>
      </c>
      <c r="AD32" s="4">
        <f>$O$32*$X$32</f>
        <v>0</v>
      </c>
      <c r="AE32" s="4">
        <f ca="1">$K$32*$Y$32</f>
        <v>2818.8587132769539</v>
      </c>
      <c r="AF32" s="4">
        <f>$M$32*$Z$32</f>
        <v>0</v>
      </c>
      <c r="AG32" s="4">
        <f>$O$32*$AA$32</f>
        <v>0</v>
      </c>
    </row>
    <row r="33" spans="1:33" ht="11.25" customHeight="1" x14ac:dyDescent="0.3">
      <c r="A33" s="3" t="s">
        <v>21</v>
      </c>
      <c r="B33" s="3" t="s">
        <v>34</v>
      </c>
      <c r="C33" s="3" t="s">
        <v>56</v>
      </c>
      <c r="D33" s="3" t="s">
        <v>25</v>
      </c>
      <c r="E33" s="3" t="s">
        <v>25</v>
      </c>
      <c r="F33" s="3" t="s">
        <v>25</v>
      </c>
      <c r="G33" s="3" t="s">
        <v>60</v>
      </c>
      <c r="H33" s="3" t="s">
        <v>25</v>
      </c>
      <c r="I33" s="6">
        <v>44470</v>
      </c>
      <c r="J33" s="4">
        <v>1000</v>
      </c>
      <c r="K33" s="4">
        <v>500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 t="s">
        <v>58</v>
      </c>
      <c r="R33" s="3">
        <v>30368</v>
      </c>
      <c r="S33" s="4">
        <v>1</v>
      </c>
      <c r="T33" s="4">
        <v>0</v>
      </c>
      <c r="U33" s="4">
        <v>0</v>
      </c>
      <c r="V33" s="4">
        <f>IF(ISERROR(VLOOKUP($S$33,'TAR FIN'!$A$1:$O$85,15,0)),0,VLOOKUP($S$33,'TAR FIN'!$A$1:$O$85,15,0))</f>
        <v>5.7</v>
      </c>
      <c r="W33" s="4">
        <f>IF(ISERROR(VLOOKUP($T$33,'TAR FIN'!$A$1:$O$85,15,0)),0,VLOOKUP($T$33,'TAR FIN'!$A$1:$O$85,15,0))</f>
        <v>0</v>
      </c>
      <c r="X33" s="4">
        <f>IF(ISERROR(VLOOKUP($U$33,'TAR FIN'!$A$1:$O$85,15,0)),0,VLOOKUP($U$33,'TAR FIN'!$A$1:$O$85,15,0))</f>
        <v>0</v>
      </c>
      <c r="Y33" s="4">
        <f ca="1">('TUSD BE'!$AM$9+'TUSD BF'!$AM$9+'TUSD CVA'!$AM$9)*1</f>
        <v>6.7679680991043316</v>
      </c>
      <c r="Z33" s="4"/>
      <c r="AA33" s="4"/>
      <c r="AB33" s="4">
        <f>$K$33*$V$33</f>
        <v>2850</v>
      </c>
      <c r="AC33" s="4">
        <f>$M$33*$W$33</f>
        <v>0</v>
      </c>
      <c r="AD33" s="4">
        <f>$O$33*$X$33</f>
        <v>0</v>
      </c>
      <c r="AE33" s="4">
        <f ca="1">$K$33*$Y$33</f>
        <v>3383.9840495521657</v>
      </c>
      <c r="AF33" s="4">
        <f>$M$33*$Z$33</f>
        <v>0</v>
      </c>
      <c r="AG33" s="4">
        <f>$O$33*$AA$33</f>
        <v>0</v>
      </c>
    </row>
    <row r="34" spans="1:33" ht="11.25" customHeight="1" x14ac:dyDescent="0.3">
      <c r="A34" s="3" t="s">
        <v>21</v>
      </c>
      <c r="B34" s="3" t="s">
        <v>34</v>
      </c>
      <c r="C34" s="3" t="s">
        <v>56</v>
      </c>
      <c r="D34" s="3" t="s">
        <v>25</v>
      </c>
      <c r="E34" s="3" t="s">
        <v>25</v>
      </c>
      <c r="F34" s="3" t="s">
        <v>25</v>
      </c>
      <c r="G34" s="3" t="s">
        <v>61</v>
      </c>
      <c r="H34" s="3" t="s">
        <v>25</v>
      </c>
      <c r="I34" s="6">
        <v>44470</v>
      </c>
      <c r="J34" s="4">
        <v>3130</v>
      </c>
      <c r="K34" s="4">
        <v>1565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3" t="s">
        <v>58</v>
      </c>
      <c r="R34" s="3">
        <v>30494</v>
      </c>
      <c r="S34" s="4">
        <v>1</v>
      </c>
      <c r="T34" s="4">
        <v>0</v>
      </c>
      <c r="U34" s="4">
        <v>0</v>
      </c>
      <c r="V34" s="4">
        <f>IF(ISERROR(VLOOKUP($S$34,'TAR FIN'!$A$1:$O$85,15,0)),0,VLOOKUP($S$34,'TAR FIN'!$A$1:$O$85,15,0))</f>
        <v>5.7</v>
      </c>
      <c r="W34" s="4">
        <f>IF(ISERROR(VLOOKUP($T$34,'TAR FIN'!$A$1:$O$85,15,0)),0,VLOOKUP($T$34,'TAR FIN'!$A$1:$O$85,15,0))</f>
        <v>0</v>
      </c>
      <c r="X34" s="4">
        <f>IF(ISERROR(VLOOKUP($U$34,'TAR FIN'!$A$1:$O$85,15,0)),0,VLOOKUP($U$34,'TAR FIN'!$A$1:$O$85,15,0))</f>
        <v>0</v>
      </c>
      <c r="Y34" s="4">
        <f ca="1">('TUSD BE'!$AM$9+'TUSD BF'!$AM$9+'TUSD CVA'!$AM$9)*1</f>
        <v>6.7679680991043316</v>
      </c>
      <c r="Z34" s="4"/>
      <c r="AA34" s="4"/>
      <c r="AB34" s="4">
        <f>$K$34*$V$34</f>
        <v>8920.5</v>
      </c>
      <c r="AC34" s="4">
        <f>$M$34*$W$34</f>
        <v>0</v>
      </c>
      <c r="AD34" s="4">
        <f>$O$34*$X$34</f>
        <v>0</v>
      </c>
      <c r="AE34" s="4">
        <f ca="1">$K$34*$Y$34</f>
        <v>10591.870075098279</v>
      </c>
      <c r="AF34" s="4">
        <f>$M$34*$Z$34</f>
        <v>0</v>
      </c>
      <c r="AG34" s="4">
        <f>$O$34*$AA$34</f>
        <v>0</v>
      </c>
    </row>
    <row r="35" spans="1:33" ht="11.25" customHeight="1" x14ac:dyDescent="0.3">
      <c r="A35" s="3" t="s">
        <v>21</v>
      </c>
      <c r="B35" s="3" t="s">
        <v>34</v>
      </c>
      <c r="C35" s="3" t="s">
        <v>56</v>
      </c>
      <c r="D35" s="3" t="s">
        <v>25</v>
      </c>
      <c r="E35" s="3" t="s">
        <v>25</v>
      </c>
      <c r="F35" s="3" t="s">
        <v>25</v>
      </c>
      <c r="G35" s="3" t="s">
        <v>62</v>
      </c>
      <c r="H35" s="3" t="s">
        <v>25</v>
      </c>
      <c r="I35" s="6">
        <v>44470</v>
      </c>
      <c r="J35" s="4">
        <v>500</v>
      </c>
      <c r="K35" s="4">
        <v>250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3" t="s">
        <v>58</v>
      </c>
      <c r="R35" s="3">
        <v>27182</v>
      </c>
      <c r="S35" s="4">
        <v>1</v>
      </c>
      <c r="T35" s="4">
        <v>0</v>
      </c>
      <c r="U35" s="4">
        <v>0</v>
      </c>
      <c r="V35" s="4">
        <f>IF(ISERROR(VLOOKUP($S$35,'TAR FIN'!$A$1:$O$85,15,0)),0,VLOOKUP($S$35,'TAR FIN'!$A$1:$O$85,15,0))</f>
        <v>5.7</v>
      </c>
      <c r="W35" s="4">
        <f>IF(ISERROR(VLOOKUP($T$35,'TAR FIN'!$A$1:$O$85,15,0)),0,VLOOKUP($T$35,'TAR FIN'!$A$1:$O$85,15,0))</f>
        <v>0</v>
      </c>
      <c r="X35" s="4">
        <f>IF(ISERROR(VLOOKUP($U$35,'TAR FIN'!$A$1:$O$85,15,0)),0,VLOOKUP($U$35,'TAR FIN'!$A$1:$O$85,15,0))</f>
        <v>0</v>
      </c>
      <c r="Y35" s="4">
        <f ca="1">('TUSD BE'!$AM$9+'TUSD BF'!$AM$9+'TUSD CVA'!$AM$9)*1</f>
        <v>6.7679680991043316</v>
      </c>
      <c r="Z35" s="4"/>
      <c r="AA35" s="4"/>
      <c r="AB35" s="4">
        <f>$K$35*$V$35</f>
        <v>1425</v>
      </c>
      <c r="AC35" s="4">
        <f>$M$35*$W$35</f>
        <v>0</v>
      </c>
      <c r="AD35" s="4">
        <f>$O$35*$X$35</f>
        <v>0</v>
      </c>
      <c r="AE35" s="4">
        <f ca="1">$K$35*$Y$35</f>
        <v>1691.9920247760829</v>
      </c>
      <c r="AF35" s="4">
        <f>$M$35*$Z$35</f>
        <v>0</v>
      </c>
      <c r="AG35" s="4">
        <f>$O$35*$AA$35</f>
        <v>0</v>
      </c>
    </row>
    <row r="36" spans="1:33" ht="11.25" customHeight="1" x14ac:dyDescent="0.3">
      <c r="A36" s="3" t="s">
        <v>21</v>
      </c>
      <c r="B36" s="3" t="s">
        <v>34</v>
      </c>
      <c r="C36" s="3" t="s">
        <v>56</v>
      </c>
      <c r="D36" s="3" t="s">
        <v>25</v>
      </c>
      <c r="E36" s="3" t="s">
        <v>25</v>
      </c>
      <c r="F36" s="3" t="s">
        <v>25</v>
      </c>
      <c r="G36" s="3" t="s">
        <v>57</v>
      </c>
      <c r="H36" s="3" t="s">
        <v>25</v>
      </c>
      <c r="I36" s="6">
        <v>44501</v>
      </c>
      <c r="J36" s="4">
        <v>6000</v>
      </c>
      <c r="K36" s="4">
        <v>3000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3" t="s">
        <v>58</v>
      </c>
      <c r="R36" s="3">
        <v>659</v>
      </c>
      <c r="S36" s="4">
        <v>1</v>
      </c>
      <c r="T36" s="4">
        <v>0</v>
      </c>
      <c r="U36" s="4">
        <v>0</v>
      </c>
      <c r="V36" s="4">
        <f>IF(ISERROR(VLOOKUP($S$36,'TAR FIN'!$A$1:$O$85,15,0)),0,VLOOKUP($S$36,'TAR FIN'!$A$1:$O$85,15,0))</f>
        <v>5.7</v>
      </c>
      <c r="W36" s="4">
        <f>IF(ISERROR(VLOOKUP($T$36,'TAR FIN'!$A$1:$O$85,15,0)),0,VLOOKUP($T$36,'TAR FIN'!$A$1:$O$85,15,0))</f>
        <v>0</v>
      </c>
      <c r="X36" s="4">
        <f>IF(ISERROR(VLOOKUP($U$36,'TAR FIN'!$A$1:$O$85,15,0)),0,VLOOKUP($U$36,'TAR FIN'!$A$1:$O$85,15,0))</f>
        <v>0</v>
      </c>
      <c r="Y36" s="4">
        <f ca="1">('TUSD BE'!$AM$9+'TUSD BF'!$AM$9+'TUSD CVA'!$AM$9)*1</f>
        <v>6.7679680991043316</v>
      </c>
      <c r="Z36" s="4"/>
      <c r="AA36" s="4"/>
      <c r="AB36" s="4">
        <f>$K$36*$V$36</f>
        <v>17100</v>
      </c>
      <c r="AC36" s="4">
        <f>$M$36*$W$36</f>
        <v>0</v>
      </c>
      <c r="AD36" s="4">
        <f>$O$36*$X$36</f>
        <v>0</v>
      </c>
      <c r="AE36" s="4">
        <f ca="1">$K$36*$Y$36</f>
        <v>20303.904297312994</v>
      </c>
      <c r="AF36" s="4">
        <f>$M$36*$Z$36</f>
        <v>0</v>
      </c>
      <c r="AG36" s="4">
        <f>$O$36*$AA$36</f>
        <v>0</v>
      </c>
    </row>
    <row r="37" spans="1:33" ht="11.25" customHeight="1" x14ac:dyDescent="0.3">
      <c r="A37" s="3" t="s">
        <v>21</v>
      </c>
      <c r="B37" s="3" t="s">
        <v>34</v>
      </c>
      <c r="C37" s="3" t="s">
        <v>56</v>
      </c>
      <c r="D37" s="3" t="s">
        <v>25</v>
      </c>
      <c r="E37" s="3" t="s">
        <v>25</v>
      </c>
      <c r="F37" s="3" t="s">
        <v>25</v>
      </c>
      <c r="G37" s="3" t="s">
        <v>59</v>
      </c>
      <c r="H37" s="3" t="s">
        <v>25</v>
      </c>
      <c r="I37" s="6">
        <v>44501</v>
      </c>
      <c r="J37" s="4">
        <v>833</v>
      </c>
      <c r="K37" s="4">
        <v>416.5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3" t="s">
        <v>58</v>
      </c>
      <c r="R37" s="3">
        <v>29592</v>
      </c>
      <c r="S37" s="4">
        <v>1</v>
      </c>
      <c r="T37" s="4">
        <v>0</v>
      </c>
      <c r="U37" s="4">
        <v>0</v>
      </c>
      <c r="V37" s="4">
        <f>IF(ISERROR(VLOOKUP($S$37,'TAR FIN'!$A$1:$O$85,15,0)),0,VLOOKUP($S$37,'TAR FIN'!$A$1:$O$85,15,0))</f>
        <v>5.7</v>
      </c>
      <c r="W37" s="4">
        <f>IF(ISERROR(VLOOKUP($T$37,'TAR FIN'!$A$1:$O$85,15,0)),0,VLOOKUP($T$37,'TAR FIN'!$A$1:$O$85,15,0))</f>
        <v>0</v>
      </c>
      <c r="X37" s="4">
        <f>IF(ISERROR(VLOOKUP($U$37,'TAR FIN'!$A$1:$O$85,15,0)),0,VLOOKUP($U$37,'TAR FIN'!$A$1:$O$85,15,0))</f>
        <v>0</v>
      </c>
      <c r="Y37" s="4">
        <f ca="1">('TUSD BE'!$AM$9+'TUSD BF'!$AM$9+'TUSD CVA'!$AM$9)*1</f>
        <v>6.7679680991043316</v>
      </c>
      <c r="Z37" s="4"/>
      <c r="AA37" s="4"/>
      <c r="AB37" s="4">
        <f>$K$37*$V$37</f>
        <v>2374.0500000000002</v>
      </c>
      <c r="AC37" s="4">
        <f>$M$37*$W$37</f>
        <v>0</v>
      </c>
      <c r="AD37" s="4">
        <f>$O$37*$X$37</f>
        <v>0</v>
      </c>
      <c r="AE37" s="4">
        <f ca="1">$K$37*$Y$37</f>
        <v>2818.8587132769539</v>
      </c>
      <c r="AF37" s="4">
        <f>$M$37*$Z$37</f>
        <v>0</v>
      </c>
      <c r="AG37" s="4">
        <f>$O$37*$AA$37</f>
        <v>0</v>
      </c>
    </row>
    <row r="38" spans="1:33" ht="11.25" customHeight="1" x14ac:dyDescent="0.3">
      <c r="A38" s="3" t="s">
        <v>21</v>
      </c>
      <c r="B38" s="3" t="s">
        <v>34</v>
      </c>
      <c r="C38" s="3" t="s">
        <v>56</v>
      </c>
      <c r="D38" s="3" t="s">
        <v>25</v>
      </c>
      <c r="E38" s="3" t="s">
        <v>25</v>
      </c>
      <c r="F38" s="3" t="s">
        <v>25</v>
      </c>
      <c r="G38" s="3" t="s">
        <v>60</v>
      </c>
      <c r="H38" s="3" t="s">
        <v>25</v>
      </c>
      <c r="I38" s="6">
        <v>44501</v>
      </c>
      <c r="J38" s="4">
        <v>1000</v>
      </c>
      <c r="K38" s="4">
        <v>500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3" t="s">
        <v>58</v>
      </c>
      <c r="R38" s="3">
        <v>30368</v>
      </c>
      <c r="S38" s="4">
        <v>1</v>
      </c>
      <c r="T38" s="4">
        <v>0</v>
      </c>
      <c r="U38" s="4">
        <v>0</v>
      </c>
      <c r="V38" s="4">
        <f>IF(ISERROR(VLOOKUP($S$38,'TAR FIN'!$A$1:$O$85,15,0)),0,VLOOKUP($S$38,'TAR FIN'!$A$1:$O$85,15,0))</f>
        <v>5.7</v>
      </c>
      <c r="W38" s="4">
        <f>IF(ISERROR(VLOOKUP($T$38,'TAR FIN'!$A$1:$O$85,15,0)),0,VLOOKUP($T$38,'TAR FIN'!$A$1:$O$85,15,0))</f>
        <v>0</v>
      </c>
      <c r="X38" s="4">
        <f>IF(ISERROR(VLOOKUP($U$38,'TAR FIN'!$A$1:$O$85,15,0)),0,VLOOKUP($U$38,'TAR FIN'!$A$1:$O$85,15,0))</f>
        <v>0</v>
      </c>
      <c r="Y38" s="4">
        <f ca="1">('TUSD BE'!$AM$9+'TUSD BF'!$AM$9+'TUSD CVA'!$AM$9)*1</f>
        <v>6.7679680991043316</v>
      </c>
      <c r="Z38" s="4"/>
      <c r="AA38" s="4"/>
      <c r="AB38" s="4">
        <f>$K$38*$V$38</f>
        <v>2850</v>
      </c>
      <c r="AC38" s="4">
        <f>$M$38*$W$38</f>
        <v>0</v>
      </c>
      <c r="AD38" s="4">
        <f>$O$38*$X$38</f>
        <v>0</v>
      </c>
      <c r="AE38" s="4">
        <f ca="1">$K$38*$Y$38</f>
        <v>3383.9840495521657</v>
      </c>
      <c r="AF38" s="4">
        <f>$M$38*$Z$38</f>
        <v>0</v>
      </c>
      <c r="AG38" s="4">
        <f>$O$38*$AA$38</f>
        <v>0</v>
      </c>
    </row>
    <row r="39" spans="1:33" ht="11.25" customHeight="1" x14ac:dyDescent="0.3">
      <c r="A39" s="3" t="s">
        <v>21</v>
      </c>
      <c r="B39" s="3" t="s">
        <v>34</v>
      </c>
      <c r="C39" s="3" t="s">
        <v>56</v>
      </c>
      <c r="D39" s="3" t="s">
        <v>25</v>
      </c>
      <c r="E39" s="3" t="s">
        <v>25</v>
      </c>
      <c r="F39" s="3" t="s">
        <v>25</v>
      </c>
      <c r="G39" s="3" t="s">
        <v>61</v>
      </c>
      <c r="H39" s="3" t="s">
        <v>25</v>
      </c>
      <c r="I39" s="6">
        <v>44501</v>
      </c>
      <c r="J39" s="4">
        <v>3130</v>
      </c>
      <c r="K39" s="4">
        <v>1565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3" t="s">
        <v>58</v>
      </c>
      <c r="R39" s="3">
        <v>30494</v>
      </c>
      <c r="S39" s="4">
        <v>1</v>
      </c>
      <c r="T39" s="4">
        <v>0</v>
      </c>
      <c r="U39" s="4">
        <v>0</v>
      </c>
      <c r="V39" s="4">
        <f>IF(ISERROR(VLOOKUP($S$39,'TAR FIN'!$A$1:$O$85,15,0)),0,VLOOKUP($S$39,'TAR FIN'!$A$1:$O$85,15,0))</f>
        <v>5.7</v>
      </c>
      <c r="W39" s="4">
        <f>IF(ISERROR(VLOOKUP($T$39,'TAR FIN'!$A$1:$O$85,15,0)),0,VLOOKUP($T$39,'TAR FIN'!$A$1:$O$85,15,0))</f>
        <v>0</v>
      </c>
      <c r="X39" s="4">
        <f>IF(ISERROR(VLOOKUP($U$39,'TAR FIN'!$A$1:$O$85,15,0)),0,VLOOKUP($U$39,'TAR FIN'!$A$1:$O$85,15,0))</f>
        <v>0</v>
      </c>
      <c r="Y39" s="4">
        <f ca="1">('TUSD BE'!$AM$9+'TUSD BF'!$AM$9+'TUSD CVA'!$AM$9)*1</f>
        <v>6.7679680991043316</v>
      </c>
      <c r="Z39" s="4"/>
      <c r="AA39" s="4"/>
      <c r="AB39" s="4">
        <f>$K$39*$V$39</f>
        <v>8920.5</v>
      </c>
      <c r="AC39" s="4">
        <f>$M$39*$W$39</f>
        <v>0</v>
      </c>
      <c r="AD39" s="4">
        <f>$O$39*$X$39</f>
        <v>0</v>
      </c>
      <c r="AE39" s="4">
        <f ca="1">$K$39*$Y$39</f>
        <v>10591.870075098279</v>
      </c>
      <c r="AF39" s="4">
        <f>$M$39*$Z$39</f>
        <v>0</v>
      </c>
      <c r="AG39" s="4">
        <f>$O$39*$AA$39</f>
        <v>0</v>
      </c>
    </row>
    <row r="40" spans="1:33" ht="11.25" customHeight="1" x14ac:dyDescent="0.3">
      <c r="A40" s="3" t="s">
        <v>21</v>
      </c>
      <c r="B40" s="3" t="s">
        <v>34</v>
      </c>
      <c r="C40" s="3" t="s">
        <v>56</v>
      </c>
      <c r="D40" s="3" t="s">
        <v>25</v>
      </c>
      <c r="E40" s="3" t="s">
        <v>25</v>
      </c>
      <c r="F40" s="3" t="s">
        <v>25</v>
      </c>
      <c r="G40" s="3" t="s">
        <v>62</v>
      </c>
      <c r="H40" s="3" t="s">
        <v>25</v>
      </c>
      <c r="I40" s="6">
        <v>44501</v>
      </c>
      <c r="J40" s="4">
        <v>500</v>
      </c>
      <c r="K40" s="4">
        <v>250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3" t="s">
        <v>58</v>
      </c>
      <c r="R40" s="3">
        <v>27182</v>
      </c>
      <c r="S40" s="4">
        <v>1</v>
      </c>
      <c r="T40" s="4">
        <v>0</v>
      </c>
      <c r="U40" s="4">
        <v>0</v>
      </c>
      <c r="V40" s="4">
        <f>IF(ISERROR(VLOOKUP($S$40,'TAR FIN'!$A$1:$O$85,15,0)),0,VLOOKUP($S$40,'TAR FIN'!$A$1:$O$85,15,0))</f>
        <v>5.7</v>
      </c>
      <c r="W40" s="4">
        <f>IF(ISERROR(VLOOKUP($T$40,'TAR FIN'!$A$1:$O$85,15,0)),0,VLOOKUP($T$40,'TAR FIN'!$A$1:$O$85,15,0))</f>
        <v>0</v>
      </c>
      <c r="X40" s="4">
        <f>IF(ISERROR(VLOOKUP($U$40,'TAR FIN'!$A$1:$O$85,15,0)),0,VLOOKUP($U$40,'TAR FIN'!$A$1:$O$85,15,0))</f>
        <v>0</v>
      </c>
      <c r="Y40" s="4">
        <f ca="1">('TUSD BE'!$AM$9+'TUSD BF'!$AM$9+'TUSD CVA'!$AM$9)*1</f>
        <v>6.7679680991043316</v>
      </c>
      <c r="Z40" s="4"/>
      <c r="AA40" s="4"/>
      <c r="AB40" s="4">
        <f>$K$40*$V$40</f>
        <v>1425</v>
      </c>
      <c r="AC40" s="4">
        <f>$M$40*$W$40</f>
        <v>0</v>
      </c>
      <c r="AD40" s="4">
        <f>$O$40*$X$40</f>
        <v>0</v>
      </c>
      <c r="AE40" s="4">
        <f ca="1">$K$40*$Y$40</f>
        <v>1691.9920247760829</v>
      </c>
      <c r="AF40" s="4">
        <f>$M$40*$Z$40</f>
        <v>0</v>
      </c>
      <c r="AG40" s="4">
        <f>$O$40*$AA$40</f>
        <v>0</v>
      </c>
    </row>
    <row r="41" spans="1:33" ht="11.25" customHeight="1" x14ac:dyDescent="0.3">
      <c r="A41" s="3" t="s">
        <v>21</v>
      </c>
      <c r="B41" s="3" t="s">
        <v>34</v>
      </c>
      <c r="C41" s="3" t="s">
        <v>56</v>
      </c>
      <c r="D41" s="3" t="s">
        <v>25</v>
      </c>
      <c r="E41" s="3" t="s">
        <v>25</v>
      </c>
      <c r="F41" s="3" t="s">
        <v>25</v>
      </c>
      <c r="G41" s="3" t="s">
        <v>57</v>
      </c>
      <c r="H41" s="3" t="s">
        <v>25</v>
      </c>
      <c r="I41" s="6">
        <v>44531</v>
      </c>
      <c r="J41" s="4">
        <v>6000</v>
      </c>
      <c r="K41" s="4">
        <v>3000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3" t="s">
        <v>58</v>
      </c>
      <c r="R41" s="3">
        <v>659</v>
      </c>
      <c r="S41" s="4">
        <v>1</v>
      </c>
      <c r="T41" s="4">
        <v>0</v>
      </c>
      <c r="U41" s="4">
        <v>0</v>
      </c>
      <c r="V41" s="4">
        <f>IF(ISERROR(VLOOKUP($S$41,'TAR FIN'!$A$1:$O$85,15,0)),0,VLOOKUP($S$41,'TAR FIN'!$A$1:$O$85,15,0))</f>
        <v>5.7</v>
      </c>
      <c r="W41" s="4">
        <f>IF(ISERROR(VLOOKUP($T$41,'TAR FIN'!$A$1:$O$85,15,0)),0,VLOOKUP($T$41,'TAR FIN'!$A$1:$O$85,15,0))</f>
        <v>0</v>
      </c>
      <c r="X41" s="4">
        <f>IF(ISERROR(VLOOKUP($U$41,'TAR FIN'!$A$1:$O$85,15,0)),0,VLOOKUP($U$41,'TAR FIN'!$A$1:$O$85,15,0))</f>
        <v>0</v>
      </c>
      <c r="Y41" s="4">
        <f ca="1">('TUSD BE'!$AM$9+'TUSD BF'!$AM$9+'TUSD CVA'!$AM$9)*1</f>
        <v>6.7679680991043316</v>
      </c>
      <c r="Z41" s="4"/>
      <c r="AA41" s="4"/>
      <c r="AB41" s="4">
        <f>$K$41*$V$41</f>
        <v>17100</v>
      </c>
      <c r="AC41" s="4">
        <f>$M$41*$W$41</f>
        <v>0</v>
      </c>
      <c r="AD41" s="4">
        <f>$O$41*$X$41</f>
        <v>0</v>
      </c>
      <c r="AE41" s="4">
        <f ca="1">$K$41*$Y$41</f>
        <v>20303.904297312994</v>
      </c>
      <c r="AF41" s="4">
        <f>$M$41*$Z$41</f>
        <v>0</v>
      </c>
      <c r="AG41" s="4">
        <f>$O$41*$AA$41</f>
        <v>0</v>
      </c>
    </row>
    <row r="42" spans="1:33" ht="11.25" customHeight="1" x14ac:dyDescent="0.3">
      <c r="A42" s="3" t="s">
        <v>21</v>
      </c>
      <c r="B42" s="3" t="s">
        <v>34</v>
      </c>
      <c r="C42" s="3" t="s">
        <v>56</v>
      </c>
      <c r="D42" s="3" t="s">
        <v>25</v>
      </c>
      <c r="E42" s="3" t="s">
        <v>25</v>
      </c>
      <c r="F42" s="3" t="s">
        <v>25</v>
      </c>
      <c r="G42" s="3" t="s">
        <v>59</v>
      </c>
      <c r="H42" s="3" t="s">
        <v>25</v>
      </c>
      <c r="I42" s="6">
        <v>44531</v>
      </c>
      <c r="J42" s="4">
        <v>833</v>
      </c>
      <c r="K42" s="4">
        <v>416.5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3" t="s">
        <v>58</v>
      </c>
      <c r="R42" s="3">
        <v>29592</v>
      </c>
      <c r="S42" s="4">
        <v>1</v>
      </c>
      <c r="T42" s="4">
        <v>0</v>
      </c>
      <c r="U42" s="4">
        <v>0</v>
      </c>
      <c r="V42" s="4">
        <f>IF(ISERROR(VLOOKUP($S$42,'TAR FIN'!$A$1:$O$85,15,0)),0,VLOOKUP($S$42,'TAR FIN'!$A$1:$O$85,15,0))</f>
        <v>5.7</v>
      </c>
      <c r="W42" s="4">
        <f>IF(ISERROR(VLOOKUP($T$42,'TAR FIN'!$A$1:$O$85,15,0)),0,VLOOKUP($T$42,'TAR FIN'!$A$1:$O$85,15,0))</f>
        <v>0</v>
      </c>
      <c r="X42" s="4">
        <f>IF(ISERROR(VLOOKUP($U$42,'TAR FIN'!$A$1:$O$85,15,0)),0,VLOOKUP($U$42,'TAR FIN'!$A$1:$O$85,15,0))</f>
        <v>0</v>
      </c>
      <c r="Y42" s="4">
        <f ca="1">('TUSD BE'!$AM$9+'TUSD BF'!$AM$9+'TUSD CVA'!$AM$9)*1</f>
        <v>6.7679680991043316</v>
      </c>
      <c r="Z42" s="4"/>
      <c r="AA42" s="4"/>
      <c r="AB42" s="4">
        <f>$K$42*$V$42</f>
        <v>2374.0500000000002</v>
      </c>
      <c r="AC42" s="4">
        <f>$M$42*$W$42</f>
        <v>0</v>
      </c>
      <c r="AD42" s="4">
        <f>$O$42*$X$42</f>
        <v>0</v>
      </c>
      <c r="AE42" s="4">
        <f ca="1">$K$42*$Y$42</f>
        <v>2818.8587132769539</v>
      </c>
      <c r="AF42" s="4">
        <f>$M$42*$Z$42</f>
        <v>0</v>
      </c>
      <c r="AG42" s="4">
        <f>$O$42*$AA$42</f>
        <v>0</v>
      </c>
    </row>
    <row r="43" spans="1:33" ht="11.25" customHeight="1" x14ac:dyDescent="0.3">
      <c r="A43" s="3" t="s">
        <v>21</v>
      </c>
      <c r="B43" s="3" t="s">
        <v>34</v>
      </c>
      <c r="C43" s="3" t="s">
        <v>56</v>
      </c>
      <c r="D43" s="3" t="s">
        <v>25</v>
      </c>
      <c r="E43" s="3" t="s">
        <v>25</v>
      </c>
      <c r="F43" s="3" t="s">
        <v>25</v>
      </c>
      <c r="G43" s="3" t="s">
        <v>60</v>
      </c>
      <c r="H43" s="3" t="s">
        <v>25</v>
      </c>
      <c r="I43" s="6">
        <v>44531</v>
      </c>
      <c r="J43" s="4">
        <v>1000</v>
      </c>
      <c r="K43" s="4">
        <v>500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3" t="s">
        <v>58</v>
      </c>
      <c r="R43" s="3">
        <v>30368</v>
      </c>
      <c r="S43" s="4">
        <v>1</v>
      </c>
      <c r="T43" s="4">
        <v>0</v>
      </c>
      <c r="U43" s="4">
        <v>0</v>
      </c>
      <c r="V43" s="4">
        <f>IF(ISERROR(VLOOKUP($S$43,'TAR FIN'!$A$1:$O$85,15,0)),0,VLOOKUP($S$43,'TAR FIN'!$A$1:$O$85,15,0))</f>
        <v>5.7</v>
      </c>
      <c r="W43" s="4">
        <f>IF(ISERROR(VLOOKUP($T$43,'TAR FIN'!$A$1:$O$85,15,0)),0,VLOOKUP($T$43,'TAR FIN'!$A$1:$O$85,15,0))</f>
        <v>0</v>
      </c>
      <c r="X43" s="4">
        <f>IF(ISERROR(VLOOKUP($U$43,'TAR FIN'!$A$1:$O$85,15,0)),0,VLOOKUP($U$43,'TAR FIN'!$A$1:$O$85,15,0))</f>
        <v>0</v>
      </c>
      <c r="Y43" s="4">
        <f ca="1">('TUSD BE'!$AM$9+'TUSD BF'!$AM$9+'TUSD CVA'!$AM$9)*1</f>
        <v>6.7679680991043316</v>
      </c>
      <c r="Z43" s="4"/>
      <c r="AA43" s="4"/>
      <c r="AB43" s="4">
        <f>$K$43*$V$43</f>
        <v>2850</v>
      </c>
      <c r="AC43" s="4">
        <f>$M$43*$W$43</f>
        <v>0</v>
      </c>
      <c r="AD43" s="4">
        <f>$O$43*$X$43</f>
        <v>0</v>
      </c>
      <c r="AE43" s="4">
        <f ca="1">$K$43*$Y$43</f>
        <v>3383.9840495521657</v>
      </c>
      <c r="AF43" s="4">
        <f>$M$43*$Z$43</f>
        <v>0</v>
      </c>
      <c r="AG43" s="4">
        <f>$O$43*$AA$43</f>
        <v>0</v>
      </c>
    </row>
    <row r="44" spans="1:33" ht="11.25" customHeight="1" x14ac:dyDescent="0.3">
      <c r="A44" s="3" t="s">
        <v>21</v>
      </c>
      <c r="B44" s="3" t="s">
        <v>34</v>
      </c>
      <c r="C44" s="3" t="s">
        <v>56</v>
      </c>
      <c r="D44" s="3" t="s">
        <v>25</v>
      </c>
      <c r="E44" s="3" t="s">
        <v>25</v>
      </c>
      <c r="F44" s="3" t="s">
        <v>25</v>
      </c>
      <c r="G44" s="3" t="s">
        <v>61</v>
      </c>
      <c r="H44" s="3" t="s">
        <v>25</v>
      </c>
      <c r="I44" s="6">
        <v>44531</v>
      </c>
      <c r="J44" s="4">
        <v>3130</v>
      </c>
      <c r="K44" s="4">
        <v>1565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3" t="s">
        <v>58</v>
      </c>
      <c r="R44" s="3">
        <v>30494</v>
      </c>
      <c r="S44" s="4">
        <v>1</v>
      </c>
      <c r="T44" s="4">
        <v>0</v>
      </c>
      <c r="U44" s="4">
        <v>0</v>
      </c>
      <c r="V44" s="4">
        <f>IF(ISERROR(VLOOKUP($S$44,'TAR FIN'!$A$1:$O$85,15,0)),0,VLOOKUP($S$44,'TAR FIN'!$A$1:$O$85,15,0))</f>
        <v>5.7</v>
      </c>
      <c r="W44" s="4">
        <f>IF(ISERROR(VLOOKUP($T$44,'TAR FIN'!$A$1:$O$85,15,0)),0,VLOOKUP($T$44,'TAR FIN'!$A$1:$O$85,15,0))</f>
        <v>0</v>
      </c>
      <c r="X44" s="4">
        <f>IF(ISERROR(VLOOKUP($U$44,'TAR FIN'!$A$1:$O$85,15,0)),0,VLOOKUP($U$44,'TAR FIN'!$A$1:$O$85,15,0))</f>
        <v>0</v>
      </c>
      <c r="Y44" s="4">
        <f ca="1">('TUSD BE'!$AM$9+'TUSD BF'!$AM$9+'TUSD CVA'!$AM$9)*1</f>
        <v>6.7679680991043316</v>
      </c>
      <c r="Z44" s="4"/>
      <c r="AA44" s="4"/>
      <c r="AB44" s="4">
        <f>$K$44*$V$44</f>
        <v>8920.5</v>
      </c>
      <c r="AC44" s="4">
        <f>$M$44*$W$44</f>
        <v>0</v>
      </c>
      <c r="AD44" s="4">
        <f>$O$44*$X$44</f>
        <v>0</v>
      </c>
      <c r="AE44" s="4">
        <f ca="1">$K$44*$Y$44</f>
        <v>10591.870075098279</v>
      </c>
      <c r="AF44" s="4">
        <f>$M$44*$Z$44</f>
        <v>0</v>
      </c>
      <c r="AG44" s="4">
        <f>$O$44*$AA$44</f>
        <v>0</v>
      </c>
    </row>
    <row r="45" spans="1:33" ht="11.25" customHeight="1" x14ac:dyDescent="0.3">
      <c r="A45" s="3" t="s">
        <v>21</v>
      </c>
      <c r="B45" s="3" t="s">
        <v>34</v>
      </c>
      <c r="C45" s="3" t="s">
        <v>56</v>
      </c>
      <c r="D45" s="3" t="s">
        <v>25</v>
      </c>
      <c r="E45" s="3" t="s">
        <v>25</v>
      </c>
      <c r="F45" s="3" t="s">
        <v>25</v>
      </c>
      <c r="G45" s="3" t="s">
        <v>62</v>
      </c>
      <c r="H45" s="3" t="s">
        <v>25</v>
      </c>
      <c r="I45" s="6">
        <v>44531</v>
      </c>
      <c r="J45" s="4">
        <v>500</v>
      </c>
      <c r="K45" s="4">
        <v>250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3" t="s">
        <v>58</v>
      </c>
      <c r="R45" s="3">
        <v>27182</v>
      </c>
      <c r="S45" s="4">
        <v>1</v>
      </c>
      <c r="T45" s="4">
        <v>0</v>
      </c>
      <c r="U45" s="4">
        <v>0</v>
      </c>
      <c r="V45" s="4">
        <f>IF(ISERROR(VLOOKUP($S$45,'TAR FIN'!$A$1:$O$85,15,0)),0,VLOOKUP($S$45,'TAR FIN'!$A$1:$O$85,15,0))</f>
        <v>5.7</v>
      </c>
      <c r="W45" s="4">
        <f>IF(ISERROR(VLOOKUP($T$45,'TAR FIN'!$A$1:$O$85,15,0)),0,VLOOKUP($T$45,'TAR FIN'!$A$1:$O$85,15,0))</f>
        <v>0</v>
      </c>
      <c r="X45" s="4">
        <f>IF(ISERROR(VLOOKUP($U$45,'TAR FIN'!$A$1:$O$85,15,0)),0,VLOOKUP($U$45,'TAR FIN'!$A$1:$O$85,15,0))</f>
        <v>0</v>
      </c>
      <c r="Y45" s="4">
        <f ca="1">('TUSD BE'!$AM$9+'TUSD BF'!$AM$9+'TUSD CVA'!$AM$9)*1</f>
        <v>6.7679680991043316</v>
      </c>
      <c r="Z45" s="4"/>
      <c r="AA45" s="4"/>
      <c r="AB45" s="4">
        <f>$K$45*$V$45</f>
        <v>1425</v>
      </c>
      <c r="AC45" s="4">
        <f>$M$45*$W$45</f>
        <v>0</v>
      </c>
      <c r="AD45" s="4">
        <f>$O$45*$X$45</f>
        <v>0</v>
      </c>
      <c r="AE45" s="4">
        <f ca="1">$K$45*$Y$45</f>
        <v>1691.9920247760829</v>
      </c>
      <c r="AF45" s="4">
        <f>$M$45*$Z$45</f>
        <v>0</v>
      </c>
      <c r="AG45" s="4">
        <f>$O$45*$AA$45</f>
        <v>0</v>
      </c>
    </row>
    <row r="46" spans="1:33" ht="11.25" customHeight="1" x14ac:dyDescent="0.3">
      <c r="A46" s="3" t="s">
        <v>21</v>
      </c>
      <c r="B46" s="3" t="s">
        <v>34</v>
      </c>
      <c r="C46" s="3" t="s">
        <v>56</v>
      </c>
      <c r="D46" s="3" t="s">
        <v>25</v>
      </c>
      <c r="E46" s="3" t="s">
        <v>25</v>
      </c>
      <c r="F46" s="3" t="s">
        <v>25</v>
      </c>
      <c r="G46" s="3" t="s">
        <v>57</v>
      </c>
      <c r="H46" s="3" t="s">
        <v>25</v>
      </c>
      <c r="I46" s="6">
        <v>44562</v>
      </c>
      <c r="J46" s="4">
        <v>6000</v>
      </c>
      <c r="K46" s="4">
        <v>3000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3" t="s">
        <v>58</v>
      </c>
      <c r="R46" s="3">
        <v>659</v>
      </c>
      <c r="S46" s="4">
        <v>1</v>
      </c>
      <c r="T46" s="4">
        <v>0</v>
      </c>
      <c r="U46" s="4">
        <v>0</v>
      </c>
      <c r="V46" s="4">
        <f>IF(ISERROR(VLOOKUP($S$46,'TAR FIN'!$A$1:$O$85,15,0)),0,VLOOKUP($S$46,'TAR FIN'!$A$1:$O$85,15,0))</f>
        <v>5.7</v>
      </c>
      <c r="W46" s="4">
        <f>IF(ISERROR(VLOOKUP($T$46,'TAR FIN'!$A$1:$O$85,15,0)),0,VLOOKUP($T$46,'TAR FIN'!$A$1:$O$85,15,0))</f>
        <v>0</v>
      </c>
      <c r="X46" s="4">
        <f>IF(ISERROR(VLOOKUP($U$46,'TAR FIN'!$A$1:$O$85,15,0)),0,VLOOKUP($U$46,'TAR FIN'!$A$1:$O$85,15,0))</f>
        <v>0</v>
      </c>
      <c r="Y46" s="4">
        <f ca="1">('TUSD BE'!$AM$9+'TUSD BF'!$AM$9+'TUSD CVA'!$AM$9)*1</f>
        <v>6.7679680991043316</v>
      </c>
      <c r="Z46" s="4"/>
      <c r="AA46" s="4"/>
      <c r="AB46" s="4">
        <f>$K$46*$V$46</f>
        <v>17100</v>
      </c>
      <c r="AC46" s="4">
        <f>$M$46*$W$46</f>
        <v>0</v>
      </c>
      <c r="AD46" s="4">
        <f>$O$46*$X$46</f>
        <v>0</v>
      </c>
      <c r="AE46" s="4">
        <f ca="1">$K$46*$Y$46</f>
        <v>20303.904297312994</v>
      </c>
      <c r="AF46" s="4">
        <f>$M$46*$Z$46</f>
        <v>0</v>
      </c>
      <c r="AG46" s="4">
        <f>$O$46*$AA$46</f>
        <v>0</v>
      </c>
    </row>
    <row r="47" spans="1:33" ht="11.25" customHeight="1" x14ac:dyDescent="0.3">
      <c r="A47" s="3" t="s">
        <v>21</v>
      </c>
      <c r="B47" s="3" t="s">
        <v>34</v>
      </c>
      <c r="C47" s="3" t="s">
        <v>56</v>
      </c>
      <c r="D47" s="3" t="s">
        <v>25</v>
      </c>
      <c r="E47" s="3" t="s">
        <v>25</v>
      </c>
      <c r="F47" s="3" t="s">
        <v>25</v>
      </c>
      <c r="G47" s="3" t="s">
        <v>59</v>
      </c>
      <c r="H47" s="3" t="s">
        <v>25</v>
      </c>
      <c r="I47" s="6">
        <v>44562</v>
      </c>
      <c r="J47" s="4">
        <v>833</v>
      </c>
      <c r="K47" s="4">
        <v>416.5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3" t="s">
        <v>58</v>
      </c>
      <c r="R47" s="3">
        <v>29592</v>
      </c>
      <c r="S47" s="4">
        <v>1</v>
      </c>
      <c r="T47" s="4">
        <v>0</v>
      </c>
      <c r="U47" s="4">
        <v>0</v>
      </c>
      <c r="V47" s="4">
        <f>IF(ISERROR(VLOOKUP($S$47,'TAR FIN'!$A$1:$O$85,15,0)),0,VLOOKUP($S$47,'TAR FIN'!$A$1:$O$85,15,0))</f>
        <v>5.7</v>
      </c>
      <c r="W47" s="4">
        <f>IF(ISERROR(VLOOKUP($T$47,'TAR FIN'!$A$1:$O$85,15,0)),0,VLOOKUP($T$47,'TAR FIN'!$A$1:$O$85,15,0))</f>
        <v>0</v>
      </c>
      <c r="X47" s="4">
        <f>IF(ISERROR(VLOOKUP($U$47,'TAR FIN'!$A$1:$O$85,15,0)),0,VLOOKUP($U$47,'TAR FIN'!$A$1:$O$85,15,0))</f>
        <v>0</v>
      </c>
      <c r="Y47" s="4">
        <f ca="1">('TUSD BE'!$AM$9+'TUSD BF'!$AM$9+'TUSD CVA'!$AM$9)*1</f>
        <v>6.7679680991043316</v>
      </c>
      <c r="Z47" s="4"/>
      <c r="AA47" s="4"/>
      <c r="AB47" s="4">
        <f>$K$47*$V$47</f>
        <v>2374.0500000000002</v>
      </c>
      <c r="AC47" s="4">
        <f>$M$47*$W$47</f>
        <v>0</v>
      </c>
      <c r="AD47" s="4">
        <f>$O$47*$X$47</f>
        <v>0</v>
      </c>
      <c r="AE47" s="4">
        <f ca="1">$K$47*$Y$47</f>
        <v>2818.8587132769539</v>
      </c>
      <c r="AF47" s="4">
        <f>$M$47*$Z$47</f>
        <v>0</v>
      </c>
      <c r="AG47" s="4">
        <f>$O$47*$AA$47</f>
        <v>0</v>
      </c>
    </row>
    <row r="48" spans="1:33" ht="11.25" customHeight="1" x14ac:dyDescent="0.3">
      <c r="A48" s="3" t="s">
        <v>21</v>
      </c>
      <c r="B48" s="3" t="s">
        <v>34</v>
      </c>
      <c r="C48" s="3" t="s">
        <v>56</v>
      </c>
      <c r="D48" s="3" t="s">
        <v>25</v>
      </c>
      <c r="E48" s="3" t="s">
        <v>25</v>
      </c>
      <c r="F48" s="3" t="s">
        <v>25</v>
      </c>
      <c r="G48" s="3" t="s">
        <v>60</v>
      </c>
      <c r="H48" s="3" t="s">
        <v>25</v>
      </c>
      <c r="I48" s="6">
        <v>44562</v>
      </c>
      <c r="J48" s="4">
        <v>1000</v>
      </c>
      <c r="K48" s="4">
        <v>500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3" t="s">
        <v>58</v>
      </c>
      <c r="R48" s="3">
        <v>30368</v>
      </c>
      <c r="S48" s="4">
        <v>1</v>
      </c>
      <c r="T48" s="4">
        <v>0</v>
      </c>
      <c r="U48" s="4">
        <v>0</v>
      </c>
      <c r="V48" s="4">
        <f>IF(ISERROR(VLOOKUP($S$48,'TAR FIN'!$A$1:$O$85,15,0)),0,VLOOKUP($S$48,'TAR FIN'!$A$1:$O$85,15,0))</f>
        <v>5.7</v>
      </c>
      <c r="W48" s="4">
        <f>IF(ISERROR(VLOOKUP($T$48,'TAR FIN'!$A$1:$O$85,15,0)),0,VLOOKUP($T$48,'TAR FIN'!$A$1:$O$85,15,0))</f>
        <v>0</v>
      </c>
      <c r="X48" s="4">
        <f>IF(ISERROR(VLOOKUP($U$48,'TAR FIN'!$A$1:$O$85,15,0)),0,VLOOKUP($U$48,'TAR FIN'!$A$1:$O$85,15,0))</f>
        <v>0</v>
      </c>
      <c r="Y48" s="4">
        <f ca="1">('TUSD BE'!$AM$9+'TUSD BF'!$AM$9+'TUSD CVA'!$AM$9)*1</f>
        <v>6.7679680991043316</v>
      </c>
      <c r="Z48" s="4"/>
      <c r="AA48" s="4"/>
      <c r="AB48" s="4">
        <f>$K$48*$V$48</f>
        <v>2850</v>
      </c>
      <c r="AC48" s="4">
        <f>$M$48*$W$48</f>
        <v>0</v>
      </c>
      <c r="AD48" s="4">
        <f>$O$48*$X$48</f>
        <v>0</v>
      </c>
      <c r="AE48" s="4">
        <f ca="1">$K$48*$Y$48</f>
        <v>3383.9840495521657</v>
      </c>
      <c r="AF48" s="4">
        <f>$M$48*$Z$48</f>
        <v>0</v>
      </c>
      <c r="AG48" s="4">
        <f>$O$48*$AA$48</f>
        <v>0</v>
      </c>
    </row>
    <row r="49" spans="1:33" ht="11.25" customHeight="1" x14ac:dyDescent="0.3">
      <c r="A49" s="3" t="s">
        <v>21</v>
      </c>
      <c r="B49" s="3" t="s">
        <v>34</v>
      </c>
      <c r="C49" s="3" t="s">
        <v>56</v>
      </c>
      <c r="D49" s="3" t="s">
        <v>25</v>
      </c>
      <c r="E49" s="3" t="s">
        <v>25</v>
      </c>
      <c r="F49" s="3" t="s">
        <v>25</v>
      </c>
      <c r="G49" s="3" t="s">
        <v>61</v>
      </c>
      <c r="H49" s="3" t="s">
        <v>25</v>
      </c>
      <c r="I49" s="6">
        <v>44562</v>
      </c>
      <c r="J49" s="4">
        <v>3130</v>
      </c>
      <c r="K49" s="4">
        <v>1565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3" t="s">
        <v>58</v>
      </c>
      <c r="R49" s="3">
        <v>30494</v>
      </c>
      <c r="S49" s="4">
        <v>1</v>
      </c>
      <c r="T49" s="4">
        <v>0</v>
      </c>
      <c r="U49" s="4">
        <v>0</v>
      </c>
      <c r="V49" s="4">
        <f>IF(ISERROR(VLOOKUP($S$49,'TAR FIN'!$A$1:$O$85,15,0)),0,VLOOKUP($S$49,'TAR FIN'!$A$1:$O$85,15,0))</f>
        <v>5.7</v>
      </c>
      <c r="W49" s="4">
        <f>IF(ISERROR(VLOOKUP($T$49,'TAR FIN'!$A$1:$O$85,15,0)),0,VLOOKUP($T$49,'TAR FIN'!$A$1:$O$85,15,0))</f>
        <v>0</v>
      </c>
      <c r="X49" s="4">
        <f>IF(ISERROR(VLOOKUP($U$49,'TAR FIN'!$A$1:$O$85,15,0)),0,VLOOKUP($U$49,'TAR FIN'!$A$1:$O$85,15,0))</f>
        <v>0</v>
      </c>
      <c r="Y49" s="4">
        <f ca="1">('TUSD BE'!$AM$9+'TUSD BF'!$AM$9+'TUSD CVA'!$AM$9)*1</f>
        <v>6.7679680991043316</v>
      </c>
      <c r="Z49" s="4"/>
      <c r="AA49" s="4"/>
      <c r="AB49" s="4">
        <f>$K$49*$V$49</f>
        <v>8920.5</v>
      </c>
      <c r="AC49" s="4">
        <f>$M$49*$W$49</f>
        <v>0</v>
      </c>
      <c r="AD49" s="4">
        <f>$O$49*$X$49</f>
        <v>0</v>
      </c>
      <c r="AE49" s="4">
        <f ca="1">$K$49*$Y$49</f>
        <v>10591.870075098279</v>
      </c>
      <c r="AF49" s="4">
        <f>$M$49*$Z$49</f>
        <v>0</v>
      </c>
      <c r="AG49" s="4">
        <f>$O$49*$AA$49</f>
        <v>0</v>
      </c>
    </row>
    <row r="50" spans="1:33" ht="11.25" customHeight="1" x14ac:dyDescent="0.3">
      <c r="A50" s="3" t="s">
        <v>21</v>
      </c>
      <c r="B50" s="3" t="s">
        <v>34</v>
      </c>
      <c r="C50" s="3" t="s">
        <v>56</v>
      </c>
      <c r="D50" s="3" t="s">
        <v>25</v>
      </c>
      <c r="E50" s="3" t="s">
        <v>25</v>
      </c>
      <c r="F50" s="3" t="s">
        <v>25</v>
      </c>
      <c r="G50" s="3" t="s">
        <v>62</v>
      </c>
      <c r="H50" s="3" t="s">
        <v>25</v>
      </c>
      <c r="I50" s="6">
        <v>44562</v>
      </c>
      <c r="J50" s="4">
        <v>500</v>
      </c>
      <c r="K50" s="4">
        <v>250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3" t="s">
        <v>58</v>
      </c>
      <c r="R50" s="3">
        <v>27182</v>
      </c>
      <c r="S50" s="4">
        <v>1</v>
      </c>
      <c r="T50" s="4">
        <v>0</v>
      </c>
      <c r="U50" s="4">
        <v>0</v>
      </c>
      <c r="V50" s="4">
        <f>IF(ISERROR(VLOOKUP($S$50,'TAR FIN'!$A$1:$O$85,15,0)),0,VLOOKUP($S$50,'TAR FIN'!$A$1:$O$85,15,0))</f>
        <v>5.7</v>
      </c>
      <c r="W50" s="4">
        <f>IF(ISERROR(VLOOKUP($T$50,'TAR FIN'!$A$1:$O$85,15,0)),0,VLOOKUP($T$50,'TAR FIN'!$A$1:$O$85,15,0))</f>
        <v>0</v>
      </c>
      <c r="X50" s="4">
        <f>IF(ISERROR(VLOOKUP($U$50,'TAR FIN'!$A$1:$O$85,15,0)),0,VLOOKUP($U$50,'TAR FIN'!$A$1:$O$85,15,0))</f>
        <v>0</v>
      </c>
      <c r="Y50" s="4">
        <f ca="1">('TUSD BE'!$AM$9+'TUSD BF'!$AM$9+'TUSD CVA'!$AM$9)*1</f>
        <v>6.7679680991043316</v>
      </c>
      <c r="Z50" s="4"/>
      <c r="AA50" s="4"/>
      <c r="AB50" s="4">
        <f>$K$50*$V$50</f>
        <v>1425</v>
      </c>
      <c r="AC50" s="4">
        <f>$M$50*$W$50</f>
        <v>0</v>
      </c>
      <c r="AD50" s="4">
        <f>$O$50*$X$50</f>
        <v>0</v>
      </c>
      <c r="AE50" s="4">
        <f ca="1">$K$50*$Y$50</f>
        <v>1691.9920247760829</v>
      </c>
      <c r="AF50" s="4">
        <f>$M$50*$Z$50</f>
        <v>0</v>
      </c>
      <c r="AG50" s="4">
        <f>$O$50*$AA$50</f>
        <v>0</v>
      </c>
    </row>
    <row r="51" spans="1:33" ht="11.25" customHeight="1" x14ac:dyDescent="0.3">
      <c r="A51" s="3" t="s">
        <v>21</v>
      </c>
      <c r="B51" s="3" t="s">
        <v>34</v>
      </c>
      <c r="C51" s="3" t="s">
        <v>56</v>
      </c>
      <c r="D51" s="3" t="s">
        <v>25</v>
      </c>
      <c r="E51" s="3" t="s">
        <v>25</v>
      </c>
      <c r="F51" s="3" t="s">
        <v>25</v>
      </c>
      <c r="G51" s="3" t="s">
        <v>57</v>
      </c>
      <c r="H51" s="3" t="s">
        <v>25</v>
      </c>
      <c r="I51" s="6">
        <v>44593</v>
      </c>
      <c r="J51" s="4">
        <v>6000</v>
      </c>
      <c r="K51" s="4">
        <v>3000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3" t="s">
        <v>58</v>
      </c>
      <c r="R51" s="3">
        <v>659</v>
      </c>
      <c r="S51" s="4">
        <v>1</v>
      </c>
      <c r="T51" s="4">
        <v>0</v>
      </c>
      <c r="U51" s="4">
        <v>0</v>
      </c>
      <c r="V51" s="4">
        <f>IF(ISERROR(VLOOKUP($S$51,'TAR FIN'!$A$1:$O$85,15,0)),0,VLOOKUP($S$51,'TAR FIN'!$A$1:$O$85,15,0))</f>
        <v>5.7</v>
      </c>
      <c r="W51" s="4">
        <f>IF(ISERROR(VLOOKUP($T$51,'TAR FIN'!$A$1:$O$85,15,0)),0,VLOOKUP($T$51,'TAR FIN'!$A$1:$O$85,15,0))</f>
        <v>0</v>
      </c>
      <c r="X51" s="4">
        <f>IF(ISERROR(VLOOKUP($U$51,'TAR FIN'!$A$1:$O$85,15,0)),0,VLOOKUP($U$51,'TAR FIN'!$A$1:$O$85,15,0))</f>
        <v>0</v>
      </c>
      <c r="Y51" s="4">
        <f ca="1">('TUSD BE'!$AM$9+'TUSD BF'!$AM$9+'TUSD CVA'!$AM$9)*1</f>
        <v>6.7679680991043316</v>
      </c>
      <c r="Z51" s="4"/>
      <c r="AA51" s="4"/>
      <c r="AB51" s="4">
        <f>$K$51*$V$51</f>
        <v>17100</v>
      </c>
      <c r="AC51" s="4">
        <f>$M$51*$W$51</f>
        <v>0</v>
      </c>
      <c r="AD51" s="4">
        <f>$O$51*$X$51</f>
        <v>0</v>
      </c>
      <c r="AE51" s="4">
        <f ca="1">$K$51*$Y$51</f>
        <v>20303.904297312994</v>
      </c>
      <c r="AF51" s="4">
        <f>$M$51*$Z$51</f>
        <v>0</v>
      </c>
      <c r="AG51" s="4">
        <f>$O$51*$AA$51</f>
        <v>0</v>
      </c>
    </row>
    <row r="52" spans="1:33" ht="11.25" customHeight="1" x14ac:dyDescent="0.3">
      <c r="A52" s="3" t="s">
        <v>21</v>
      </c>
      <c r="B52" s="3" t="s">
        <v>34</v>
      </c>
      <c r="C52" s="3" t="s">
        <v>56</v>
      </c>
      <c r="D52" s="3" t="s">
        <v>25</v>
      </c>
      <c r="E52" s="3" t="s">
        <v>25</v>
      </c>
      <c r="F52" s="3" t="s">
        <v>25</v>
      </c>
      <c r="G52" s="3" t="s">
        <v>59</v>
      </c>
      <c r="H52" s="3" t="s">
        <v>25</v>
      </c>
      <c r="I52" s="6">
        <v>44593</v>
      </c>
      <c r="J52" s="4">
        <v>833</v>
      </c>
      <c r="K52" s="4">
        <v>416.5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3" t="s">
        <v>58</v>
      </c>
      <c r="R52" s="3">
        <v>29592</v>
      </c>
      <c r="S52" s="4">
        <v>1</v>
      </c>
      <c r="T52" s="4">
        <v>0</v>
      </c>
      <c r="U52" s="4">
        <v>0</v>
      </c>
      <c r="V52" s="4">
        <f>IF(ISERROR(VLOOKUP($S$52,'TAR FIN'!$A$1:$O$85,15,0)),0,VLOOKUP($S$52,'TAR FIN'!$A$1:$O$85,15,0))</f>
        <v>5.7</v>
      </c>
      <c r="W52" s="4">
        <f>IF(ISERROR(VLOOKUP($T$52,'TAR FIN'!$A$1:$O$85,15,0)),0,VLOOKUP($T$52,'TAR FIN'!$A$1:$O$85,15,0))</f>
        <v>0</v>
      </c>
      <c r="X52" s="4">
        <f>IF(ISERROR(VLOOKUP($U$52,'TAR FIN'!$A$1:$O$85,15,0)),0,VLOOKUP($U$52,'TAR FIN'!$A$1:$O$85,15,0))</f>
        <v>0</v>
      </c>
      <c r="Y52" s="4">
        <f ca="1">('TUSD BE'!$AM$9+'TUSD BF'!$AM$9+'TUSD CVA'!$AM$9)*1</f>
        <v>6.7679680991043316</v>
      </c>
      <c r="Z52" s="4"/>
      <c r="AA52" s="4"/>
      <c r="AB52" s="4">
        <f>$K$52*$V$52</f>
        <v>2374.0500000000002</v>
      </c>
      <c r="AC52" s="4">
        <f>$M$52*$W$52</f>
        <v>0</v>
      </c>
      <c r="AD52" s="4">
        <f>$O$52*$X$52</f>
        <v>0</v>
      </c>
      <c r="AE52" s="4">
        <f ca="1">$K$52*$Y$52</f>
        <v>2818.8587132769539</v>
      </c>
      <c r="AF52" s="4">
        <f>$M$52*$Z$52</f>
        <v>0</v>
      </c>
      <c r="AG52" s="4">
        <f>$O$52*$AA$52</f>
        <v>0</v>
      </c>
    </row>
    <row r="53" spans="1:33" ht="11.25" customHeight="1" x14ac:dyDescent="0.3">
      <c r="A53" s="3" t="s">
        <v>21</v>
      </c>
      <c r="B53" s="3" t="s">
        <v>34</v>
      </c>
      <c r="C53" s="3" t="s">
        <v>56</v>
      </c>
      <c r="D53" s="3" t="s">
        <v>25</v>
      </c>
      <c r="E53" s="3" t="s">
        <v>25</v>
      </c>
      <c r="F53" s="3" t="s">
        <v>25</v>
      </c>
      <c r="G53" s="3" t="s">
        <v>60</v>
      </c>
      <c r="H53" s="3" t="s">
        <v>25</v>
      </c>
      <c r="I53" s="6">
        <v>44593</v>
      </c>
      <c r="J53" s="4">
        <v>1000</v>
      </c>
      <c r="K53" s="4">
        <v>500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3" t="s">
        <v>58</v>
      </c>
      <c r="R53" s="3">
        <v>30368</v>
      </c>
      <c r="S53" s="4">
        <v>1</v>
      </c>
      <c r="T53" s="4">
        <v>0</v>
      </c>
      <c r="U53" s="4">
        <v>0</v>
      </c>
      <c r="V53" s="4">
        <f>IF(ISERROR(VLOOKUP($S$53,'TAR FIN'!$A$1:$O$85,15,0)),0,VLOOKUP($S$53,'TAR FIN'!$A$1:$O$85,15,0))</f>
        <v>5.7</v>
      </c>
      <c r="W53" s="4">
        <f>IF(ISERROR(VLOOKUP($T$53,'TAR FIN'!$A$1:$O$85,15,0)),0,VLOOKUP($T$53,'TAR FIN'!$A$1:$O$85,15,0))</f>
        <v>0</v>
      </c>
      <c r="X53" s="4">
        <f>IF(ISERROR(VLOOKUP($U$53,'TAR FIN'!$A$1:$O$85,15,0)),0,VLOOKUP($U$53,'TAR FIN'!$A$1:$O$85,15,0))</f>
        <v>0</v>
      </c>
      <c r="Y53" s="4">
        <f ca="1">('TUSD BE'!$AM$9+'TUSD BF'!$AM$9+'TUSD CVA'!$AM$9)*1</f>
        <v>6.7679680991043316</v>
      </c>
      <c r="Z53" s="4"/>
      <c r="AA53" s="4"/>
      <c r="AB53" s="4">
        <f>$K$53*$V$53</f>
        <v>2850</v>
      </c>
      <c r="AC53" s="4">
        <f>$M$53*$W$53</f>
        <v>0</v>
      </c>
      <c r="AD53" s="4">
        <f>$O$53*$X$53</f>
        <v>0</v>
      </c>
      <c r="AE53" s="4">
        <f ca="1">$K$53*$Y$53</f>
        <v>3383.9840495521657</v>
      </c>
      <c r="AF53" s="4">
        <f>$M$53*$Z$53</f>
        <v>0</v>
      </c>
      <c r="AG53" s="4">
        <f>$O$53*$AA$53</f>
        <v>0</v>
      </c>
    </row>
    <row r="54" spans="1:33" ht="11.25" customHeight="1" x14ac:dyDescent="0.3">
      <c r="A54" s="3" t="s">
        <v>21</v>
      </c>
      <c r="B54" s="3" t="s">
        <v>34</v>
      </c>
      <c r="C54" s="3" t="s">
        <v>56</v>
      </c>
      <c r="D54" s="3" t="s">
        <v>25</v>
      </c>
      <c r="E54" s="3" t="s">
        <v>25</v>
      </c>
      <c r="F54" s="3" t="s">
        <v>25</v>
      </c>
      <c r="G54" s="3" t="s">
        <v>61</v>
      </c>
      <c r="H54" s="3" t="s">
        <v>25</v>
      </c>
      <c r="I54" s="6">
        <v>44593</v>
      </c>
      <c r="J54" s="4">
        <v>3130</v>
      </c>
      <c r="K54" s="4">
        <v>1565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3" t="s">
        <v>58</v>
      </c>
      <c r="R54" s="3">
        <v>30494</v>
      </c>
      <c r="S54" s="4">
        <v>1</v>
      </c>
      <c r="T54" s="4">
        <v>0</v>
      </c>
      <c r="U54" s="4">
        <v>0</v>
      </c>
      <c r="V54" s="4">
        <f>IF(ISERROR(VLOOKUP($S$54,'TAR FIN'!$A$1:$O$85,15,0)),0,VLOOKUP($S$54,'TAR FIN'!$A$1:$O$85,15,0))</f>
        <v>5.7</v>
      </c>
      <c r="W54" s="4">
        <f>IF(ISERROR(VLOOKUP($T$54,'TAR FIN'!$A$1:$O$85,15,0)),0,VLOOKUP($T$54,'TAR FIN'!$A$1:$O$85,15,0))</f>
        <v>0</v>
      </c>
      <c r="X54" s="4">
        <f>IF(ISERROR(VLOOKUP($U$54,'TAR FIN'!$A$1:$O$85,15,0)),0,VLOOKUP($U$54,'TAR FIN'!$A$1:$O$85,15,0))</f>
        <v>0</v>
      </c>
      <c r="Y54" s="4">
        <f ca="1">('TUSD BE'!$AM$9+'TUSD BF'!$AM$9+'TUSD CVA'!$AM$9)*1</f>
        <v>6.7679680991043316</v>
      </c>
      <c r="Z54" s="4"/>
      <c r="AA54" s="4"/>
      <c r="AB54" s="4">
        <f>$K$54*$V$54</f>
        <v>8920.5</v>
      </c>
      <c r="AC54" s="4">
        <f>$M$54*$W$54</f>
        <v>0</v>
      </c>
      <c r="AD54" s="4">
        <f>$O$54*$X$54</f>
        <v>0</v>
      </c>
      <c r="AE54" s="4">
        <f ca="1">$K$54*$Y$54</f>
        <v>10591.870075098279</v>
      </c>
      <c r="AF54" s="4">
        <f>$M$54*$Z$54</f>
        <v>0</v>
      </c>
      <c r="AG54" s="4">
        <f>$O$54*$AA$54</f>
        <v>0</v>
      </c>
    </row>
    <row r="55" spans="1:33" ht="11.25" customHeight="1" x14ac:dyDescent="0.3">
      <c r="A55" s="3" t="s">
        <v>21</v>
      </c>
      <c r="B55" s="3" t="s">
        <v>34</v>
      </c>
      <c r="C55" s="3" t="s">
        <v>56</v>
      </c>
      <c r="D55" s="3" t="s">
        <v>25</v>
      </c>
      <c r="E55" s="3" t="s">
        <v>25</v>
      </c>
      <c r="F55" s="3" t="s">
        <v>25</v>
      </c>
      <c r="G55" s="3" t="s">
        <v>62</v>
      </c>
      <c r="H55" s="3" t="s">
        <v>25</v>
      </c>
      <c r="I55" s="6">
        <v>44593</v>
      </c>
      <c r="J55" s="4">
        <v>500</v>
      </c>
      <c r="K55" s="4">
        <v>250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3" t="s">
        <v>58</v>
      </c>
      <c r="R55" s="3">
        <v>27182</v>
      </c>
      <c r="S55" s="4">
        <v>1</v>
      </c>
      <c r="T55" s="4">
        <v>0</v>
      </c>
      <c r="U55" s="4">
        <v>0</v>
      </c>
      <c r="V55" s="4">
        <f>IF(ISERROR(VLOOKUP($S$55,'TAR FIN'!$A$1:$O$85,15,0)),0,VLOOKUP($S$55,'TAR FIN'!$A$1:$O$85,15,0))</f>
        <v>5.7</v>
      </c>
      <c r="W55" s="4">
        <f>IF(ISERROR(VLOOKUP($T$55,'TAR FIN'!$A$1:$O$85,15,0)),0,VLOOKUP($T$55,'TAR FIN'!$A$1:$O$85,15,0))</f>
        <v>0</v>
      </c>
      <c r="X55" s="4">
        <f>IF(ISERROR(VLOOKUP($U$55,'TAR FIN'!$A$1:$O$85,15,0)),0,VLOOKUP($U$55,'TAR FIN'!$A$1:$O$85,15,0))</f>
        <v>0</v>
      </c>
      <c r="Y55" s="4">
        <f ca="1">('TUSD BE'!$AM$9+'TUSD BF'!$AM$9+'TUSD CVA'!$AM$9)*1</f>
        <v>6.7679680991043316</v>
      </c>
      <c r="Z55" s="4"/>
      <c r="AA55" s="4"/>
      <c r="AB55" s="4">
        <f>$K$55*$V$55</f>
        <v>1425</v>
      </c>
      <c r="AC55" s="4">
        <f>$M$55*$W$55</f>
        <v>0</v>
      </c>
      <c r="AD55" s="4">
        <f>$O$55*$X$55</f>
        <v>0</v>
      </c>
      <c r="AE55" s="4">
        <f ca="1">$K$55*$Y$55</f>
        <v>1691.9920247760829</v>
      </c>
      <c r="AF55" s="4">
        <f>$M$55*$Z$55</f>
        <v>0</v>
      </c>
      <c r="AG55" s="4">
        <f>$O$55*$AA$55</f>
        <v>0</v>
      </c>
    </row>
    <row r="56" spans="1:33" ht="11.25" customHeight="1" x14ac:dyDescent="0.3">
      <c r="A56" s="3" t="s">
        <v>21</v>
      </c>
      <c r="B56" s="3" t="s">
        <v>34</v>
      </c>
      <c r="C56" s="3" t="s">
        <v>56</v>
      </c>
      <c r="D56" s="3" t="s">
        <v>25</v>
      </c>
      <c r="E56" s="3" t="s">
        <v>25</v>
      </c>
      <c r="F56" s="3" t="s">
        <v>25</v>
      </c>
      <c r="G56" s="3" t="s">
        <v>57</v>
      </c>
      <c r="H56" s="3" t="s">
        <v>25</v>
      </c>
      <c r="I56" s="6">
        <v>44621</v>
      </c>
      <c r="J56" s="4">
        <v>6000</v>
      </c>
      <c r="K56" s="4">
        <v>3000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3" t="s">
        <v>58</v>
      </c>
      <c r="R56" s="3">
        <v>659</v>
      </c>
      <c r="S56" s="4">
        <v>1</v>
      </c>
      <c r="T56" s="4">
        <v>0</v>
      </c>
      <c r="U56" s="4">
        <v>0</v>
      </c>
      <c r="V56" s="4">
        <f>IF(ISERROR(VLOOKUP($S$56,'TAR FIN'!$A$1:$O$85,15,0)),0,VLOOKUP($S$56,'TAR FIN'!$A$1:$O$85,15,0))</f>
        <v>5.7</v>
      </c>
      <c r="W56" s="4">
        <f>IF(ISERROR(VLOOKUP($T$56,'TAR FIN'!$A$1:$O$85,15,0)),0,VLOOKUP($T$56,'TAR FIN'!$A$1:$O$85,15,0))</f>
        <v>0</v>
      </c>
      <c r="X56" s="4">
        <f>IF(ISERROR(VLOOKUP($U$56,'TAR FIN'!$A$1:$O$85,15,0)),0,VLOOKUP($U$56,'TAR FIN'!$A$1:$O$85,15,0))</f>
        <v>0</v>
      </c>
      <c r="Y56" s="4">
        <f ca="1">('TUSD BE'!$AM$9+'TUSD BF'!$AM$9+'TUSD CVA'!$AM$9)*1</f>
        <v>6.7679680991043316</v>
      </c>
      <c r="Z56" s="4"/>
      <c r="AA56" s="4"/>
      <c r="AB56" s="4">
        <f>$K$56*$V$56</f>
        <v>17100</v>
      </c>
      <c r="AC56" s="4">
        <f>$M$56*$W$56</f>
        <v>0</v>
      </c>
      <c r="AD56" s="4">
        <f>$O$56*$X$56</f>
        <v>0</v>
      </c>
      <c r="AE56" s="4">
        <f ca="1">$K$56*$Y$56</f>
        <v>20303.904297312994</v>
      </c>
      <c r="AF56" s="4">
        <f>$M$56*$Z$56</f>
        <v>0</v>
      </c>
      <c r="AG56" s="4">
        <f>$O$56*$AA$56</f>
        <v>0</v>
      </c>
    </row>
    <row r="57" spans="1:33" ht="11.25" customHeight="1" x14ac:dyDescent="0.3">
      <c r="A57" s="3" t="s">
        <v>21</v>
      </c>
      <c r="B57" s="3" t="s">
        <v>34</v>
      </c>
      <c r="C57" s="3" t="s">
        <v>56</v>
      </c>
      <c r="D57" s="3" t="s">
        <v>25</v>
      </c>
      <c r="E57" s="3" t="s">
        <v>25</v>
      </c>
      <c r="F57" s="3" t="s">
        <v>25</v>
      </c>
      <c r="G57" s="3" t="s">
        <v>59</v>
      </c>
      <c r="H57" s="3" t="s">
        <v>25</v>
      </c>
      <c r="I57" s="6">
        <v>44621</v>
      </c>
      <c r="J57" s="4">
        <v>833</v>
      </c>
      <c r="K57" s="4">
        <v>416.5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3" t="s">
        <v>58</v>
      </c>
      <c r="R57" s="3">
        <v>29592</v>
      </c>
      <c r="S57" s="4">
        <v>1</v>
      </c>
      <c r="T57" s="4">
        <v>0</v>
      </c>
      <c r="U57" s="4">
        <v>0</v>
      </c>
      <c r="V57" s="4">
        <f>IF(ISERROR(VLOOKUP($S$57,'TAR FIN'!$A$1:$O$85,15,0)),0,VLOOKUP($S$57,'TAR FIN'!$A$1:$O$85,15,0))</f>
        <v>5.7</v>
      </c>
      <c r="W57" s="4">
        <f>IF(ISERROR(VLOOKUP($T$57,'TAR FIN'!$A$1:$O$85,15,0)),0,VLOOKUP($T$57,'TAR FIN'!$A$1:$O$85,15,0))</f>
        <v>0</v>
      </c>
      <c r="X57" s="4">
        <f>IF(ISERROR(VLOOKUP($U$57,'TAR FIN'!$A$1:$O$85,15,0)),0,VLOOKUP($U$57,'TAR FIN'!$A$1:$O$85,15,0))</f>
        <v>0</v>
      </c>
      <c r="Y57" s="4">
        <f ca="1">('TUSD BE'!$AM$9+'TUSD BF'!$AM$9+'TUSD CVA'!$AM$9)*1</f>
        <v>6.7679680991043316</v>
      </c>
      <c r="Z57" s="4"/>
      <c r="AA57" s="4"/>
      <c r="AB57" s="4">
        <f>$K$57*$V$57</f>
        <v>2374.0500000000002</v>
      </c>
      <c r="AC57" s="4">
        <f>$M$57*$W$57</f>
        <v>0</v>
      </c>
      <c r="AD57" s="4">
        <f>$O$57*$X$57</f>
        <v>0</v>
      </c>
      <c r="AE57" s="4">
        <f ca="1">$K$57*$Y$57</f>
        <v>2818.8587132769539</v>
      </c>
      <c r="AF57" s="4">
        <f>$M$57*$Z$57</f>
        <v>0</v>
      </c>
      <c r="AG57" s="4">
        <f>$O$57*$AA$57</f>
        <v>0</v>
      </c>
    </row>
    <row r="58" spans="1:33" ht="11.25" customHeight="1" x14ac:dyDescent="0.3">
      <c r="A58" s="3" t="s">
        <v>21</v>
      </c>
      <c r="B58" s="3" t="s">
        <v>34</v>
      </c>
      <c r="C58" s="3" t="s">
        <v>56</v>
      </c>
      <c r="D58" s="3" t="s">
        <v>25</v>
      </c>
      <c r="E58" s="3" t="s">
        <v>25</v>
      </c>
      <c r="F58" s="3" t="s">
        <v>25</v>
      </c>
      <c r="G58" s="3" t="s">
        <v>60</v>
      </c>
      <c r="H58" s="3" t="s">
        <v>25</v>
      </c>
      <c r="I58" s="6">
        <v>44621</v>
      </c>
      <c r="J58" s="4">
        <v>1000</v>
      </c>
      <c r="K58" s="4">
        <v>500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3" t="s">
        <v>58</v>
      </c>
      <c r="R58" s="3">
        <v>30368</v>
      </c>
      <c r="S58" s="4">
        <v>1</v>
      </c>
      <c r="T58" s="4">
        <v>0</v>
      </c>
      <c r="U58" s="4">
        <v>0</v>
      </c>
      <c r="V58" s="4">
        <f>IF(ISERROR(VLOOKUP($S$58,'TAR FIN'!$A$1:$O$85,15,0)),0,VLOOKUP($S$58,'TAR FIN'!$A$1:$O$85,15,0))</f>
        <v>5.7</v>
      </c>
      <c r="W58" s="4">
        <f>IF(ISERROR(VLOOKUP($T$58,'TAR FIN'!$A$1:$O$85,15,0)),0,VLOOKUP($T$58,'TAR FIN'!$A$1:$O$85,15,0))</f>
        <v>0</v>
      </c>
      <c r="X58" s="4">
        <f>IF(ISERROR(VLOOKUP($U$58,'TAR FIN'!$A$1:$O$85,15,0)),0,VLOOKUP($U$58,'TAR FIN'!$A$1:$O$85,15,0))</f>
        <v>0</v>
      </c>
      <c r="Y58" s="4">
        <f ca="1">('TUSD BE'!$AM$9+'TUSD BF'!$AM$9+'TUSD CVA'!$AM$9)*1</f>
        <v>6.7679680991043316</v>
      </c>
      <c r="Z58" s="4"/>
      <c r="AA58" s="4"/>
      <c r="AB58" s="4">
        <f>$K$58*$V$58</f>
        <v>2850</v>
      </c>
      <c r="AC58" s="4">
        <f>$M$58*$W$58</f>
        <v>0</v>
      </c>
      <c r="AD58" s="4">
        <f>$O$58*$X$58</f>
        <v>0</v>
      </c>
      <c r="AE58" s="4">
        <f ca="1">$K$58*$Y$58</f>
        <v>3383.9840495521657</v>
      </c>
      <c r="AF58" s="4">
        <f>$M$58*$Z$58</f>
        <v>0</v>
      </c>
      <c r="AG58" s="4">
        <f>$O$58*$AA$58</f>
        <v>0</v>
      </c>
    </row>
    <row r="59" spans="1:33" ht="11.25" customHeight="1" x14ac:dyDescent="0.3">
      <c r="A59" s="3" t="s">
        <v>21</v>
      </c>
      <c r="B59" s="3" t="s">
        <v>34</v>
      </c>
      <c r="C59" s="3" t="s">
        <v>56</v>
      </c>
      <c r="D59" s="3" t="s">
        <v>25</v>
      </c>
      <c r="E59" s="3" t="s">
        <v>25</v>
      </c>
      <c r="F59" s="3" t="s">
        <v>25</v>
      </c>
      <c r="G59" s="3" t="s">
        <v>61</v>
      </c>
      <c r="H59" s="3" t="s">
        <v>25</v>
      </c>
      <c r="I59" s="6">
        <v>44621</v>
      </c>
      <c r="J59" s="4">
        <v>3130</v>
      </c>
      <c r="K59" s="4">
        <v>1565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3" t="s">
        <v>58</v>
      </c>
      <c r="R59" s="3">
        <v>30494</v>
      </c>
      <c r="S59" s="4">
        <v>1</v>
      </c>
      <c r="T59" s="4">
        <v>0</v>
      </c>
      <c r="U59" s="4">
        <v>0</v>
      </c>
      <c r="V59" s="4">
        <f>IF(ISERROR(VLOOKUP($S$59,'TAR FIN'!$A$1:$O$85,15,0)),0,VLOOKUP($S$59,'TAR FIN'!$A$1:$O$85,15,0))</f>
        <v>5.7</v>
      </c>
      <c r="W59" s="4">
        <f>IF(ISERROR(VLOOKUP($T$59,'TAR FIN'!$A$1:$O$85,15,0)),0,VLOOKUP($T$59,'TAR FIN'!$A$1:$O$85,15,0))</f>
        <v>0</v>
      </c>
      <c r="X59" s="4">
        <f>IF(ISERROR(VLOOKUP($U$59,'TAR FIN'!$A$1:$O$85,15,0)),0,VLOOKUP($U$59,'TAR FIN'!$A$1:$O$85,15,0))</f>
        <v>0</v>
      </c>
      <c r="Y59" s="4">
        <f ca="1">('TUSD BE'!$AM$9+'TUSD BF'!$AM$9+'TUSD CVA'!$AM$9)*1</f>
        <v>6.7679680991043316</v>
      </c>
      <c r="Z59" s="4"/>
      <c r="AA59" s="4"/>
      <c r="AB59" s="4">
        <f>$K$59*$V$59</f>
        <v>8920.5</v>
      </c>
      <c r="AC59" s="4">
        <f>$M$59*$W$59</f>
        <v>0</v>
      </c>
      <c r="AD59" s="4">
        <f>$O$59*$X$59</f>
        <v>0</v>
      </c>
      <c r="AE59" s="4">
        <f ca="1">$K$59*$Y$59</f>
        <v>10591.870075098279</v>
      </c>
      <c r="AF59" s="4">
        <f>$M$59*$Z$59</f>
        <v>0</v>
      </c>
      <c r="AG59" s="4">
        <f>$O$59*$AA$59</f>
        <v>0</v>
      </c>
    </row>
    <row r="60" spans="1:33" ht="11.25" customHeight="1" x14ac:dyDescent="0.3">
      <c r="A60" s="3" t="s">
        <v>21</v>
      </c>
      <c r="B60" s="3" t="s">
        <v>34</v>
      </c>
      <c r="C60" s="3" t="s">
        <v>56</v>
      </c>
      <c r="D60" s="3" t="s">
        <v>25</v>
      </c>
      <c r="E60" s="3" t="s">
        <v>25</v>
      </c>
      <c r="F60" s="3" t="s">
        <v>25</v>
      </c>
      <c r="G60" s="3" t="s">
        <v>62</v>
      </c>
      <c r="H60" s="3" t="s">
        <v>25</v>
      </c>
      <c r="I60" s="6">
        <v>44621</v>
      </c>
      <c r="J60" s="4">
        <v>500</v>
      </c>
      <c r="K60" s="4">
        <v>250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3" t="s">
        <v>58</v>
      </c>
      <c r="R60" s="3">
        <v>27182</v>
      </c>
      <c r="S60" s="4">
        <v>1</v>
      </c>
      <c r="T60" s="4">
        <v>0</v>
      </c>
      <c r="U60" s="4">
        <v>0</v>
      </c>
      <c r="V60" s="4">
        <f>IF(ISERROR(VLOOKUP($S$60,'TAR FIN'!$A$1:$O$85,15,0)),0,VLOOKUP($S$60,'TAR FIN'!$A$1:$O$85,15,0))</f>
        <v>5.7</v>
      </c>
      <c r="W60" s="4">
        <f>IF(ISERROR(VLOOKUP($T$60,'TAR FIN'!$A$1:$O$85,15,0)),0,VLOOKUP($T$60,'TAR FIN'!$A$1:$O$85,15,0))</f>
        <v>0</v>
      </c>
      <c r="X60" s="4">
        <f>IF(ISERROR(VLOOKUP($U$60,'TAR FIN'!$A$1:$O$85,15,0)),0,VLOOKUP($U$60,'TAR FIN'!$A$1:$O$85,15,0))</f>
        <v>0</v>
      </c>
      <c r="Y60" s="4">
        <f ca="1">('TUSD BE'!$AM$9+'TUSD BF'!$AM$9+'TUSD CVA'!$AM$9)*1</f>
        <v>6.7679680991043316</v>
      </c>
      <c r="Z60" s="4"/>
      <c r="AA60" s="4"/>
      <c r="AB60" s="4">
        <f>$K$60*$V$60</f>
        <v>1425</v>
      </c>
      <c r="AC60" s="4">
        <f>$M$60*$W$60</f>
        <v>0</v>
      </c>
      <c r="AD60" s="4">
        <f>$O$60*$X$60</f>
        <v>0</v>
      </c>
      <c r="AE60" s="4">
        <f ca="1">$K$60*$Y$60</f>
        <v>1691.9920247760829</v>
      </c>
      <c r="AF60" s="4">
        <f>$M$60*$Z$60</f>
        <v>0</v>
      </c>
      <c r="AG60" s="4">
        <f>$O$60*$AA$60</f>
        <v>0</v>
      </c>
    </row>
    <row r="61" spans="1:33" ht="11.25" customHeight="1" x14ac:dyDescent="0.3">
      <c r="A61" s="3" t="s">
        <v>21</v>
      </c>
      <c r="B61" s="3" t="s">
        <v>34</v>
      </c>
      <c r="C61" s="3" t="s">
        <v>56</v>
      </c>
      <c r="D61" s="3" t="s">
        <v>25</v>
      </c>
      <c r="E61" s="3" t="s">
        <v>25</v>
      </c>
      <c r="F61" s="3" t="s">
        <v>25</v>
      </c>
      <c r="G61" s="3" t="s">
        <v>57</v>
      </c>
      <c r="H61" s="3" t="s">
        <v>25</v>
      </c>
      <c r="I61" s="6">
        <v>44652</v>
      </c>
      <c r="J61" s="4">
        <v>6000</v>
      </c>
      <c r="K61" s="4">
        <v>3000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3" t="s">
        <v>58</v>
      </c>
      <c r="R61" s="3">
        <v>659</v>
      </c>
      <c r="S61" s="4">
        <v>1</v>
      </c>
      <c r="T61" s="4">
        <v>0</v>
      </c>
      <c r="U61" s="4">
        <v>0</v>
      </c>
      <c r="V61" s="4">
        <f>IF(ISERROR(VLOOKUP($S$61,'TAR FIN'!$A$1:$O$85,15,0)),0,VLOOKUP($S$61,'TAR FIN'!$A$1:$O$85,15,0))</f>
        <v>5.7</v>
      </c>
      <c r="W61" s="4">
        <f>IF(ISERROR(VLOOKUP($T$61,'TAR FIN'!$A$1:$O$85,15,0)),0,VLOOKUP($T$61,'TAR FIN'!$A$1:$O$85,15,0))</f>
        <v>0</v>
      </c>
      <c r="X61" s="4">
        <f>IF(ISERROR(VLOOKUP($U$61,'TAR FIN'!$A$1:$O$85,15,0)),0,VLOOKUP($U$61,'TAR FIN'!$A$1:$O$85,15,0))</f>
        <v>0</v>
      </c>
      <c r="Y61" s="4">
        <f ca="1">('TUSD BE'!$AM$9+'TUSD BF'!$AM$9+'TUSD CVA'!$AM$9)*1</f>
        <v>6.7679680991043316</v>
      </c>
      <c r="Z61" s="4"/>
      <c r="AA61" s="4"/>
      <c r="AB61" s="4">
        <f>$K$61*$V$61</f>
        <v>17100</v>
      </c>
      <c r="AC61" s="4">
        <f>$M$61*$W$61</f>
        <v>0</v>
      </c>
      <c r="AD61" s="4">
        <f>$O$61*$X$61</f>
        <v>0</v>
      </c>
      <c r="AE61" s="4">
        <f ca="1">$K$61*$Y$61</f>
        <v>20303.904297312994</v>
      </c>
      <c r="AF61" s="4">
        <f>$M$61*$Z$61</f>
        <v>0</v>
      </c>
      <c r="AG61" s="4">
        <f>$O$61*$AA$61</f>
        <v>0</v>
      </c>
    </row>
    <row r="62" spans="1:33" ht="11.25" customHeight="1" x14ac:dyDescent="0.3">
      <c r="A62" s="3" t="s">
        <v>21</v>
      </c>
      <c r="B62" s="3" t="s">
        <v>34</v>
      </c>
      <c r="C62" s="3" t="s">
        <v>56</v>
      </c>
      <c r="D62" s="3" t="s">
        <v>25</v>
      </c>
      <c r="E62" s="3" t="s">
        <v>25</v>
      </c>
      <c r="F62" s="3" t="s">
        <v>25</v>
      </c>
      <c r="G62" s="3" t="s">
        <v>59</v>
      </c>
      <c r="H62" s="3" t="s">
        <v>25</v>
      </c>
      <c r="I62" s="6">
        <v>44652</v>
      </c>
      <c r="J62" s="4">
        <v>833</v>
      </c>
      <c r="K62" s="4">
        <v>416.5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3" t="s">
        <v>58</v>
      </c>
      <c r="R62" s="3">
        <v>29592</v>
      </c>
      <c r="S62" s="4">
        <v>1</v>
      </c>
      <c r="T62" s="4">
        <v>0</v>
      </c>
      <c r="U62" s="4">
        <v>0</v>
      </c>
      <c r="V62" s="4">
        <f>IF(ISERROR(VLOOKUP($S$62,'TAR FIN'!$A$1:$O$85,15,0)),0,VLOOKUP($S$62,'TAR FIN'!$A$1:$O$85,15,0))</f>
        <v>5.7</v>
      </c>
      <c r="W62" s="4">
        <f>IF(ISERROR(VLOOKUP($T$62,'TAR FIN'!$A$1:$O$85,15,0)),0,VLOOKUP($T$62,'TAR FIN'!$A$1:$O$85,15,0))</f>
        <v>0</v>
      </c>
      <c r="X62" s="4">
        <f>IF(ISERROR(VLOOKUP($U$62,'TAR FIN'!$A$1:$O$85,15,0)),0,VLOOKUP($U$62,'TAR FIN'!$A$1:$O$85,15,0))</f>
        <v>0</v>
      </c>
      <c r="Y62" s="4">
        <f ca="1">('TUSD BE'!$AM$9+'TUSD BF'!$AM$9+'TUSD CVA'!$AM$9)*1</f>
        <v>6.7679680991043316</v>
      </c>
      <c r="Z62" s="4"/>
      <c r="AA62" s="4"/>
      <c r="AB62" s="4">
        <f>$K$62*$V$62</f>
        <v>2374.0500000000002</v>
      </c>
      <c r="AC62" s="4">
        <f>$M$62*$W$62</f>
        <v>0</v>
      </c>
      <c r="AD62" s="4">
        <f>$O$62*$X$62</f>
        <v>0</v>
      </c>
      <c r="AE62" s="4">
        <f ca="1">$K$62*$Y$62</f>
        <v>2818.8587132769539</v>
      </c>
      <c r="AF62" s="4">
        <f>$M$62*$Z$62</f>
        <v>0</v>
      </c>
      <c r="AG62" s="4">
        <f>$O$62*$AA$62</f>
        <v>0</v>
      </c>
    </row>
    <row r="63" spans="1:33" ht="11.25" customHeight="1" x14ac:dyDescent="0.3">
      <c r="A63" s="3" t="s">
        <v>21</v>
      </c>
      <c r="B63" s="3" t="s">
        <v>34</v>
      </c>
      <c r="C63" s="3" t="s">
        <v>56</v>
      </c>
      <c r="D63" s="3" t="s">
        <v>25</v>
      </c>
      <c r="E63" s="3" t="s">
        <v>25</v>
      </c>
      <c r="F63" s="3" t="s">
        <v>25</v>
      </c>
      <c r="G63" s="3" t="s">
        <v>60</v>
      </c>
      <c r="H63" s="3" t="s">
        <v>25</v>
      </c>
      <c r="I63" s="6">
        <v>44652</v>
      </c>
      <c r="J63" s="4">
        <v>1000</v>
      </c>
      <c r="K63" s="4">
        <v>500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3" t="s">
        <v>58</v>
      </c>
      <c r="R63" s="3">
        <v>30368</v>
      </c>
      <c r="S63" s="4">
        <v>1</v>
      </c>
      <c r="T63" s="4">
        <v>0</v>
      </c>
      <c r="U63" s="4">
        <v>0</v>
      </c>
      <c r="V63" s="4">
        <f>IF(ISERROR(VLOOKUP($S$63,'TAR FIN'!$A$1:$O$85,15,0)),0,VLOOKUP($S$63,'TAR FIN'!$A$1:$O$85,15,0))</f>
        <v>5.7</v>
      </c>
      <c r="W63" s="4">
        <f>IF(ISERROR(VLOOKUP($T$63,'TAR FIN'!$A$1:$O$85,15,0)),0,VLOOKUP($T$63,'TAR FIN'!$A$1:$O$85,15,0))</f>
        <v>0</v>
      </c>
      <c r="X63" s="4">
        <f>IF(ISERROR(VLOOKUP($U$63,'TAR FIN'!$A$1:$O$85,15,0)),0,VLOOKUP($U$63,'TAR FIN'!$A$1:$O$85,15,0))</f>
        <v>0</v>
      </c>
      <c r="Y63" s="4">
        <f ca="1">('TUSD BE'!$AM$9+'TUSD BF'!$AM$9+'TUSD CVA'!$AM$9)*1</f>
        <v>6.7679680991043316</v>
      </c>
      <c r="Z63" s="4"/>
      <c r="AA63" s="4"/>
      <c r="AB63" s="4">
        <f>$K$63*$V$63</f>
        <v>2850</v>
      </c>
      <c r="AC63" s="4">
        <f>$M$63*$W$63</f>
        <v>0</v>
      </c>
      <c r="AD63" s="4">
        <f>$O$63*$X$63</f>
        <v>0</v>
      </c>
      <c r="AE63" s="4">
        <f ca="1">$K$63*$Y$63</f>
        <v>3383.9840495521657</v>
      </c>
      <c r="AF63" s="4">
        <f>$M$63*$Z$63</f>
        <v>0</v>
      </c>
      <c r="AG63" s="4">
        <f>$O$63*$AA$63</f>
        <v>0</v>
      </c>
    </row>
    <row r="64" spans="1:33" ht="11.25" customHeight="1" x14ac:dyDescent="0.3">
      <c r="A64" s="3" t="s">
        <v>21</v>
      </c>
      <c r="B64" s="3" t="s">
        <v>34</v>
      </c>
      <c r="C64" s="3" t="s">
        <v>56</v>
      </c>
      <c r="D64" s="3" t="s">
        <v>25</v>
      </c>
      <c r="E64" s="3" t="s">
        <v>25</v>
      </c>
      <c r="F64" s="3" t="s">
        <v>25</v>
      </c>
      <c r="G64" s="3" t="s">
        <v>61</v>
      </c>
      <c r="H64" s="3" t="s">
        <v>25</v>
      </c>
      <c r="I64" s="6">
        <v>44652</v>
      </c>
      <c r="J64" s="4">
        <v>3130</v>
      </c>
      <c r="K64" s="4">
        <v>1565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3" t="s">
        <v>58</v>
      </c>
      <c r="R64" s="3">
        <v>30494</v>
      </c>
      <c r="S64" s="4">
        <v>1</v>
      </c>
      <c r="T64" s="4">
        <v>0</v>
      </c>
      <c r="U64" s="4">
        <v>0</v>
      </c>
      <c r="V64" s="4">
        <f>IF(ISERROR(VLOOKUP($S$64,'TAR FIN'!$A$1:$O$85,15,0)),0,VLOOKUP($S$64,'TAR FIN'!$A$1:$O$85,15,0))</f>
        <v>5.7</v>
      </c>
      <c r="W64" s="4">
        <f>IF(ISERROR(VLOOKUP($T$64,'TAR FIN'!$A$1:$O$85,15,0)),0,VLOOKUP($T$64,'TAR FIN'!$A$1:$O$85,15,0))</f>
        <v>0</v>
      </c>
      <c r="X64" s="4">
        <f>IF(ISERROR(VLOOKUP($U$64,'TAR FIN'!$A$1:$O$85,15,0)),0,VLOOKUP($U$64,'TAR FIN'!$A$1:$O$85,15,0))</f>
        <v>0</v>
      </c>
      <c r="Y64" s="4">
        <f ca="1">('TUSD BE'!$AM$9+'TUSD BF'!$AM$9+'TUSD CVA'!$AM$9)*1</f>
        <v>6.7679680991043316</v>
      </c>
      <c r="Z64" s="4"/>
      <c r="AA64" s="4"/>
      <c r="AB64" s="4">
        <f>$K$64*$V$64</f>
        <v>8920.5</v>
      </c>
      <c r="AC64" s="4">
        <f>$M$64*$W$64</f>
        <v>0</v>
      </c>
      <c r="AD64" s="4">
        <f>$O$64*$X$64</f>
        <v>0</v>
      </c>
      <c r="AE64" s="4">
        <f ca="1">$K$64*$Y$64</f>
        <v>10591.870075098279</v>
      </c>
      <c r="AF64" s="4">
        <f>$M$64*$Z$64</f>
        <v>0</v>
      </c>
      <c r="AG64" s="4">
        <f>$O$64*$AA$64</f>
        <v>0</v>
      </c>
    </row>
    <row r="65" spans="1:33" ht="11.25" customHeight="1" x14ac:dyDescent="0.3">
      <c r="A65" s="3" t="s">
        <v>21</v>
      </c>
      <c r="B65" s="3" t="s">
        <v>34</v>
      </c>
      <c r="C65" s="3" t="s">
        <v>56</v>
      </c>
      <c r="D65" s="3" t="s">
        <v>25</v>
      </c>
      <c r="E65" s="3" t="s">
        <v>25</v>
      </c>
      <c r="F65" s="3" t="s">
        <v>25</v>
      </c>
      <c r="G65" s="3" t="s">
        <v>62</v>
      </c>
      <c r="H65" s="3" t="s">
        <v>25</v>
      </c>
      <c r="I65" s="6">
        <v>44652</v>
      </c>
      <c r="J65" s="4">
        <v>500</v>
      </c>
      <c r="K65" s="4">
        <v>250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3" t="s">
        <v>58</v>
      </c>
      <c r="R65" s="3">
        <v>27182</v>
      </c>
      <c r="S65" s="4">
        <v>1</v>
      </c>
      <c r="T65" s="4">
        <v>0</v>
      </c>
      <c r="U65" s="4">
        <v>0</v>
      </c>
      <c r="V65" s="4">
        <f>IF(ISERROR(VLOOKUP($S$65,'TAR FIN'!$A$1:$O$85,15,0)),0,VLOOKUP($S$65,'TAR FIN'!$A$1:$O$85,15,0))</f>
        <v>5.7</v>
      </c>
      <c r="W65" s="4">
        <f>IF(ISERROR(VLOOKUP($T$65,'TAR FIN'!$A$1:$O$85,15,0)),0,VLOOKUP($T$65,'TAR FIN'!$A$1:$O$85,15,0))</f>
        <v>0</v>
      </c>
      <c r="X65" s="4">
        <f>IF(ISERROR(VLOOKUP($U$65,'TAR FIN'!$A$1:$O$85,15,0)),0,VLOOKUP($U$65,'TAR FIN'!$A$1:$O$85,15,0))</f>
        <v>0</v>
      </c>
      <c r="Y65" s="4">
        <f ca="1">('TUSD BE'!$AM$9+'TUSD BF'!$AM$9+'TUSD CVA'!$AM$9)*1</f>
        <v>6.7679680991043316</v>
      </c>
      <c r="Z65" s="4"/>
      <c r="AA65" s="4"/>
      <c r="AB65" s="4">
        <f>$K$65*$V$65</f>
        <v>1425</v>
      </c>
      <c r="AC65" s="4">
        <f>$M$65*$W$65</f>
        <v>0</v>
      </c>
      <c r="AD65" s="4">
        <f>$O$65*$X$65</f>
        <v>0</v>
      </c>
      <c r="AE65" s="4">
        <f ca="1">$K$65*$Y$65</f>
        <v>1691.9920247760829</v>
      </c>
      <c r="AF65" s="4">
        <f>$M$65*$Z$65</f>
        <v>0</v>
      </c>
      <c r="AG65" s="4">
        <f>$O$65*$AA$65</f>
        <v>0</v>
      </c>
    </row>
    <row r="66" spans="1:33" ht="11.25" customHeight="1" x14ac:dyDescent="0.3">
      <c r="A66" s="3" t="s">
        <v>21</v>
      </c>
      <c r="B66" s="3" t="s">
        <v>34</v>
      </c>
      <c r="C66" s="3" t="s">
        <v>56</v>
      </c>
      <c r="D66" s="3" t="s">
        <v>25</v>
      </c>
      <c r="E66" s="3" t="s">
        <v>25</v>
      </c>
      <c r="F66" s="3" t="s">
        <v>25</v>
      </c>
      <c r="G66" s="3" t="s">
        <v>57</v>
      </c>
      <c r="H66" s="3" t="s">
        <v>25</v>
      </c>
      <c r="I66" s="6">
        <v>44682</v>
      </c>
      <c r="J66" s="4">
        <v>6000</v>
      </c>
      <c r="K66" s="4">
        <v>3000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3" t="s">
        <v>58</v>
      </c>
      <c r="R66" s="3">
        <v>659</v>
      </c>
      <c r="S66" s="4">
        <v>1</v>
      </c>
      <c r="T66" s="4">
        <v>0</v>
      </c>
      <c r="U66" s="4">
        <v>0</v>
      </c>
      <c r="V66" s="4">
        <f>IF(ISERROR(VLOOKUP($S$66,'TAR FIN'!$A$1:$O$85,15,0)),0,VLOOKUP($S$66,'TAR FIN'!$A$1:$O$85,15,0))</f>
        <v>5.7</v>
      </c>
      <c r="W66" s="4">
        <f>IF(ISERROR(VLOOKUP($T$66,'TAR FIN'!$A$1:$O$85,15,0)),0,VLOOKUP($T$66,'TAR FIN'!$A$1:$O$85,15,0))</f>
        <v>0</v>
      </c>
      <c r="X66" s="4">
        <f>IF(ISERROR(VLOOKUP($U$66,'TAR FIN'!$A$1:$O$85,15,0)),0,VLOOKUP($U$66,'TAR FIN'!$A$1:$O$85,15,0))</f>
        <v>0</v>
      </c>
      <c r="Y66" s="4">
        <f ca="1">('TUSD BE'!$AM$9+'TUSD BF'!$AM$9+'TUSD CVA'!$AM$9)*1</f>
        <v>6.7679680991043316</v>
      </c>
      <c r="Z66" s="4"/>
      <c r="AA66" s="4"/>
      <c r="AB66" s="4">
        <f>$K$66*$V$66</f>
        <v>17100</v>
      </c>
      <c r="AC66" s="4">
        <f>$M$66*$W$66</f>
        <v>0</v>
      </c>
      <c r="AD66" s="4">
        <f>$O$66*$X$66</f>
        <v>0</v>
      </c>
      <c r="AE66" s="4">
        <f ca="1">$K$66*$Y$66</f>
        <v>20303.904297312994</v>
      </c>
      <c r="AF66" s="4">
        <f>$M$66*$Z$66</f>
        <v>0</v>
      </c>
      <c r="AG66" s="4">
        <f>$O$66*$AA$66</f>
        <v>0</v>
      </c>
    </row>
    <row r="67" spans="1:33" ht="11.25" customHeight="1" x14ac:dyDescent="0.3">
      <c r="A67" s="3" t="s">
        <v>21</v>
      </c>
      <c r="B67" s="3" t="s">
        <v>34</v>
      </c>
      <c r="C67" s="3" t="s">
        <v>56</v>
      </c>
      <c r="D67" s="3" t="s">
        <v>25</v>
      </c>
      <c r="E67" s="3" t="s">
        <v>25</v>
      </c>
      <c r="F67" s="3" t="s">
        <v>25</v>
      </c>
      <c r="G67" s="3" t="s">
        <v>59</v>
      </c>
      <c r="H67" s="3" t="s">
        <v>25</v>
      </c>
      <c r="I67" s="6">
        <v>44682</v>
      </c>
      <c r="J67" s="4">
        <v>833</v>
      </c>
      <c r="K67" s="4">
        <v>416.5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3" t="s">
        <v>58</v>
      </c>
      <c r="R67" s="3">
        <v>29592</v>
      </c>
      <c r="S67" s="4">
        <v>1</v>
      </c>
      <c r="T67" s="4">
        <v>0</v>
      </c>
      <c r="U67" s="4">
        <v>0</v>
      </c>
      <c r="V67" s="4">
        <f>IF(ISERROR(VLOOKUP($S$67,'TAR FIN'!$A$1:$O$85,15,0)),0,VLOOKUP($S$67,'TAR FIN'!$A$1:$O$85,15,0))</f>
        <v>5.7</v>
      </c>
      <c r="W67" s="4">
        <f>IF(ISERROR(VLOOKUP($T$67,'TAR FIN'!$A$1:$O$85,15,0)),0,VLOOKUP($T$67,'TAR FIN'!$A$1:$O$85,15,0))</f>
        <v>0</v>
      </c>
      <c r="X67" s="4">
        <f>IF(ISERROR(VLOOKUP($U$67,'TAR FIN'!$A$1:$O$85,15,0)),0,VLOOKUP($U$67,'TAR FIN'!$A$1:$O$85,15,0))</f>
        <v>0</v>
      </c>
      <c r="Y67" s="4">
        <f ca="1">('TUSD BE'!$AM$9+'TUSD BF'!$AM$9+'TUSD CVA'!$AM$9)*1</f>
        <v>6.7679680991043316</v>
      </c>
      <c r="Z67" s="4"/>
      <c r="AA67" s="4"/>
      <c r="AB67" s="4">
        <f>$K$67*$V$67</f>
        <v>2374.0500000000002</v>
      </c>
      <c r="AC67" s="4">
        <f>$M$67*$W$67</f>
        <v>0</v>
      </c>
      <c r="AD67" s="4">
        <f>$O$67*$X$67</f>
        <v>0</v>
      </c>
      <c r="AE67" s="4">
        <f ca="1">$K$67*$Y$67</f>
        <v>2818.8587132769539</v>
      </c>
      <c r="AF67" s="4">
        <f>$M$67*$Z$67</f>
        <v>0</v>
      </c>
      <c r="AG67" s="4">
        <f>$O$67*$AA$67</f>
        <v>0</v>
      </c>
    </row>
    <row r="68" spans="1:33" ht="11.25" customHeight="1" x14ac:dyDescent="0.3">
      <c r="A68" s="3" t="s">
        <v>21</v>
      </c>
      <c r="B68" s="3" t="s">
        <v>34</v>
      </c>
      <c r="C68" s="3" t="s">
        <v>56</v>
      </c>
      <c r="D68" s="3" t="s">
        <v>25</v>
      </c>
      <c r="E68" s="3" t="s">
        <v>25</v>
      </c>
      <c r="F68" s="3" t="s">
        <v>25</v>
      </c>
      <c r="G68" s="3" t="s">
        <v>60</v>
      </c>
      <c r="H68" s="3" t="s">
        <v>25</v>
      </c>
      <c r="I68" s="6">
        <v>44682</v>
      </c>
      <c r="J68" s="4">
        <v>1000</v>
      </c>
      <c r="K68" s="4">
        <v>500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3" t="s">
        <v>58</v>
      </c>
      <c r="R68" s="3">
        <v>30368</v>
      </c>
      <c r="S68" s="4">
        <v>1</v>
      </c>
      <c r="T68" s="4">
        <v>0</v>
      </c>
      <c r="U68" s="4">
        <v>0</v>
      </c>
      <c r="V68" s="4">
        <f>IF(ISERROR(VLOOKUP($S$68,'TAR FIN'!$A$1:$O$85,15,0)),0,VLOOKUP($S$68,'TAR FIN'!$A$1:$O$85,15,0))</f>
        <v>5.7</v>
      </c>
      <c r="W68" s="4">
        <f>IF(ISERROR(VLOOKUP($T$68,'TAR FIN'!$A$1:$O$85,15,0)),0,VLOOKUP($T$68,'TAR FIN'!$A$1:$O$85,15,0))</f>
        <v>0</v>
      </c>
      <c r="X68" s="4">
        <f>IF(ISERROR(VLOOKUP($U$68,'TAR FIN'!$A$1:$O$85,15,0)),0,VLOOKUP($U$68,'TAR FIN'!$A$1:$O$85,15,0))</f>
        <v>0</v>
      </c>
      <c r="Y68" s="4">
        <f ca="1">('TUSD BE'!$AM$9+'TUSD BF'!$AM$9+'TUSD CVA'!$AM$9)*1</f>
        <v>6.7679680991043316</v>
      </c>
      <c r="Z68" s="4"/>
      <c r="AA68" s="4"/>
      <c r="AB68" s="4">
        <f>$K$68*$V$68</f>
        <v>2850</v>
      </c>
      <c r="AC68" s="4">
        <f>$M$68*$W$68</f>
        <v>0</v>
      </c>
      <c r="AD68" s="4">
        <f>$O$68*$X$68</f>
        <v>0</v>
      </c>
      <c r="AE68" s="4">
        <f ca="1">$K$68*$Y$68</f>
        <v>3383.9840495521657</v>
      </c>
      <c r="AF68" s="4">
        <f>$M$68*$Z$68</f>
        <v>0</v>
      </c>
      <c r="AG68" s="4">
        <f>$O$68*$AA$68</f>
        <v>0</v>
      </c>
    </row>
    <row r="69" spans="1:33" ht="11.25" customHeight="1" x14ac:dyDescent="0.3">
      <c r="A69" s="3" t="s">
        <v>21</v>
      </c>
      <c r="B69" s="3" t="s">
        <v>34</v>
      </c>
      <c r="C69" s="3" t="s">
        <v>56</v>
      </c>
      <c r="D69" s="3" t="s">
        <v>25</v>
      </c>
      <c r="E69" s="3" t="s">
        <v>25</v>
      </c>
      <c r="F69" s="3" t="s">
        <v>25</v>
      </c>
      <c r="G69" s="3" t="s">
        <v>61</v>
      </c>
      <c r="H69" s="3" t="s">
        <v>25</v>
      </c>
      <c r="I69" s="6">
        <v>44682</v>
      </c>
      <c r="J69" s="4">
        <v>3130</v>
      </c>
      <c r="K69" s="4">
        <v>1565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3" t="s">
        <v>58</v>
      </c>
      <c r="R69" s="3">
        <v>30494</v>
      </c>
      <c r="S69" s="4">
        <v>1</v>
      </c>
      <c r="T69" s="4">
        <v>0</v>
      </c>
      <c r="U69" s="4">
        <v>0</v>
      </c>
      <c r="V69" s="4">
        <f>IF(ISERROR(VLOOKUP($S$69,'TAR FIN'!$A$1:$O$85,15,0)),0,VLOOKUP($S$69,'TAR FIN'!$A$1:$O$85,15,0))</f>
        <v>5.7</v>
      </c>
      <c r="W69" s="4">
        <f>IF(ISERROR(VLOOKUP($T$69,'TAR FIN'!$A$1:$O$85,15,0)),0,VLOOKUP($T$69,'TAR FIN'!$A$1:$O$85,15,0))</f>
        <v>0</v>
      </c>
      <c r="X69" s="4">
        <f>IF(ISERROR(VLOOKUP($U$69,'TAR FIN'!$A$1:$O$85,15,0)),0,VLOOKUP($U$69,'TAR FIN'!$A$1:$O$85,15,0))</f>
        <v>0</v>
      </c>
      <c r="Y69" s="4">
        <f ca="1">('TUSD BE'!$AM$9+'TUSD BF'!$AM$9+'TUSD CVA'!$AM$9)*1</f>
        <v>6.7679680991043316</v>
      </c>
      <c r="Z69" s="4"/>
      <c r="AA69" s="4"/>
      <c r="AB69" s="4">
        <f>$K$69*$V$69</f>
        <v>8920.5</v>
      </c>
      <c r="AC69" s="4">
        <f>$M$69*$W$69</f>
        <v>0</v>
      </c>
      <c r="AD69" s="4">
        <f>$O$69*$X$69</f>
        <v>0</v>
      </c>
      <c r="AE69" s="4">
        <f ca="1">$K$69*$Y$69</f>
        <v>10591.870075098279</v>
      </c>
      <c r="AF69" s="4">
        <f>$M$69*$Z$69</f>
        <v>0</v>
      </c>
      <c r="AG69" s="4">
        <f>$O$69*$AA$69</f>
        <v>0</v>
      </c>
    </row>
    <row r="70" spans="1:33" ht="11.25" customHeight="1" x14ac:dyDescent="0.3">
      <c r="A70" s="3" t="s">
        <v>21</v>
      </c>
      <c r="B70" s="3" t="s">
        <v>34</v>
      </c>
      <c r="C70" s="3" t="s">
        <v>56</v>
      </c>
      <c r="D70" s="3" t="s">
        <v>25</v>
      </c>
      <c r="E70" s="3" t="s">
        <v>25</v>
      </c>
      <c r="F70" s="3" t="s">
        <v>25</v>
      </c>
      <c r="G70" s="3" t="s">
        <v>62</v>
      </c>
      <c r="H70" s="3" t="s">
        <v>25</v>
      </c>
      <c r="I70" s="6">
        <v>44682</v>
      </c>
      <c r="J70" s="4">
        <v>500</v>
      </c>
      <c r="K70" s="4">
        <v>250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3" t="s">
        <v>58</v>
      </c>
      <c r="R70" s="3">
        <v>27182</v>
      </c>
      <c r="S70" s="4">
        <v>1</v>
      </c>
      <c r="T70" s="4">
        <v>0</v>
      </c>
      <c r="U70" s="4">
        <v>0</v>
      </c>
      <c r="V70" s="4">
        <f>IF(ISERROR(VLOOKUP($S$70,'TAR FIN'!$A$1:$O$85,15,0)),0,VLOOKUP($S$70,'TAR FIN'!$A$1:$O$85,15,0))</f>
        <v>5.7</v>
      </c>
      <c r="W70" s="4">
        <f>IF(ISERROR(VLOOKUP($T$70,'TAR FIN'!$A$1:$O$85,15,0)),0,VLOOKUP($T$70,'TAR FIN'!$A$1:$O$85,15,0))</f>
        <v>0</v>
      </c>
      <c r="X70" s="4">
        <f>IF(ISERROR(VLOOKUP($U$70,'TAR FIN'!$A$1:$O$85,15,0)),0,VLOOKUP($U$70,'TAR FIN'!$A$1:$O$85,15,0))</f>
        <v>0</v>
      </c>
      <c r="Y70" s="4">
        <f ca="1">('TUSD BE'!$AM$9+'TUSD BF'!$AM$9+'TUSD CVA'!$AM$9)*1</f>
        <v>6.7679680991043316</v>
      </c>
      <c r="Z70" s="4"/>
      <c r="AA70" s="4"/>
      <c r="AB70" s="4">
        <f>$K$70*$V$70</f>
        <v>1425</v>
      </c>
      <c r="AC70" s="4">
        <f>$M$70*$W$70</f>
        <v>0</v>
      </c>
      <c r="AD70" s="4">
        <f>$O$70*$X$70</f>
        <v>0</v>
      </c>
      <c r="AE70" s="4">
        <f ca="1">$K$70*$Y$70</f>
        <v>1691.9920247760829</v>
      </c>
      <c r="AF70" s="4">
        <f>$M$70*$Z$70</f>
        <v>0</v>
      </c>
      <c r="AG70" s="4">
        <f>$O$70*$AA$70</f>
        <v>0</v>
      </c>
    </row>
    <row r="71" spans="1:33" ht="11.25" customHeight="1" x14ac:dyDescent="0.3">
      <c r="A71" s="3" t="s">
        <v>21</v>
      </c>
      <c r="B71" s="3" t="s">
        <v>34</v>
      </c>
      <c r="C71" s="3" t="s">
        <v>56</v>
      </c>
      <c r="D71" s="3" t="s">
        <v>25</v>
      </c>
      <c r="E71" s="3" t="s">
        <v>25</v>
      </c>
      <c r="F71" s="3" t="s">
        <v>25</v>
      </c>
      <c r="G71" s="3" t="s">
        <v>57</v>
      </c>
      <c r="H71" s="3" t="s">
        <v>25</v>
      </c>
      <c r="I71" s="6">
        <v>44713</v>
      </c>
      <c r="J71" s="4">
        <v>6000</v>
      </c>
      <c r="K71" s="4">
        <v>3000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3" t="s">
        <v>58</v>
      </c>
      <c r="R71" s="3">
        <v>659</v>
      </c>
      <c r="S71" s="4">
        <v>1</v>
      </c>
      <c r="T71" s="4">
        <v>0</v>
      </c>
      <c r="U71" s="4">
        <v>0</v>
      </c>
      <c r="V71" s="4">
        <f>IF(ISERROR(VLOOKUP($S$71,'TAR FIN'!$A$1:$O$85,15,0)),0,VLOOKUP($S$71,'TAR FIN'!$A$1:$O$85,15,0))</f>
        <v>5.7</v>
      </c>
      <c r="W71" s="4">
        <f>IF(ISERROR(VLOOKUP($T$71,'TAR FIN'!$A$1:$O$85,15,0)),0,VLOOKUP($T$71,'TAR FIN'!$A$1:$O$85,15,0))</f>
        <v>0</v>
      </c>
      <c r="X71" s="4">
        <f>IF(ISERROR(VLOOKUP($U$71,'TAR FIN'!$A$1:$O$85,15,0)),0,VLOOKUP($U$71,'TAR FIN'!$A$1:$O$85,15,0))</f>
        <v>0</v>
      </c>
      <c r="Y71" s="4">
        <f ca="1">('TUSD BE'!$AM$9+'TUSD BF'!$AM$9+'TUSD CVA'!$AM$9)*1</f>
        <v>6.7679680991043316</v>
      </c>
      <c r="Z71" s="4"/>
      <c r="AA71" s="4"/>
      <c r="AB71" s="4">
        <f>$K$71*$V$71</f>
        <v>17100</v>
      </c>
      <c r="AC71" s="4">
        <f>$M$71*$W$71</f>
        <v>0</v>
      </c>
      <c r="AD71" s="4">
        <f>$O$71*$X$71</f>
        <v>0</v>
      </c>
      <c r="AE71" s="4">
        <f ca="1">$K$71*$Y$71</f>
        <v>20303.904297312994</v>
      </c>
      <c r="AF71" s="4">
        <f>$M$71*$Z$71</f>
        <v>0</v>
      </c>
      <c r="AG71" s="4">
        <f>$O$71*$AA$71</f>
        <v>0</v>
      </c>
    </row>
    <row r="72" spans="1:33" ht="11.25" customHeight="1" x14ac:dyDescent="0.3">
      <c r="A72" s="3" t="s">
        <v>21</v>
      </c>
      <c r="B72" s="3" t="s">
        <v>34</v>
      </c>
      <c r="C72" s="3" t="s">
        <v>56</v>
      </c>
      <c r="D72" s="3" t="s">
        <v>25</v>
      </c>
      <c r="E72" s="3" t="s">
        <v>25</v>
      </c>
      <c r="F72" s="3" t="s">
        <v>25</v>
      </c>
      <c r="G72" s="3" t="s">
        <v>59</v>
      </c>
      <c r="H72" s="3" t="s">
        <v>25</v>
      </c>
      <c r="I72" s="6">
        <v>44713</v>
      </c>
      <c r="J72" s="4">
        <v>833</v>
      </c>
      <c r="K72" s="4">
        <v>416.5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3" t="s">
        <v>58</v>
      </c>
      <c r="R72" s="3">
        <v>29592</v>
      </c>
      <c r="S72" s="4">
        <v>1</v>
      </c>
      <c r="T72" s="4">
        <v>0</v>
      </c>
      <c r="U72" s="4">
        <v>0</v>
      </c>
      <c r="V72" s="4">
        <f>IF(ISERROR(VLOOKUP($S$72,'TAR FIN'!$A$1:$O$85,15,0)),0,VLOOKUP($S$72,'TAR FIN'!$A$1:$O$85,15,0))</f>
        <v>5.7</v>
      </c>
      <c r="W72" s="4">
        <f>IF(ISERROR(VLOOKUP($T$72,'TAR FIN'!$A$1:$O$85,15,0)),0,VLOOKUP($T$72,'TAR FIN'!$A$1:$O$85,15,0))</f>
        <v>0</v>
      </c>
      <c r="X72" s="4">
        <f>IF(ISERROR(VLOOKUP($U$72,'TAR FIN'!$A$1:$O$85,15,0)),0,VLOOKUP($U$72,'TAR FIN'!$A$1:$O$85,15,0))</f>
        <v>0</v>
      </c>
      <c r="Y72" s="4">
        <f ca="1">('TUSD BE'!$AM$9+'TUSD BF'!$AM$9+'TUSD CVA'!$AM$9)*1</f>
        <v>6.7679680991043316</v>
      </c>
      <c r="Z72" s="4"/>
      <c r="AA72" s="4"/>
      <c r="AB72" s="4">
        <f>$K$72*$V$72</f>
        <v>2374.0500000000002</v>
      </c>
      <c r="AC72" s="4">
        <f>$M$72*$W$72</f>
        <v>0</v>
      </c>
      <c r="AD72" s="4">
        <f>$O$72*$X$72</f>
        <v>0</v>
      </c>
      <c r="AE72" s="4">
        <f ca="1">$K$72*$Y$72</f>
        <v>2818.8587132769539</v>
      </c>
      <c r="AF72" s="4">
        <f>$M$72*$Z$72</f>
        <v>0</v>
      </c>
      <c r="AG72" s="4">
        <f>$O$72*$AA$72</f>
        <v>0</v>
      </c>
    </row>
    <row r="73" spans="1:33" ht="11.25" customHeight="1" x14ac:dyDescent="0.3">
      <c r="A73" s="3" t="s">
        <v>21</v>
      </c>
      <c r="B73" s="3" t="s">
        <v>34</v>
      </c>
      <c r="C73" s="3" t="s">
        <v>56</v>
      </c>
      <c r="D73" s="3" t="s">
        <v>25</v>
      </c>
      <c r="E73" s="3" t="s">
        <v>25</v>
      </c>
      <c r="F73" s="3" t="s">
        <v>25</v>
      </c>
      <c r="G73" s="3" t="s">
        <v>60</v>
      </c>
      <c r="H73" s="3" t="s">
        <v>25</v>
      </c>
      <c r="I73" s="6">
        <v>44713</v>
      </c>
      <c r="J73" s="4">
        <v>1000</v>
      </c>
      <c r="K73" s="4">
        <v>500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3" t="s">
        <v>58</v>
      </c>
      <c r="R73" s="3">
        <v>30368</v>
      </c>
      <c r="S73" s="4">
        <v>1</v>
      </c>
      <c r="T73" s="4">
        <v>0</v>
      </c>
      <c r="U73" s="4">
        <v>0</v>
      </c>
      <c r="V73" s="4">
        <f>IF(ISERROR(VLOOKUP($S$73,'TAR FIN'!$A$1:$O$85,15,0)),0,VLOOKUP($S$73,'TAR FIN'!$A$1:$O$85,15,0))</f>
        <v>5.7</v>
      </c>
      <c r="W73" s="4">
        <f>IF(ISERROR(VLOOKUP($T$73,'TAR FIN'!$A$1:$O$85,15,0)),0,VLOOKUP($T$73,'TAR FIN'!$A$1:$O$85,15,0))</f>
        <v>0</v>
      </c>
      <c r="X73" s="4">
        <f>IF(ISERROR(VLOOKUP($U$73,'TAR FIN'!$A$1:$O$85,15,0)),0,VLOOKUP($U$73,'TAR FIN'!$A$1:$O$85,15,0))</f>
        <v>0</v>
      </c>
      <c r="Y73" s="4">
        <f ca="1">('TUSD BE'!$AM$9+'TUSD BF'!$AM$9+'TUSD CVA'!$AM$9)*1</f>
        <v>6.7679680991043316</v>
      </c>
      <c r="Z73" s="4"/>
      <c r="AA73" s="4"/>
      <c r="AB73" s="4">
        <f>$K$73*$V$73</f>
        <v>2850</v>
      </c>
      <c r="AC73" s="4">
        <f>$M$73*$W$73</f>
        <v>0</v>
      </c>
      <c r="AD73" s="4">
        <f>$O$73*$X$73</f>
        <v>0</v>
      </c>
      <c r="AE73" s="4">
        <f ca="1">$K$73*$Y$73</f>
        <v>3383.9840495521657</v>
      </c>
      <c r="AF73" s="4">
        <f>$M$73*$Z$73</f>
        <v>0</v>
      </c>
      <c r="AG73" s="4">
        <f>$O$73*$AA$73</f>
        <v>0</v>
      </c>
    </row>
    <row r="74" spans="1:33" ht="11.25" customHeight="1" x14ac:dyDescent="0.3">
      <c r="A74" s="3" t="s">
        <v>21</v>
      </c>
      <c r="B74" s="3" t="s">
        <v>34</v>
      </c>
      <c r="C74" s="3" t="s">
        <v>56</v>
      </c>
      <c r="D74" s="3" t="s">
        <v>25</v>
      </c>
      <c r="E74" s="3" t="s">
        <v>25</v>
      </c>
      <c r="F74" s="3" t="s">
        <v>25</v>
      </c>
      <c r="G74" s="3" t="s">
        <v>61</v>
      </c>
      <c r="H74" s="3" t="s">
        <v>25</v>
      </c>
      <c r="I74" s="6">
        <v>44713</v>
      </c>
      <c r="J74" s="4">
        <v>3130</v>
      </c>
      <c r="K74" s="4">
        <v>1565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3" t="s">
        <v>58</v>
      </c>
      <c r="R74" s="3">
        <v>30494</v>
      </c>
      <c r="S74" s="4">
        <v>1</v>
      </c>
      <c r="T74" s="4">
        <v>0</v>
      </c>
      <c r="U74" s="4">
        <v>0</v>
      </c>
      <c r="V74" s="4">
        <f>IF(ISERROR(VLOOKUP($S$74,'TAR FIN'!$A$1:$O$85,15,0)),0,VLOOKUP($S$74,'TAR FIN'!$A$1:$O$85,15,0))</f>
        <v>5.7</v>
      </c>
      <c r="W74" s="4">
        <f>IF(ISERROR(VLOOKUP($T$74,'TAR FIN'!$A$1:$O$85,15,0)),0,VLOOKUP($T$74,'TAR FIN'!$A$1:$O$85,15,0))</f>
        <v>0</v>
      </c>
      <c r="X74" s="4">
        <f>IF(ISERROR(VLOOKUP($U$74,'TAR FIN'!$A$1:$O$85,15,0)),0,VLOOKUP($U$74,'TAR FIN'!$A$1:$O$85,15,0))</f>
        <v>0</v>
      </c>
      <c r="Y74" s="4">
        <f ca="1">('TUSD BE'!$AM$9+'TUSD BF'!$AM$9+'TUSD CVA'!$AM$9)*1</f>
        <v>6.7679680991043316</v>
      </c>
      <c r="Z74" s="4"/>
      <c r="AA74" s="4"/>
      <c r="AB74" s="4">
        <f>$K$74*$V$74</f>
        <v>8920.5</v>
      </c>
      <c r="AC74" s="4">
        <f>$M$74*$W$74</f>
        <v>0</v>
      </c>
      <c r="AD74" s="4">
        <f>$O$74*$X$74</f>
        <v>0</v>
      </c>
      <c r="AE74" s="4">
        <f ca="1">$K$74*$Y$74</f>
        <v>10591.870075098279</v>
      </c>
      <c r="AF74" s="4">
        <f>$M$74*$Z$74</f>
        <v>0</v>
      </c>
      <c r="AG74" s="4">
        <f>$O$74*$AA$74</f>
        <v>0</v>
      </c>
    </row>
    <row r="75" spans="1:33" ht="11.25" customHeight="1" x14ac:dyDescent="0.3">
      <c r="A75" s="3" t="s">
        <v>21</v>
      </c>
      <c r="B75" s="3" t="s">
        <v>34</v>
      </c>
      <c r="C75" s="3" t="s">
        <v>56</v>
      </c>
      <c r="D75" s="3" t="s">
        <v>25</v>
      </c>
      <c r="E75" s="3" t="s">
        <v>25</v>
      </c>
      <c r="F75" s="3" t="s">
        <v>25</v>
      </c>
      <c r="G75" s="3" t="s">
        <v>62</v>
      </c>
      <c r="H75" s="3" t="s">
        <v>25</v>
      </c>
      <c r="I75" s="6">
        <v>44713</v>
      </c>
      <c r="J75" s="4">
        <v>500</v>
      </c>
      <c r="K75" s="4">
        <v>250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3" t="s">
        <v>58</v>
      </c>
      <c r="R75" s="3">
        <v>27182</v>
      </c>
      <c r="S75" s="4">
        <v>1</v>
      </c>
      <c r="T75" s="4">
        <v>0</v>
      </c>
      <c r="U75" s="4">
        <v>0</v>
      </c>
      <c r="V75" s="4">
        <f>IF(ISERROR(VLOOKUP($S$75,'TAR FIN'!$A$1:$O$85,15,0)),0,VLOOKUP($S$75,'TAR FIN'!$A$1:$O$85,15,0))</f>
        <v>5.7</v>
      </c>
      <c r="W75" s="4">
        <f>IF(ISERROR(VLOOKUP($T$75,'TAR FIN'!$A$1:$O$85,15,0)),0,VLOOKUP($T$75,'TAR FIN'!$A$1:$O$85,15,0))</f>
        <v>0</v>
      </c>
      <c r="X75" s="4">
        <f>IF(ISERROR(VLOOKUP($U$75,'TAR FIN'!$A$1:$O$85,15,0)),0,VLOOKUP($U$75,'TAR FIN'!$A$1:$O$85,15,0))</f>
        <v>0</v>
      </c>
      <c r="Y75" s="4">
        <f ca="1">('TUSD BE'!$AM$9+'TUSD BF'!$AM$9+'TUSD CVA'!$AM$9)*1</f>
        <v>6.7679680991043316</v>
      </c>
      <c r="Z75" s="4"/>
      <c r="AA75" s="4"/>
      <c r="AB75" s="4">
        <f>$K$75*$V$75</f>
        <v>1425</v>
      </c>
      <c r="AC75" s="4">
        <f>$M$75*$W$75</f>
        <v>0</v>
      </c>
      <c r="AD75" s="4">
        <f>$O$75*$X$75</f>
        <v>0</v>
      </c>
      <c r="AE75" s="4">
        <f ca="1">$K$75*$Y$75</f>
        <v>1691.9920247760829</v>
      </c>
      <c r="AF75" s="4">
        <f>$M$75*$Z$75</f>
        <v>0</v>
      </c>
      <c r="AG75" s="4">
        <f>$O$75*$AA$75</f>
        <v>0</v>
      </c>
    </row>
    <row r="76" spans="1:33" ht="11.25" customHeight="1" x14ac:dyDescent="0.3">
      <c r="A76" s="3" t="s">
        <v>21</v>
      </c>
      <c r="B76" s="3" t="s">
        <v>34</v>
      </c>
      <c r="C76" s="3" t="s">
        <v>56</v>
      </c>
      <c r="D76" s="3" t="s">
        <v>25</v>
      </c>
      <c r="E76" s="3" t="s">
        <v>25</v>
      </c>
      <c r="F76" s="3" t="s">
        <v>25</v>
      </c>
      <c r="G76" s="3" t="s">
        <v>57</v>
      </c>
      <c r="H76" s="3" t="s">
        <v>25</v>
      </c>
      <c r="I76" s="6">
        <v>44743</v>
      </c>
      <c r="J76" s="4">
        <v>6000</v>
      </c>
      <c r="K76" s="4">
        <v>3000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3" t="s">
        <v>58</v>
      </c>
      <c r="R76" s="3">
        <v>659</v>
      </c>
      <c r="S76" s="4">
        <v>1</v>
      </c>
      <c r="T76" s="4">
        <v>0</v>
      </c>
      <c r="U76" s="4">
        <v>0</v>
      </c>
      <c r="V76" s="4">
        <f>IF(ISERROR(VLOOKUP($S$76,'TAR FIN'!$A$1:$O$85,15,0)),0,VLOOKUP($S$76,'TAR FIN'!$A$1:$O$85,15,0))</f>
        <v>5.7</v>
      </c>
      <c r="W76" s="4">
        <f>IF(ISERROR(VLOOKUP($T$76,'TAR FIN'!$A$1:$O$85,15,0)),0,VLOOKUP($T$76,'TAR FIN'!$A$1:$O$85,15,0))</f>
        <v>0</v>
      </c>
      <c r="X76" s="4">
        <f>IF(ISERROR(VLOOKUP($U$76,'TAR FIN'!$A$1:$O$85,15,0)),0,VLOOKUP($U$76,'TAR FIN'!$A$1:$O$85,15,0))</f>
        <v>0</v>
      </c>
      <c r="Y76" s="4">
        <f ca="1">('TUSD BE'!$AM$9+'TUSD BF'!$AM$9+'TUSD CVA'!$AM$9)*1</f>
        <v>6.7679680991043316</v>
      </c>
      <c r="Z76" s="4"/>
      <c r="AA76" s="4"/>
      <c r="AB76" s="4">
        <f>$K$76*$V$76</f>
        <v>17100</v>
      </c>
      <c r="AC76" s="4">
        <f>$M$76*$W$76</f>
        <v>0</v>
      </c>
      <c r="AD76" s="4">
        <f>$O$76*$X$76</f>
        <v>0</v>
      </c>
      <c r="AE76" s="4">
        <f ca="1">$K$76*$Y$76</f>
        <v>20303.904297312994</v>
      </c>
      <c r="AF76" s="4">
        <f>$M$76*$Z$76</f>
        <v>0</v>
      </c>
      <c r="AG76" s="4">
        <f>$O$76*$AA$76</f>
        <v>0</v>
      </c>
    </row>
    <row r="77" spans="1:33" ht="11.25" customHeight="1" x14ac:dyDescent="0.3">
      <c r="A77" s="3" t="s">
        <v>21</v>
      </c>
      <c r="B77" s="3" t="s">
        <v>34</v>
      </c>
      <c r="C77" s="3" t="s">
        <v>56</v>
      </c>
      <c r="D77" s="3" t="s">
        <v>25</v>
      </c>
      <c r="E77" s="3" t="s">
        <v>25</v>
      </c>
      <c r="F77" s="3" t="s">
        <v>25</v>
      </c>
      <c r="G77" s="3" t="s">
        <v>59</v>
      </c>
      <c r="H77" s="3" t="s">
        <v>25</v>
      </c>
      <c r="I77" s="6">
        <v>44743</v>
      </c>
      <c r="J77" s="4">
        <v>833</v>
      </c>
      <c r="K77" s="4">
        <v>416.5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3" t="s">
        <v>58</v>
      </c>
      <c r="R77" s="3">
        <v>29592</v>
      </c>
      <c r="S77" s="4">
        <v>1</v>
      </c>
      <c r="T77" s="4">
        <v>0</v>
      </c>
      <c r="U77" s="4">
        <v>0</v>
      </c>
      <c r="V77" s="4">
        <f>IF(ISERROR(VLOOKUP($S$77,'TAR FIN'!$A$1:$O$85,15,0)),0,VLOOKUP($S$77,'TAR FIN'!$A$1:$O$85,15,0))</f>
        <v>5.7</v>
      </c>
      <c r="W77" s="4">
        <f>IF(ISERROR(VLOOKUP($T$77,'TAR FIN'!$A$1:$O$85,15,0)),0,VLOOKUP($T$77,'TAR FIN'!$A$1:$O$85,15,0))</f>
        <v>0</v>
      </c>
      <c r="X77" s="4">
        <f>IF(ISERROR(VLOOKUP($U$77,'TAR FIN'!$A$1:$O$85,15,0)),0,VLOOKUP($U$77,'TAR FIN'!$A$1:$O$85,15,0))</f>
        <v>0</v>
      </c>
      <c r="Y77" s="4">
        <f ca="1">('TUSD BE'!$AM$9+'TUSD BF'!$AM$9+'TUSD CVA'!$AM$9)*1</f>
        <v>6.7679680991043316</v>
      </c>
      <c r="Z77" s="4"/>
      <c r="AA77" s="4"/>
      <c r="AB77" s="4">
        <f>$K$77*$V$77</f>
        <v>2374.0500000000002</v>
      </c>
      <c r="AC77" s="4">
        <f>$M$77*$W$77</f>
        <v>0</v>
      </c>
      <c r="AD77" s="4">
        <f>$O$77*$X$77</f>
        <v>0</v>
      </c>
      <c r="AE77" s="4">
        <f ca="1">$K$77*$Y$77</f>
        <v>2818.8587132769539</v>
      </c>
      <c r="AF77" s="4">
        <f>$M$77*$Z$77</f>
        <v>0</v>
      </c>
      <c r="AG77" s="4">
        <f>$O$77*$AA$77</f>
        <v>0</v>
      </c>
    </row>
    <row r="78" spans="1:33" ht="11.25" customHeight="1" x14ac:dyDescent="0.3">
      <c r="A78" s="3" t="s">
        <v>21</v>
      </c>
      <c r="B78" s="3" t="s">
        <v>34</v>
      </c>
      <c r="C78" s="3" t="s">
        <v>56</v>
      </c>
      <c r="D78" s="3" t="s">
        <v>25</v>
      </c>
      <c r="E78" s="3" t="s">
        <v>25</v>
      </c>
      <c r="F78" s="3" t="s">
        <v>25</v>
      </c>
      <c r="G78" s="3" t="s">
        <v>60</v>
      </c>
      <c r="H78" s="3" t="s">
        <v>25</v>
      </c>
      <c r="I78" s="6">
        <v>44743</v>
      </c>
      <c r="J78" s="4">
        <v>1000</v>
      </c>
      <c r="K78" s="4">
        <v>500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3" t="s">
        <v>58</v>
      </c>
      <c r="R78" s="3">
        <v>30368</v>
      </c>
      <c r="S78" s="4">
        <v>1</v>
      </c>
      <c r="T78" s="4">
        <v>0</v>
      </c>
      <c r="U78" s="4">
        <v>0</v>
      </c>
      <c r="V78" s="4">
        <f>IF(ISERROR(VLOOKUP($S$78,'TAR FIN'!$A$1:$O$85,15,0)),0,VLOOKUP($S$78,'TAR FIN'!$A$1:$O$85,15,0))</f>
        <v>5.7</v>
      </c>
      <c r="W78" s="4">
        <f>IF(ISERROR(VLOOKUP($T$78,'TAR FIN'!$A$1:$O$85,15,0)),0,VLOOKUP($T$78,'TAR FIN'!$A$1:$O$85,15,0))</f>
        <v>0</v>
      </c>
      <c r="X78" s="4">
        <f>IF(ISERROR(VLOOKUP($U$78,'TAR FIN'!$A$1:$O$85,15,0)),0,VLOOKUP($U$78,'TAR FIN'!$A$1:$O$85,15,0))</f>
        <v>0</v>
      </c>
      <c r="Y78" s="4">
        <f ca="1">('TUSD BE'!$AM$9+'TUSD BF'!$AM$9+'TUSD CVA'!$AM$9)*1</f>
        <v>6.7679680991043316</v>
      </c>
      <c r="Z78" s="4"/>
      <c r="AA78" s="4"/>
      <c r="AB78" s="4">
        <f>$K$78*$V$78</f>
        <v>2850</v>
      </c>
      <c r="AC78" s="4">
        <f>$M$78*$W$78</f>
        <v>0</v>
      </c>
      <c r="AD78" s="4">
        <f>$O$78*$X$78</f>
        <v>0</v>
      </c>
      <c r="AE78" s="4">
        <f ca="1">$K$78*$Y$78</f>
        <v>3383.9840495521657</v>
      </c>
      <c r="AF78" s="4">
        <f>$M$78*$Z$78</f>
        <v>0</v>
      </c>
      <c r="AG78" s="4">
        <f>$O$78*$AA$78</f>
        <v>0</v>
      </c>
    </row>
    <row r="79" spans="1:33" ht="11.25" customHeight="1" x14ac:dyDescent="0.3">
      <c r="A79" s="3" t="s">
        <v>21</v>
      </c>
      <c r="B79" s="3" t="s">
        <v>34</v>
      </c>
      <c r="C79" s="3" t="s">
        <v>56</v>
      </c>
      <c r="D79" s="3" t="s">
        <v>25</v>
      </c>
      <c r="E79" s="3" t="s">
        <v>25</v>
      </c>
      <c r="F79" s="3" t="s">
        <v>25</v>
      </c>
      <c r="G79" s="3" t="s">
        <v>61</v>
      </c>
      <c r="H79" s="3" t="s">
        <v>25</v>
      </c>
      <c r="I79" s="6">
        <v>44743</v>
      </c>
      <c r="J79" s="4">
        <v>3130</v>
      </c>
      <c r="K79" s="4">
        <v>1565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3" t="s">
        <v>58</v>
      </c>
      <c r="R79" s="3">
        <v>30494</v>
      </c>
      <c r="S79" s="4">
        <v>1</v>
      </c>
      <c r="T79" s="4">
        <v>0</v>
      </c>
      <c r="U79" s="4">
        <v>0</v>
      </c>
      <c r="V79" s="4">
        <f>IF(ISERROR(VLOOKUP($S$79,'TAR FIN'!$A$1:$O$85,15,0)),0,VLOOKUP($S$79,'TAR FIN'!$A$1:$O$85,15,0))</f>
        <v>5.7</v>
      </c>
      <c r="W79" s="4">
        <f>IF(ISERROR(VLOOKUP($T$79,'TAR FIN'!$A$1:$O$85,15,0)),0,VLOOKUP($T$79,'TAR FIN'!$A$1:$O$85,15,0))</f>
        <v>0</v>
      </c>
      <c r="X79" s="4">
        <f>IF(ISERROR(VLOOKUP($U$79,'TAR FIN'!$A$1:$O$85,15,0)),0,VLOOKUP($U$79,'TAR FIN'!$A$1:$O$85,15,0))</f>
        <v>0</v>
      </c>
      <c r="Y79" s="4">
        <f ca="1">('TUSD BE'!$AM$9+'TUSD BF'!$AM$9+'TUSD CVA'!$AM$9)*1</f>
        <v>6.7679680991043316</v>
      </c>
      <c r="Z79" s="4"/>
      <c r="AA79" s="4"/>
      <c r="AB79" s="4">
        <f>$K$79*$V$79</f>
        <v>8920.5</v>
      </c>
      <c r="AC79" s="4">
        <f>$M$79*$W$79</f>
        <v>0</v>
      </c>
      <c r="AD79" s="4">
        <f>$O$79*$X$79</f>
        <v>0</v>
      </c>
      <c r="AE79" s="4">
        <f ca="1">$K$79*$Y$79</f>
        <v>10591.870075098279</v>
      </c>
      <c r="AF79" s="4">
        <f>$M$79*$Z$79</f>
        <v>0</v>
      </c>
      <c r="AG79" s="4">
        <f>$O$79*$AA$79</f>
        <v>0</v>
      </c>
    </row>
    <row r="80" spans="1:33" ht="11.25" customHeight="1" x14ac:dyDescent="0.3">
      <c r="A80" s="3" t="s">
        <v>21</v>
      </c>
      <c r="B80" s="3" t="s">
        <v>34</v>
      </c>
      <c r="C80" s="3" t="s">
        <v>56</v>
      </c>
      <c r="D80" s="3" t="s">
        <v>25</v>
      </c>
      <c r="E80" s="3" t="s">
        <v>25</v>
      </c>
      <c r="F80" s="3" t="s">
        <v>25</v>
      </c>
      <c r="G80" s="3" t="s">
        <v>62</v>
      </c>
      <c r="H80" s="3" t="s">
        <v>25</v>
      </c>
      <c r="I80" s="6">
        <v>44743</v>
      </c>
      <c r="J80" s="4">
        <v>500</v>
      </c>
      <c r="K80" s="4">
        <v>250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3" t="s">
        <v>58</v>
      </c>
      <c r="R80" s="3">
        <v>27182</v>
      </c>
      <c r="S80" s="4">
        <v>1</v>
      </c>
      <c r="T80" s="4">
        <v>0</v>
      </c>
      <c r="U80" s="4">
        <v>0</v>
      </c>
      <c r="V80" s="4">
        <f>IF(ISERROR(VLOOKUP($S$80,'TAR FIN'!$A$1:$O$85,15,0)),0,VLOOKUP($S$80,'TAR FIN'!$A$1:$O$85,15,0))</f>
        <v>5.7</v>
      </c>
      <c r="W80" s="4">
        <f>IF(ISERROR(VLOOKUP($T$80,'TAR FIN'!$A$1:$O$85,15,0)),0,VLOOKUP($T$80,'TAR FIN'!$A$1:$O$85,15,0))</f>
        <v>0</v>
      </c>
      <c r="X80" s="4">
        <f>IF(ISERROR(VLOOKUP($U$80,'TAR FIN'!$A$1:$O$85,15,0)),0,VLOOKUP($U$80,'TAR FIN'!$A$1:$O$85,15,0))</f>
        <v>0</v>
      </c>
      <c r="Y80" s="4">
        <f ca="1">('TUSD BE'!$AM$9+'TUSD BF'!$AM$9+'TUSD CVA'!$AM$9)*1</f>
        <v>6.7679680991043316</v>
      </c>
      <c r="Z80" s="4"/>
      <c r="AA80" s="4"/>
      <c r="AB80" s="4">
        <f>$K$80*$V$80</f>
        <v>1425</v>
      </c>
      <c r="AC80" s="4">
        <f>$M$80*$W$80</f>
        <v>0</v>
      </c>
      <c r="AD80" s="4">
        <f>$O$80*$X$80</f>
        <v>0</v>
      </c>
      <c r="AE80" s="4">
        <f ca="1">$K$80*$Y$80</f>
        <v>1691.9920247760829</v>
      </c>
      <c r="AF80" s="4">
        <f>$M$80*$Z$80</f>
        <v>0</v>
      </c>
      <c r="AG80" s="4">
        <f>$O$80*$AA$80</f>
        <v>0</v>
      </c>
    </row>
    <row r="81" spans="1:33" ht="11.25" customHeight="1" x14ac:dyDescent="0.3">
      <c r="A81" s="3" t="s">
        <v>53</v>
      </c>
      <c r="B81" s="3" t="s">
        <v>34</v>
      </c>
      <c r="C81" s="3" t="s">
        <v>56</v>
      </c>
      <c r="D81" s="3" t="s">
        <v>25</v>
      </c>
      <c r="E81" s="3" t="s">
        <v>25</v>
      </c>
      <c r="F81" s="3" t="s">
        <v>25</v>
      </c>
      <c r="G81" s="3" t="s">
        <v>57</v>
      </c>
      <c r="H81" s="3" t="s">
        <v>25</v>
      </c>
      <c r="I81" s="6">
        <v>44774</v>
      </c>
      <c r="J81" s="4">
        <v>6000</v>
      </c>
      <c r="K81" s="4">
        <v>3000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3" t="s">
        <v>58</v>
      </c>
      <c r="R81" s="3">
        <v>659</v>
      </c>
      <c r="S81" s="4">
        <v>1</v>
      </c>
      <c r="T81" s="4">
        <v>0</v>
      </c>
      <c r="U81" s="4">
        <v>0</v>
      </c>
      <c r="V81" s="4">
        <f>IF(ISERROR(VLOOKUP($S$81,'TAR FIN'!$A$1:$O$85,15,0)),0,VLOOKUP($S$81,'TAR FIN'!$A$1:$O$85,15,0))</f>
        <v>5.7</v>
      </c>
      <c r="W81" s="4">
        <f>IF(ISERROR(VLOOKUP($T$81,'TAR FIN'!$A$1:$O$85,15,0)),0,VLOOKUP($T$81,'TAR FIN'!$A$1:$O$85,15,0))</f>
        <v>0</v>
      </c>
      <c r="X81" s="4">
        <f>IF(ISERROR(VLOOKUP($U$81,'TAR FIN'!$A$1:$O$85,15,0)),0,VLOOKUP($U$81,'TAR FIN'!$A$1:$O$85,15,0))</f>
        <v>0</v>
      </c>
      <c r="Y81" s="4">
        <f ca="1">('TUSD BE'!$AM$9+'TUSD BF'!$AM$9+'TUSD CVA'!$AM$9)*1</f>
        <v>6.7679680991043316</v>
      </c>
      <c r="Z81" s="4"/>
      <c r="AA81" s="4"/>
      <c r="AB81" s="4">
        <f>$K$81*$V$81</f>
        <v>17100</v>
      </c>
      <c r="AC81" s="4">
        <f>$M$81*$W$81</f>
        <v>0</v>
      </c>
      <c r="AD81" s="4">
        <f>$O$81*$X$81</f>
        <v>0</v>
      </c>
      <c r="AE81" s="4">
        <f ca="1">$K$81*$Y$81</f>
        <v>20303.904297312994</v>
      </c>
      <c r="AF81" s="4">
        <f>$M$81*$Z$81</f>
        <v>0</v>
      </c>
      <c r="AG81" s="4">
        <f>$O$81*$AA$81</f>
        <v>0</v>
      </c>
    </row>
    <row r="82" spans="1:33" ht="11.25" customHeight="1" x14ac:dyDescent="0.3">
      <c r="A82" s="3" t="s">
        <v>53</v>
      </c>
      <c r="B82" s="3" t="s">
        <v>34</v>
      </c>
      <c r="C82" s="3" t="s">
        <v>56</v>
      </c>
      <c r="D82" s="3" t="s">
        <v>25</v>
      </c>
      <c r="E82" s="3" t="s">
        <v>25</v>
      </c>
      <c r="F82" s="3" t="s">
        <v>25</v>
      </c>
      <c r="G82" s="3" t="s">
        <v>59</v>
      </c>
      <c r="H82" s="3" t="s">
        <v>25</v>
      </c>
      <c r="I82" s="6">
        <v>44774</v>
      </c>
      <c r="J82" s="4">
        <v>833</v>
      </c>
      <c r="K82" s="4">
        <v>416.5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3" t="s">
        <v>58</v>
      </c>
      <c r="R82" s="3">
        <v>29592</v>
      </c>
      <c r="S82" s="4">
        <v>1</v>
      </c>
      <c r="T82" s="4">
        <v>0</v>
      </c>
      <c r="U82" s="4">
        <v>0</v>
      </c>
      <c r="V82" s="4">
        <f>IF(ISERROR(VLOOKUP($S$82,'TAR FIN'!$A$1:$O$85,15,0)),0,VLOOKUP($S$82,'TAR FIN'!$A$1:$O$85,15,0))</f>
        <v>5.7</v>
      </c>
      <c r="W82" s="4">
        <f>IF(ISERROR(VLOOKUP($T$82,'TAR FIN'!$A$1:$O$85,15,0)),0,VLOOKUP($T$82,'TAR FIN'!$A$1:$O$85,15,0))</f>
        <v>0</v>
      </c>
      <c r="X82" s="4">
        <f>IF(ISERROR(VLOOKUP($U$82,'TAR FIN'!$A$1:$O$85,15,0)),0,VLOOKUP($U$82,'TAR FIN'!$A$1:$O$85,15,0))</f>
        <v>0</v>
      </c>
      <c r="Y82" s="4">
        <f ca="1">('TUSD BE'!$AM$9+'TUSD BF'!$AM$9+'TUSD CVA'!$AM$9)*1</f>
        <v>6.7679680991043316</v>
      </c>
      <c r="Z82" s="4"/>
      <c r="AA82" s="4"/>
      <c r="AB82" s="4">
        <f>$K$82*$V$82</f>
        <v>2374.0500000000002</v>
      </c>
      <c r="AC82" s="4">
        <f>$M$82*$W$82</f>
        <v>0</v>
      </c>
      <c r="AD82" s="4">
        <f>$O$82*$X$82</f>
        <v>0</v>
      </c>
      <c r="AE82" s="4">
        <f ca="1">$K$82*$Y$82</f>
        <v>2818.8587132769539</v>
      </c>
      <c r="AF82" s="4">
        <f>$M$82*$Z$82</f>
        <v>0</v>
      </c>
      <c r="AG82" s="4">
        <f>$O$82*$AA$82</f>
        <v>0</v>
      </c>
    </row>
    <row r="83" spans="1:33" ht="11.25" customHeight="1" x14ac:dyDescent="0.3">
      <c r="A83" s="3" t="s">
        <v>53</v>
      </c>
      <c r="B83" s="3" t="s">
        <v>34</v>
      </c>
      <c r="C83" s="3" t="s">
        <v>56</v>
      </c>
      <c r="D83" s="3" t="s">
        <v>25</v>
      </c>
      <c r="E83" s="3" t="s">
        <v>25</v>
      </c>
      <c r="F83" s="3" t="s">
        <v>25</v>
      </c>
      <c r="G83" s="3" t="s">
        <v>60</v>
      </c>
      <c r="H83" s="3" t="s">
        <v>25</v>
      </c>
      <c r="I83" s="6">
        <v>44774</v>
      </c>
      <c r="J83" s="4">
        <v>1000</v>
      </c>
      <c r="K83" s="4">
        <v>500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3" t="s">
        <v>58</v>
      </c>
      <c r="R83" s="3">
        <v>30368</v>
      </c>
      <c r="S83" s="4">
        <v>1</v>
      </c>
      <c r="T83" s="4">
        <v>0</v>
      </c>
      <c r="U83" s="4">
        <v>0</v>
      </c>
      <c r="V83" s="4">
        <f>IF(ISERROR(VLOOKUP($S$83,'TAR FIN'!$A$1:$O$85,15,0)),0,VLOOKUP($S$83,'TAR FIN'!$A$1:$O$85,15,0))</f>
        <v>5.7</v>
      </c>
      <c r="W83" s="4">
        <f>IF(ISERROR(VLOOKUP($T$83,'TAR FIN'!$A$1:$O$85,15,0)),0,VLOOKUP($T$83,'TAR FIN'!$A$1:$O$85,15,0))</f>
        <v>0</v>
      </c>
      <c r="X83" s="4">
        <f>IF(ISERROR(VLOOKUP($U$83,'TAR FIN'!$A$1:$O$85,15,0)),0,VLOOKUP($U$83,'TAR FIN'!$A$1:$O$85,15,0))</f>
        <v>0</v>
      </c>
      <c r="Y83" s="4">
        <f ca="1">('TUSD BE'!$AM$9+'TUSD BF'!$AM$9+'TUSD CVA'!$AM$9)*1</f>
        <v>6.7679680991043316</v>
      </c>
      <c r="Z83" s="4"/>
      <c r="AA83" s="4"/>
      <c r="AB83" s="4">
        <f>$K$83*$V$83</f>
        <v>2850</v>
      </c>
      <c r="AC83" s="4">
        <f>$M$83*$W$83</f>
        <v>0</v>
      </c>
      <c r="AD83" s="4">
        <f>$O$83*$X$83</f>
        <v>0</v>
      </c>
      <c r="AE83" s="4">
        <f ca="1">$K$83*$Y$83</f>
        <v>3383.9840495521657</v>
      </c>
      <c r="AF83" s="4">
        <f>$M$83*$Z$83</f>
        <v>0</v>
      </c>
      <c r="AG83" s="4">
        <f>$O$83*$AA$83</f>
        <v>0</v>
      </c>
    </row>
    <row r="84" spans="1:33" ht="11.25" customHeight="1" x14ac:dyDescent="0.3">
      <c r="A84" s="3" t="s">
        <v>53</v>
      </c>
      <c r="B84" s="3" t="s">
        <v>34</v>
      </c>
      <c r="C84" s="3" t="s">
        <v>56</v>
      </c>
      <c r="D84" s="3" t="s">
        <v>25</v>
      </c>
      <c r="E84" s="3" t="s">
        <v>25</v>
      </c>
      <c r="F84" s="3" t="s">
        <v>25</v>
      </c>
      <c r="G84" s="3" t="s">
        <v>61</v>
      </c>
      <c r="H84" s="3" t="s">
        <v>25</v>
      </c>
      <c r="I84" s="6">
        <v>44774</v>
      </c>
      <c r="J84" s="4">
        <v>3130</v>
      </c>
      <c r="K84" s="4">
        <v>1565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3" t="s">
        <v>58</v>
      </c>
      <c r="R84" s="3">
        <v>30494</v>
      </c>
      <c r="S84" s="4">
        <v>1</v>
      </c>
      <c r="T84" s="4">
        <v>0</v>
      </c>
      <c r="U84" s="4">
        <v>0</v>
      </c>
      <c r="V84" s="4">
        <f>IF(ISERROR(VLOOKUP($S$84,'TAR FIN'!$A$1:$O$85,15,0)),0,VLOOKUP($S$84,'TAR FIN'!$A$1:$O$85,15,0))</f>
        <v>5.7</v>
      </c>
      <c r="W84" s="4">
        <f>IF(ISERROR(VLOOKUP($T$84,'TAR FIN'!$A$1:$O$85,15,0)),0,VLOOKUP($T$84,'TAR FIN'!$A$1:$O$85,15,0))</f>
        <v>0</v>
      </c>
      <c r="X84" s="4">
        <f>IF(ISERROR(VLOOKUP($U$84,'TAR FIN'!$A$1:$O$85,15,0)),0,VLOOKUP($U$84,'TAR FIN'!$A$1:$O$85,15,0))</f>
        <v>0</v>
      </c>
      <c r="Y84" s="4">
        <f ca="1">('TUSD BE'!$AM$9+'TUSD BF'!$AM$9+'TUSD CVA'!$AM$9)*1</f>
        <v>6.7679680991043316</v>
      </c>
      <c r="Z84" s="4"/>
      <c r="AA84" s="4"/>
      <c r="AB84" s="4">
        <f>$K$84*$V$84</f>
        <v>8920.5</v>
      </c>
      <c r="AC84" s="4">
        <f>$M$84*$W$84</f>
        <v>0</v>
      </c>
      <c r="AD84" s="4">
        <f>$O$84*$X$84</f>
        <v>0</v>
      </c>
      <c r="AE84" s="4">
        <f ca="1">$K$84*$Y$84</f>
        <v>10591.870075098279</v>
      </c>
      <c r="AF84" s="4">
        <f>$M$84*$Z$84</f>
        <v>0</v>
      </c>
      <c r="AG84" s="4">
        <f>$O$84*$AA$84</f>
        <v>0</v>
      </c>
    </row>
    <row r="85" spans="1:33" ht="11.25" customHeight="1" x14ac:dyDescent="0.3">
      <c r="A85" s="3" t="s">
        <v>53</v>
      </c>
      <c r="B85" s="3" t="s">
        <v>34</v>
      </c>
      <c r="C85" s="3" t="s">
        <v>56</v>
      </c>
      <c r="D85" s="3" t="s">
        <v>25</v>
      </c>
      <c r="E85" s="3" t="s">
        <v>25</v>
      </c>
      <c r="F85" s="3" t="s">
        <v>25</v>
      </c>
      <c r="G85" s="3" t="s">
        <v>62</v>
      </c>
      <c r="H85" s="3" t="s">
        <v>25</v>
      </c>
      <c r="I85" s="6">
        <v>44774</v>
      </c>
      <c r="J85" s="4">
        <v>500</v>
      </c>
      <c r="K85" s="4">
        <v>250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3" t="s">
        <v>58</v>
      </c>
      <c r="R85" s="3">
        <v>27182</v>
      </c>
      <c r="S85" s="4">
        <v>1</v>
      </c>
      <c r="T85" s="4">
        <v>0</v>
      </c>
      <c r="U85" s="4">
        <v>0</v>
      </c>
      <c r="V85" s="4">
        <f>IF(ISERROR(VLOOKUP($S$85,'TAR FIN'!$A$1:$O$85,15,0)),0,VLOOKUP($S$85,'TAR FIN'!$A$1:$O$85,15,0))</f>
        <v>5.7</v>
      </c>
      <c r="W85" s="4">
        <f>IF(ISERROR(VLOOKUP($T$85,'TAR FIN'!$A$1:$O$85,15,0)),0,VLOOKUP($T$85,'TAR FIN'!$A$1:$O$85,15,0))</f>
        <v>0</v>
      </c>
      <c r="X85" s="4">
        <f>IF(ISERROR(VLOOKUP($U$85,'TAR FIN'!$A$1:$O$85,15,0)),0,VLOOKUP($U$85,'TAR FIN'!$A$1:$O$85,15,0))</f>
        <v>0</v>
      </c>
      <c r="Y85" s="4">
        <f ca="1">('TUSD BE'!$AM$9+'TUSD BF'!$AM$9+'TUSD CVA'!$AM$9)*1</f>
        <v>6.7679680991043316</v>
      </c>
      <c r="Z85" s="4"/>
      <c r="AA85" s="4"/>
      <c r="AB85" s="4">
        <f>$K$85*$V$85</f>
        <v>1425</v>
      </c>
      <c r="AC85" s="4">
        <f>$M$85*$W$85</f>
        <v>0</v>
      </c>
      <c r="AD85" s="4">
        <f>$O$85*$X$85</f>
        <v>0</v>
      </c>
      <c r="AE85" s="4">
        <f ca="1">$K$85*$Y$85</f>
        <v>1691.9920247760829</v>
      </c>
      <c r="AF85" s="4">
        <f>$M$85*$Z$85</f>
        <v>0</v>
      </c>
      <c r="AG85" s="4">
        <f>$O$85*$AA$85</f>
        <v>0</v>
      </c>
    </row>
    <row r="86" spans="1:33" ht="11.25" customHeight="1" x14ac:dyDescent="0.3">
      <c r="A86" s="3" t="s">
        <v>21</v>
      </c>
      <c r="B86" s="3" t="s">
        <v>34</v>
      </c>
      <c r="C86" s="3" t="s">
        <v>38</v>
      </c>
      <c r="D86" s="3" t="s">
        <v>33</v>
      </c>
      <c r="E86" s="3" t="s">
        <v>25</v>
      </c>
      <c r="F86" s="3" t="s">
        <v>54</v>
      </c>
      <c r="G86" s="3" t="s">
        <v>25</v>
      </c>
      <c r="H86" s="3" t="s">
        <v>37</v>
      </c>
      <c r="I86" s="6">
        <v>44440</v>
      </c>
      <c r="J86" s="4">
        <v>0</v>
      </c>
      <c r="K86" s="4">
        <v>0</v>
      </c>
      <c r="L86" s="4">
        <v>443.71600000000001</v>
      </c>
      <c r="M86" s="4">
        <v>0</v>
      </c>
      <c r="N86" s="4">
        <v>0</v>
      </c>
      <c r="O86" s="4">
        <v>0</v>
      </c>
      <c r="P86" s="4">
        <v>0</v>
      </c>
      <c r="Q86" s="3" t="s">
        <v>55</v>
      </c>
      <c r="R86" s="3">
        <v>0</v>
      </c>
      <c r="S86" s="4">
        <v>0</v>
      </c>
      <c r="T86" s="4">
        <v>3</v>
      </c>
      <c r="U86" s="4">
        <v>0</v>
      </c>
      <c r="V86" s="4">
        <f>IF(ISERROR(VLOOKUP($S$86,'TAR FIN'!$A$1:$O$85,15,0)),0,VLOOKUP($S$86,'TAR FIN'!$A$1:$O$85,15,0))</f>
        <v>0</v>
      </c>
      <c r="W86" s="4">
        <f>IF(ISERROR(VLOOKUP($T$86,'TAR FIN'!$A$1:$O$85,15,0)),0,VLOOKUP($T$86,'TAR FIN'!$A$1:$O$85,15,0))</f>
        <v>80.73</v>
      </c>
      <c r="X86" s="4">
        <f>IF(ISERROR(VLOOKUP($U$86,'TAR FIN'!$A$1:$O$85,15,0)),0,VLOOKUP($U$86,'TAR FIN'!$A$1:$O$85,15,0))</f>
        <v>0</v>
      </c>
      <c r="Y86" s="4"/>
      <c r="Z86" s="4">
        <f ca="1">('TUSD BE'!$AM$12+'TUSD BF'!$AM$12+'TUSD CVA'!$AM$12)*1</f>
        <v>111.74556842703541</v>
      </c>
      <c r="AA86" s="4"/>
      <c r="AB86" s="4">
        <f>$K$86*$V$86</f>
        <v>0</v>
      </c>
      <c r="AC86" s="4">
        <f>$M$86*$W$86</f>
        <v>0</v>
      </c>
      <c r="AD86" s="4">
        <f>$O$86*$X$86</f>
        <v>0</v>
      </c>
      <c r="AE86" s="4">
        <f>$K$86*$Y$86</f>
        <v>0</v>
      </c>
      <c r="AF86" s="4">
        <f ca="1">$M$86*$Z$86</f>
        <v>0</v>
      </c>
      <c r="AG86" s="4">
        <f>$O$86*$AA$86</f>
        <v>0</v>
      </c>
    </row>
    <row r="87" spans="1:33" ht="11.25" customHeight="1" x14ac:dyDescent="0.3">
      <c r="A87" s="3" t="s">
        <v>21</v>
      </c>
      <c r="B87" s="3" t="s">
        <v>34</v>
      </c>
      <c r="C87" s="3" t="s">
        <v>38</v>
      </c>
      <c r="D87" s="3" t="s">
        <v>33</v>
      </c>
      <c r="E87" s="3" t="s">
        <v>25</v>
      </c>
      <c r="F87" s="3" t="s">
        <v>54</v>
      </c>
      <c r="G87" s="3" t="s">
        <v>25</v>
      </c>
      <c r="H87" s="3" t="s">
        <v>37</v>
      </c>
      <c r="I87" s="6">
        <v>44470</v>
      </c>
      <c r="J87" s="4">
        <v>0</v>
      </c>
      <c r="K87" s="4">
        <v>0</v>
      </c>
      <c r="L87" s="4">
        <v>417.69299999999998</v>
      </c>
      <c r="M87" s="4">
        <v>0</v>
      </c>
      <c r="N87" s="4">
        <v>0</v>
      </c>
      <c r="O87" s="4">
        <v>0</v>
      </c>
      <c r="P87" s="4">
        <v>0</v>
      </c>
      <c r="Q87" s="3" t="s">
        <v>55</v>
      </c>
      <c r="R87" s="3">
        <v>0</v>
      </c>
      <c r="S87" s="4">
        <v>0</v>
      </c>
      <c r="T87" s="4">
        <v>3</v>
      </c>
      <c r="U87" s="4">
        <v>0</v>
      </c>
      <c r="V87" s="4">
        <f>IF(ISERROR(VLOOKUP($S$87,'TAR FIN'!$A$1:$O$85,15,0)),0,VLOOKUP($S$87,'TAR FIN'!$A$1:$O$85,15,0))</f>
        <v>0</v>
      </c>
      <c r="W87" s="4">
        <f>IF(ISERROR(VLOOKUP($T$87,'TAR FIN'!$A$1:$O$85,15,0)),0,VLOOKUP($T$87,'TAR FIN'!$A$1:$O$85,15,0))</f>
        <v>80.73</v>
      </c>
      <c r="X87" s="4">
        <f>IF(ISERROR(VLOOKUP($U$87,'TAR FIN'!$A$1:$O$85,15,0)),0,VLOOKUP($U$87,'TAR FIN'!$A$1:$O$85,15,0))</f>
        <v>0</v>
      </c>
      <c r="Y87" s="4"/>
      <c r="Z87" s="4">
        <f ca="1">('TUSD BE'!$AM$12+'TUSD BF'!$AM$12+'TUSD CVA'!$AM$12)*1</f>
        <v>111.74556842703541</v>
      </c>
      <c r="AA87" s="4"/>
      <c r="AB87" s="4">
        <f>$K$87*$V$87</f>
        <v>0</v>
      </c>
      <c r="AC87" s="4">
        <f>$M$87*$W$87</f>
        <v>0</v>
      </c>
      <c r="AD87" s="4">
        <f>$O$87*$X$87</f>
        <v>0</v>
      </c>
      <c r="AE87" s="4">
        <f>$K$87*$Y$87</f>
        <v>0</v>
      </c>
      <c r="AF87" s="4">
        <f ca="1">$M$87*$Z$87</f>
        <v>0</v>
      </c>
      <c r="AG87" s="4">
        <f>$O$87*$AA$87</f>
        <v>0</v>
      </c>
    </row>
    <row r="88" spans="1:33" ht="11.25" customHeight="1" x14ac:dyDescent="0.3">
      <c r="A88" s="3" t="s">
        <v>21</v>
      </c>
      <c r="B88" s="3" t="s">
        <v>34</v>
      </c>
      <c r="C88" s="3" t="s">
        <v>38</v>
      </c>
      <c r="D88" s="3" t="s">
        <v>33</v>
      </c>
      <c r="E88" s="3" t="s">
        <v>25</v>
      </c>
      <c r="F88" s="3" t="s">
        <v>54</v>
      </c>
      <c r="G88" s="3" t="s">
        <v>25</v>
      </c>
      <c r="H88" s="3" t="s">
        <v>37</v>
      </c>
      <c r="I88" s="6">
        <v>44501</v>
      </c>
      <c r="J88" s="4">
        <v>0</v>
      </c>
      <c r="K88" s="4">
        <v>0</v>
      </c>
      <c r="L88" s="4">
        <v>468.78100000000001</v>
      </c>
      <c r="M88" s="4">
        <v>0</v>
      </c>
      <c r="N88" s="4">
        <v>0</v>
      </c>
      <c r="O88" s="4">
        <v>0</v>
      </c>
      <c r="P88" s="4">
        <v>0</v>
      </c>
      <c r="Q88" s="3" t="s">
        <v>55</v>
      </c>
      <c r="R88" s="3">
        <v>0</v>
      </c>
      <c r="S88" s="4">
        <v>0</v>
      </c>
      <c r="T88" s="4">
        <v>3</v>
      </c>
      <c r="U88" s="4">
        <v>0</v>
      </c>
      <c r="V88" s="4">
        <f>IF(ISERROR(VLOOKUP($S$88,'TAR FIN'!$A$1:$O$85,15,0)),0,VLOOKUP($S$88,'TAR FIN'!$A$1:$O$85,15,0))</f>
        <v>0</v>
      </c>
      <c r="W88" s="4">
        <f>IF(ISERROR(VLOOKUP($T$88,'TAR FIN'!$A$1:$O$85,15,0)),0,VLOOKUP($T$88,'TAR FIN'!$A$1:$O$85,15,0))</f>
        <v>80.73</v>
      </c>
      <c r="X88" s="4">
        <f>IF(ISERROR(VLOOKUP($U$88,'TAR FIN'!$A$1:$O$85,15,0)),0,VLOOKUP($U$88,'TAR FIN'!$A$1:$O$85,15,0))</f>
        <v>0</v>
      </c>
      <c r="Y88" s="4"/>
      <c r="Z88" s="4">
        <f ca="1">('TUSD BE'!$AM$12+'TUSD BF'!$AM$12+'TUSD CVA'!$AM$12)*1</f>
        <v>111.74556842703541</v>
      </c>
      <c r="AA88" s="4"/>
      <c r="AB88" s="4">
        <f>$K$88*$V$88</f>
        <v>0</v>
      </c>
      <c r="AC88" s="4">
        <f>$M$88*$W$88</f>
        <v>0</v>
      </c>
      <c r="AD88" s="4">
        <f>$O$88*$X$88</f>
        <v>0</v>
      </c>
      <c r="AE88" s="4">
        <f>$K$88*$Y$88</f>
        <v>0</v>
      </c>
      <c r="AF88" s="4">
        <f ca="1">$M$88*$Z$88</f>
        <v>0</v>
      </c>
      <c r="AG88" s="4">
        <f>$O$88*$AA$88</f>
        <v>0</v>
      </c>
    </row>
    <row r="89" spans="1:33" ht="11.25" customHeight="1" x14ac:dyDescent="0.3">
      <c r="A89" s="3" t="s">
        <v>21</v>
      </c>
      <c r="B89" s="3" t="s">
        <v>34</v>
      </c>
      <c r="C89" s="3" t="s">
        <v>38</v>
      </c>
      <c r="D89" s="3" t="s">
        <v>33</v>
      </c>
      <c r="E89" s="3" t="s">
        <v>25</v>
      </c>
      <c r="F89" s="3" t="s">
        <v>54</v>
      </c>
      <c r="G89" s="3" t="s">
        <v>25</v>
      </c>
      <c r="H89" s="3" t="s">
        <v>37</v>
      </c>
      <c r="I89" s="6">
        <v>44531</v>
      </c>
      <c r="J89" s="4">
        <v>0</v>
      </c>
      <c r="K89" s="4">
        <v>0</v>
      </c>
      <c r="L89" s="4">
        <v>527.327</v>
      </c>
      <c r="M89" s="4">
        <v>0</v>
      </c>
      <c r="N89" s="4">
        <v>0</v>
      </c>
      <c r="O89" s="4">
        <v>0</v>
      </c>
      <c r="P89" s="4">
        <v>0</v>
      </c>
      <c r="Q89" s="3" t="s">
        <v>55</v>
      </c>
      <c r="R89" s="3">
        <v>0</v>
      </c>
      <c r="S89" s="4">
        <v>0</v>
      </c>
      <c r="T89" s="4">
        <v>3</v>
      </c>
      <c r="U89" s="4">
        <v>0</v>
      </c>
      <c r="V89" s="4">
        <f>IF(ISERROR(VLOOKUP($S$89,'TAR FIN'!$A$1:$O$85,15,0)),0,VLOOKUP($S$89,'TAR FIN'!$A$1:$O$85,15,0))</f>
        <v>0</v>
      </c>
      <c r="W89" s="4">
        <f>IF(ISERROR(VLOOKUP($T$89,'TAR FIN'!$A$1:$O$85,15,0)),0,VLOOKUP($T$89,'TAR FIN'!$A$1:$O$85,15,0))</f>
        <v>80.73</v>
      </c>
      <c r="X89" s="4">
        <f>IF(ISERROR(VLOOKUP($U$89,'TAR FIN'!$A$1:$O$85,15,0)),0,VLOOKUP($U$89,'TAR FIN'!$A$1:$O$85,15,0))</f>
        <v>0</v>
      </c>
      <c r="Y89" s="4"/>
      <c r="Z89" s="4">
        <f ca="1">('TUSD BE'!$AM$12+'TUSD BF'!$AM$12+'TUSD CVA'!$AM$12)*1</f>
        <v>111.74556842703541</v>
      </c>
      <c r="AA89" s="4"/>
      <c r="AB89" s="4">
        <f>$K$89*$V$89</f>
        <v>0</v>
      </c>
      <c r="AC89" s="4">
        <f>$M$89*$W$89</f>
        <v>0</v>
      </c>
      <c r="AD89" s="4">
        <f>$O$89*$X$89</f>
        <v>0</v>
      </c>
      <c r="AE89" s="4">
        <f>$K$89*$Y$89</f>
        <v>0</v>
      </c>
      <c r="AF89" s="4">
        <f ca="1">$M$89*$Z$89</f>
        <v>0</v>
      </c>
      <c r="AG89" s="4">
        <f>$O$89*$AA$89</f>
        <v>0</v>
      </c>
    </row>
    <row r="90" spans="1:33" ht="11.25" customHeight="1" x14ac:dyDescent="0.3">
      <c r="A90" s="3" t="s">
        <v>21</v>
      </c>
      <c r="B90" s="3" t="s">
        <v>34</v>
      </c>
      <c r="C90" s="3" t="s">
        <v>38</v>
      </c>
      <c r="D90" s="3" t="s">
        <v>33</v>
      </c>
      <c r="E90" s="3" t="s">
        <v>25</v>
      </c>
      <c r="F90" s="3" t="s">
        <v>54</v>
      </c>
      <c r="G90" s="3" t="s">
        <v>25</v>
      </c>
      <c r="H90" s="3" t="s">
        <v>37</v>
      </c>
      <c r="I90" s="6">
        <v>44562</v>
      </c>
      <c r="J90" s="4">
        <v>0</v>
      </c>
      <c r="K90" s="4">
        <v>0</v>
      </c>
      <c r="L90" s="4">
        <v>499.678</v>
      </c>
      <c r="M90" s="4">
        <v>0</v>
      </c>
      <c r="N90" s="4">
        <v>0</v>
      </c>
      <c r="O90" s="4">
        <v>0</v>
      </c>
      <c r="P90" s="4">
        <v>0</v>
      </c>
      <c r="Q90" s="3" t="s">
        <v>55</v>
      </c>
      <c r="R90" s="3">
        <v>0</v>
      </c>
      <c r="S90" s="4">
        <v>0</v>
      </c>
      <c r="T90" s="4">
        <v>3</v>
      </c>
      <c r="U90" s="4">
        <v>0</v>
      </c>
      <c r="V90" s="4">
        <f>IF(ISERROR(VLOOKUP($S$90,'TAR FIN'!$A$1:$O$85,15,0)),0,VLOOKUP($S$90,'TAR FIN'!$A$1:$O$85,15,0))</f>
        <v>0</v>
      </c>
      <c r="W90" s="4">
        <f>IF(ISERROR(VLOOKUP($T$90,'TAR FIN'!$A$1:$O$85,15,0)),0,VLOOKUP($T$90,'TAR FIN'!$A$1:$O$85,15,0))</f>
        <v>80.73</v>
      </c>
      <c r="X90" s="4">
        <f>IF(ISERROR(VLOOKUP($U$90,'TAR FIN'!$A$1:$O$85,15,0)),0,VLOOKUP($U$90,'TAR FIN'!$A$1:$O$85,15,0))</f>
        <v>0</v>
      </c>
      <c r="Y90" s="4"/>
      <c r="Z90" s="4">
        <f ca="1">('TUSD BE'!$AM$12+'TUSD BF'!$AM$12+'TUSD CVA'!$AM$12)*1</f>
        <v>111.74556842703541</v>
      </c>
      <c r="AA90" s="4"/>
      <c r="AB90" s="4">
        <f>$K$90*$V$90</f>
        <v>0</v>
      </c>
      <c r="AC90" s="4">
        <f>$M$90*$W$90</f>
        <v>0</v>
      </c>
      <c r="AD90" s="4">
        <f>$O$90*$X$90</f>
        <v>0</v>
      </c>
      <c r="AE90" s="4">
        <f>$K$90*$Y$90</f>
        <v>0</v>
      </c>
      <c r="AF90" s="4">
        <f ca="1">$M$90*$Z$90</f>
        <v>0</v>
      </c>
      <c r="AG90" s="4">
        <f>$O$90*$AA$90</f>
        <v>0</v>
      </c>
    </row>
    <row r="91" spans="1:33" ht="11.25" customHeight="1" x14ac:dyDescent="0.3">
      <c r="A91" s="3" t="s">
        <v>21</v>
      </c>
      <c r="B91" s="3" t="s">
        <v>34</v>
      </c>
      <c r="C91" s="3" t="s">
        <v>38</v>
      </c>
      <c r="D91" s="3" t="s">
        <v>33</v>
      </c>
      <c r="E91" s="3" t="s">
        <v>25</v>
      </c>
      <c r="F91" s="3" t="s">
        <v>54</v>
      </c>
      <c r="G91" s="3" t="s">
        <v>25</v>
      </c>
      <c r="H91" s="3" t="s">
        <v>37</v>
      </c>
      <c r="I91" s="6">
        <v>44593</v>
      </c>
      <c r="J91" s="4">
        <v>0</v>
      </c>
      <c r="K91" s="4">
        <v>0</v>
      </c>
      <c r="L91" s="4">
        <v>418.81700000000001</v>
      </c>
      <c r="M91" s="4">
        <v>0</v>
      </c>
      <c r="N91" s="4">
        <v>0</v>
      </c>
      <c r="O91" s="4">
        <v>0</v>
      </c>
      <c r="P91" s="4">
        <v>0</v>
      </c>
      <c r="Q91" s="3" t="s">
        <v>55</v>
      </c>
      <c r="R91" s="3">
        <v>0</v>
      </c>
      <c r="S91" s="4">
        <v>0</v>
      </c>
      <c r="T91" s="4">
        <v>3</v>
      </c>
      <c r="U91" s="4">
        <v>0</v>
      </c>
      <c r="V91" s="4">
        <f>IF(ISERROR(VLOOKUP($S$91,'TAR FIN'!$A$1:$O$85,15,0)),0,VLOOKUP($S$91,'TAR FIN'!$A$1:$O$85,15,0))</f>
        <v>0</v>
      </c>
      <c r="W91" s="4">
        <f>IF(ISERROR(VLOOKUP($T$91,'TAR FIN'!$A$1:$O$85,15,0)),0,VLOOKUP($T$91,'TAR FIN'!$A$1:$O$85,15,0))</f>
        <v>80.73</v>
      </c>
      <c r="X91" s="4">
        <f>IF(ISERROR(VLOOKUP($U$91,'TAR FIN'!$A$1:$O$85,15,0)),0,VLOOKUP($U$91,'TAR FIN'!$A$1:$O$85,15,0))</f>
        <v>0</v>
      </c>
      <c r="Y91" s="4"/>
      <c r="Z91" s="4">
        <f ca="1">('TUSD BE'!$AM$12+'TUSD BF'!$AM$12+'TUSD CVA'!$AM$12)*1</f>
        <v>111.74556842703541</v>
      </c>
      <c r="AA91" s="4"/>
      <c r="AB91" s="4">
        <f>$K$91*$V$91</f>
        <v>0</v>
      </c>
      <c r="AC91" s="4">
        <f>$M$91*$W$91</f>
        <v>0</v>
      </c>
      <c r="AD91" s="4">
        <f>$O$91*$X$91</f>
        <v>0</v>
      </c>
      <c r="AE91" s="4">
        <f>$K$91*$Y$91</f>
        <v>0</v>
      </c>
      <c r="AF91" s="4">
        <f ca="1">$M$91*$Z$91</f>
        <v>0</v>
      </c>
      <c r="AG91" s="4">
        <f>$O$91*$AA$91</f>
        <v>0</v>
      </c>
    </row>
    <row r="92" spans="1:33" ht="11.25" customHeight="1" x14ac:dyDescent="0.3">
      <c r="A92" s="3" t="s">
        <v>21</v>
      </c>
      <c r="B92" s="3" t="s">
        <v>34</v>
      </c>
      <c r="C92" s="3" t="s">
        <v>38</v>
      </c>
      <c r="D92" s="3" t="s">
        <v>33</v>
      </c>
      <c r="E92" s="3" t="s">
        <v>25</v>
      </c>
      <c r="F92" s="3" t="s">
        <v>54</v>
      </c>
      <c r="G92" s="3" t="s">
        <v>25</v>
      </c>
      <c r="H92" s="3" t="s">
        <v>37</v>
      </c>
      <c r="I92" s="6">
        <v>44621</v>
      </c>
      <c r="J92" s="4">
        <v>0</v>
      </c>
      <c r="K92" s="4">
        <v>0</v>
      </c>
      <c r="L92" s="4">
        <v>501.51100000000002</v>
      </c>
      <c r="M92" s="4">
        <v>0</v>
      </c>
      <c r="N92" s="4">
        <v>0</v>
      </c>
      <c r="O92" s="4">
        <v>0</v>
      </c>
      <c r="P92" s="4">
        <v>0</v>
      </c>
      <c r="Q92" s="3" t="s">
        <v>55</v>
      </c>
      <c r="R92" s="3">
        <v>0</v>
      </c>
      <c r="S92" s="4">
        <v>0</v>
      </c>
      <c r="T92" s="4">
        <v>3</v>
      </c>
      <c r="U92" s="4">
        <v>0</v>
      </c>
      <c r="V92" s="4">
        <f>IF(ISERROR(VLOOKUP($S$92,'TAR FIN'!$A$1:$O$85,15,0)),0,VLOOKUP($S$92,'TAR FIN'!$A$1:$O$85,15,0))</f>
        <v>0</v>
      </c>
      <c r="W92" s="4">
        <f>IF(ISERROR(VLOOKUP($T$92,'TAR FIN'!$A$1:$O$85,15,0)),0,VLOOKUP($T$92,'TAR FIN'!$A$1:$O$85,15,0))</f>
        <v>80.73</v>
      </c>
      <c r="X92" s="4">
        <f>IF(ISERROR(VLOOKUP($U$92,'TAR FIN'!$A$1:$O$85,15,0)),0,VLOOKUP($U$92,'TAR FIN'!$A$1:$O$85,15,0))</f>
        <v>0</v>
      </c>
      <c r="Y92" s="4"/>
      <c r="Z92" s="4">
        <f ca="1">('TUSD BE'!$AM$12+'TUSD BF'!$AM$12+'TUSD CVA'!$AM$12)*1</f>
        <v>111.74556842703541</v>
      </c>
      <c r="AA92" s="4"/>
      <c r="AB92" s="4">
        <f>$K$92*$V$92</f>
        <v>0</v>
      </c>
      <c r="AC92" s="4">
        <f>$M$92*$W$92</f>
        <v>0</v>
      </c>
      <c r="AD92" s="4">
        <f>$O$92*$X$92</f>
        <v>0</v>
      </c>
      <c r="AE92" s="4">
        <f>$K$92*$Y$92</f>
        <v>0</v>
      </c>
      <c r="AF92" s="4">
        <f ca="1">$M$92*$Z$92</f>
        <v>0</v>
      </c>
      <c r="AG92" s="4">
        <f>$O$92*$AA$92</f>
        <v>0</v>
      </c>
    </row>
    <row r="93" spans="1:33" ht="11.25" customHeight="1" x14ac:dyDescent="0.3">
      <c r="A93" s="3" t="s">
        <v>21</v>
      </c>
      <c r="B93" s="3" t="s">
        <v>34</v>
      </c>
      <c r="C93" s="3" t="s">
        <v>38</v>
      </c>
      <c r="D93" s="3" t="s">
        <v>33</v>
      </c>
      <c r="E93" s="3" t="s">
        <v>25</v>
      </c>
      <c r="F93" s="3" t="s">
        <v>54</v>
      </c>
      <c r="G93" s="3" t="s">
        <v>25</v>
      </c>
      <c r="H93" s="3" t="s">
        <v>37</v>
      </c>
      <c r="I93" s="6">
        <v>44652</v>
      </c>
      <c r="J93" s="4">
        <v>0</v>
      </c>
      <c r="K93" s="4">
        <v>0</v>
      </c>
      <c r="L93" s="4">
        <v>396.36</v>
      </c>
      <c r="M93" s="4">
        <v>0</v>
      </c>
      <c r="N93" s="4">
        <v>0</v>
      </c>
      <c r="O93" s="4">
        <v>0</v>
      </c>
      <c r="P93" s="4">
        <v>0</v>
      </c>
      <c r="Q93" s="3" t="s">
        <v>55</v>
      </c>
      <c r="R93" s="3">
        <v>0</v>
      </c>
      <c r="S93" s="4">
        <v>0</v>
      </c>
      <c r="T93" s="4">
        <v>3</v>
      </c>
      <c r="U93" s="4">
        <v>0</v>
      </c>
      <c r="V93" s="4">
        <f>IF(ISERROR(VLOOKUP($S$93,'TAR FIN'!$A$1:$O$85,15,0)),0,VLOOKUP($S$93,'TAR FIN'!$A$1:$O$85,15,0))</f>
        <v>0</v>
      </c>
      <c r="W93" s="4">
        <f>IF(ISERROR(VLOOKUP($T$93,'TAR FIN'!$A$1:$O$85,15,0)),0,VLOOKUP($T$93,'TAR FIN'!$A$1:$O$85,15,0))</f>
        <v>80.73</v>
      </c>
      <c r="X93" s="4">
        <f>IF(ISERROR(VLOOKUP($U$93,'TAR FIN'!$A$1:$O$85,15,0)),0,VLOOKUP($U$93,'TAR FIN'!$A$1:$O$85,15,0))</f>
        <v>0</v>
      </c>
      <c r="Y93" s="4"/>
      <c r="Z93" s="4">
        <f ca="1">('TUSD BE'!$AM$12+'TUSD BF'!$AM$12+'TUSD CVA'!$AM$12)*1</f>
        <v>111.74556842703541</v>
      </c>
      <c r="AA93" s="4"/>
      <c r="AB93" s="4">
        <f>$K$93*$V$93</f>
        <v>0</v>
      </c>
      <c r="AC93" s="4">
        <f>$M$93*$W$93</f>
        <v>0</v>
      </c>
      <c r="AD93" s="4">
        <f>$O$93*$X$93</f>
        <v>0</v>
      </c>
      <c r="AE93" s="4">
        <f>$K$93*$Y$93</f>
        <v>0</v>
      </c>
      <c r="AF93" s="4">
        <f ca="1">$M$93*$Z$93</f>
        <v>0</v>
      </c>
      <c r="AG93" s="4">
        <f>$O$93*$AA$93</f>
        <v>0</v>
      </c>
    </row>
    <row r="94" spans="1:33" ht="11.25" customHeight="1" x14ac:dyDescent="0.3">
      <c r="A94" s="3" t="s">
        <v>21</v>
      </c>
      <c r="B94" s="3" t="s">
        <v>34</v>
      </c>
      <c r="C94" s="3" t="s">
        <v>38</v>
      </c>
      <c r="D94" s="3" t="s">
        <v>33</v>
      </c>
      <c r="E94" s="3" t="s">
        <v>25</v>
      </c>
      <c r="F94" s="3" t="s">
        <v>54</v>
      </c>
      <c r="G94" s="3" t="s">
        <v>25</v>
      </c>
      <c r="H94" s="3" t="s">
        <v>37</v>
      </c>
      <c r="I94" s="6">
        <v>44682</v>
      </c>
      <c r="J94" s="4">
        <v>0</v>
      </c>
      <c r="K94" s="4">
        <v>0</v>
      </c>
      <c r="L94" s="4">
        <v>381.33199999999999</v>
      </c>
      <c r="M94" s="4">
        <v>0</v>
      </c>
      <c r="N94" s="4">
        <v>0</v>
      </c>
      <c r="O94" s="4">
        <v>0</v>
      </c>
      <c r="P94" s="4">
        <v>0</v>
      </c>
      <c r="Q94" s="3" t="s">
        <v>55</v>
      </c>
      <c r="R94" s="3">
        <v>0</v>
      </c>
      <c r="S94" s="4">
        <v>0</v>
      </c>
      <c r="T94" s="4">
        <v>3</v>
      </c>
      <c r="U94" s="4">
        <v>0</v>
      </c>
      <c r="V94" s="4">
        <f>IF(ISERROR(VLOOKUP($S$94,'TAR FIN'!$A$1:$O$85,15,0)),0,VLOOKUP($S$94,'TAR FIN'!$A$1:$O$85,15,0))</f>
        <v>0</v>
      </c>
      <c r="W94" s="4">
        <f>IF(ISERROR(VLOOKUP($T$94,'TAR FIN'!$A$1:$O$85,15,0)),0,VLOOKUP($T$94,'TAR FIN'!$A$1:$O$85,15,0))</f>
        <v>80.73</v>
      </c>
      <c r="X94" s="4">
        <f>IF(ISERROR(VLOOKUP($U$94,'TAR FIN'!$A$1:$O$85,15,0)),0,VLOOKUP($U$94,'TAR FIN'!$A$1:$O$85,15,0))</f>
        <v>0</v>
      </c>
      <c r="Y94" s="4"/>
      <c r="Z94" s="4">
        <f ca="1">('TUSD BE'!$AM$12+'TUSD BF'!$AM$12+'TUSD CVA'!$AM$12)*1</f>
        <v>111.74556842703541</v>
      </c>
      <c r="AA94" s="4"/>
      <c r="AB94" s="4">
        <f>$K$94*$V$94</f>
        <v>0</v>
      </c>
      <c r="AC94" s="4">
        <f>$M$94*$W$94</f>
        <v>0</v>
      </c>
      <c r="AD94" s="4">
        <f>$O$94*$X$94</f>
        <v>0</v>
      </c>
      <c r="AE94" s="4">
        <f>$K$94*$Y$94</f>
        <v>0</v>
      </c>
      <c r="AF94" s="4">
        <f ca="1">$M$94*$Z$94</f>
        <v>0</v>
      </c>
      <c r="AG94" s="4">
        <f>$O$94*$AA$94</f>
        <v>0</v>
      </c>
    </row>
    <row r="95" spans="1:33" ht="11.25" customHeight="1" x14ac:dyDescent="0.3">
      <c r="A95" s="3" t="s">
        <v>21</v>
      </c>
      <c r="B95" s="3" t="s">
        <v>34</v>
      </c>
      <c r="C95" s="3" t="s">
        <v>38</v>
      </c>
      <c r="D95" s="3" t="s">
        <v>33</v>
      </c>
      <c r="E95" s="3" t="s">
        <v>25</v>
      </c>
      <c r="F95" s="3" t="s">
        <v>54</v>
      </c>
      <c r="G95" s="3" t="s">
        <v>25</v>
      </c>
      <c r="H95" s="3" t="s">
        <v>37</v>
      </c>
      <c r="I95" s="6">
        <v>44713</v>
      </c>
      <c r="J95" s="4">
        <v>0</v>
      </c>
      <c r="K95" s="4">
        <v>0</v>
      </c>
      <c r="L95" s="4">
        <v>352.99900000000002</v>
      </c>
      <c r="M95" s="4">
        <v>0</v>
      </c>
      <c r="N95" s="4">
        <v>0</v>
      </c>
      <c r="O95" s="4">
        <v>0</v>
      </c>
      <c r="P95" s="4">
        <v>0</v>
      </c>
      <c r="Q95" s="3" t="s">
        <v>55</v>
      </c>
      <c r="R95" s="3">
        <v>0</v>
      </c>
      <c r="S95" s="4">
        <v>0</v>
      </c>
      <c r="T95" s="4">
        <v>3</v>
      </c>
      <c r="U95" s="4">
        <v>0</v>
      </c>
      <c r="V95" s="4">
        <f>IF(ISERROR(VLOOKUP($S$95,'TAR FIN'!$A$1:$O$85,15,0)),0,VLOOKUP($S$95,'TAR FIN'!$A$1:$O$85,15,0))</f>
        <v>0</v>
      </c>
      <c r="W95" s="4">
        <f>IF(ISERROR(VLOOKUP($T$95,'TAR FIN'!$A$1:$O$85,15,0)),0,VLOOKUP($T$95,'TAR FIN'!$A$1:$O$85,15,0))</f>
        <v>80.73</v>
      </c>
      <c r="X95" s="4">
        <f>IF(ISERROR(VLOOKUP($U$95,'TAR FIN'!$A$1:$O$85,15,0)),0,VLOOKUP($U$95,'TAR FIN'!$A$1:$O$85,15,0))</f>
        <v>0</v>
      </c>
      <c r="Y95" s="4"/>
      <c r="Z95" s="4">
        <f ca="1">('TUSD BE'!$AM$12+'TUSD BF'!$AM$12+'TUSD CVA'!$AM$12)*1</f>
        <v>111.74556842703541</v>
      </c>
      <c r="AA95" s="4"/>
      <c r="AB95" s="4">
        <f>$K$95*$V$95</f>
        <v>0</v>
      </c>
      <c r="AC95" s="4">
        <f>$M$95*$W$95</f>
        <v>0</v>
      </c>
      <c r="AD95" s="4">
        <f>$O$95*$X$95</f>
        <v>0</v>
      </c>
      <c r="AE95" s="4">
        <f>$K$95*$Y$95</f>
        <v>0</v>
      </c>
      <c r="AF95" s="4">
        <f ca="1">$M$95*$Z$95</f>
        <v>0</v>
      </c>
      <c r="AG95" s="4">
        <f>$O$95*$AA$95</f>
        <v>0</v>
      </c>
    </row>
    <row r="96" spans="1:33" ht="11.25" customHeight="1" x14ac:dyDescent="0.3">
      <c r="A96" s="3" t="s">
        <v>21</v>
      </c>
      <c r="B96" s="3" t="s">
        <v>34</v>
      </c>
      <c r="C96" s="3" t="s">
        <v>38</v>
      </c>
      <c r="D96" s="3" t="s">
        <v>33</v>
      </c>
      <c r="E96" s="3" t="s">
        <v>25</v>
      </c>
      <c r="F96" s="3" t="s">
        <v>54</v>
      </c>
      <c r="G96" s="3" t="s">
        <v>25</v>
      </c>
      <c r="H96" s="3" t="s">
        <v>37</v>
      </c>
      <c r="I96" s="6">
        <v>44743</v>
      </c>
      <c r="J96" s="4">
        <v>0</v>
      </c>
      <c r="K96" s="4">
        <v>0</v>
      </c>
      <c r="L96" s="4">
        <v>494.959</v>
      </c>
      <c r="M96" s="4">
        <v>0</v>
      </c>
      <c r="N96" s="4">
        <v>0</v>
      </c>
      <c r="O96" s="4">
        <v>0</v>
      </c>
      <c r="P96" s="4">
        <v>0</v>
      </c>
      <c r="Q96" s="3" t="s">
        <v>55</v>
      </c>
      <c r="R96" s="3">
        <v>0</v>
      </c>
      <c r="S96" s="4">
        <v>0</v>
      </c>
      <c r="T96" s="4">
        <v>3</v>
      </c>
      <c r="U96" s="4">
        <v>0</v>
      </c>
      <c r="V96" s="4">
        <f>IF(ISERROR(VLOOKUP($S$96,'TAR FIN'!$A$1:$O$85,15,0)),0,VLOOKUP($S$96,'TAR FIN'!$A$1:$O$85,15,0))</f>
        <v>0</v>
      </c>
      <c r="W96" s="4">
        <f>IF(ISERROR(VLOOKUP($T$96,'TAR FIN'!$A$1:$O$85,15,0)),0,VLOOKUP($T$96,'TAR FIN'!$A$1:$O$85,15,0))</f>
        <v>80.73</v>
      </c>
      <c r="X96" s="4">
        <f>IF(ISERROR(VLOOKUP($U$96,'TAR FIN'!$A$1:$O$85,15,0)),0,VLOOKUP($U$96,'TAR FIN'!$A$1:$O$85,15,0))</f>
        <v>0</v>
      </c>
      <c r="Y96" s="4"/>
      <c r="Z96" s="4">
        <f ca="1">('TUSD BE'!$AM$12+'TUSD BF'!$AM$12+'TUSD CVA'!$AM$12)*1</f>
        <v>111.74556842703541</v>
      </c>
      <c r="AA96" s="4"/>
      <c r="AB96" s="4">
        <f>$K$96*$V$96</f>
        <v>0</v>
      </c>
      <c r="AC96" s="4">
        <f>$M$96*$W$96</f>
        <v>0</v>
      </c>
      <c r="AD96" s="4">
        <f>$O$96*$X$96</f>
        <v>0</v>
      </c>
      <c r="AE96" s="4">
        <f>$K$96*$Y$96</f>
        <v>0</v>
      </c>
      <c r="AF96" s="4">
        <f ca="1">$M$96*$Z$96</f>
        <v>0</v>
      </c>
      <c r="AG96" s="4">
        <f>$O$96*$AA$96</f>
        <v>0</v>
      </c>
    </row>
    <row r="97" spans="1:33" ht="11.25" customHeight="1" x14ac:dyDescent="0.3">
      <c r="A97" s="3" t="s">
        <v>53</v>
      </c>
      <c r="B97" s="3" t="s">
        <v>34</v>
      </c>
      <c r="C97" s="3" t="s">
        <v>38</v>
      </c>
      <c r="D97" s="3" t="s">
        <v>33</v>
      </c>
      <c r="E97" s="3" t="s">
        <v>25</v>
      </c>
      <c r="F97" s="3" t="s">
        <v>54</v>
      </c>
      <c r="G97" s="3" t="s">
        <v>25</v>
      </c>
      <c r="H97" s="3" t="s">
        <v>37</v>
      </c>
      <c r="I97" s="6">
        <v>44774</v>
      </c>
      <c r="J97" s="4">
        <v>0</v>
      </c>
      <c r="K97" s="4">
        <v>0</v>
      </c>
      <c r="L97" s="4">
        <v>494.959</v>
      </c>
      <c r="M97" s="4">
        <v>0</v>
      </c>
      <c r="N97" s="4">
        <v>0</v>
      </c>
      <c r="O97" s="4">
        <v>0</v>
      </c>
      <c r="P97" s="4">
        <v>0</v>
      </c>
      <c r="Q97" s="3" t="s">
        <v>55</v>
      </c>
      <c r="R97" s="3">
        <v>0</v>
      </c>
      <c r="S97" s="4">
        <v>0</v>
      </c>
      <c r="T97" s="4">
        <v>3</v>
      </c>
      <c r="U97" s="4">
        <v>0</v>
      </c>
      <c r="V97" s="4">
        <f>IF(ISERROR(VLOOKUP($S$97,'TAR FIN'!$A$1:$O$85,15,0)),0,VLOOKUP($S$97,'TAR FIN'!$A$1:$O$85,15,0))</f>
        <v>0</v>
      </c>
      <c r="W97" s="4">
        <f>IF(ISERROR(VLOOKUP($T$97,'TAR FIN'!$A$1:$O$85,15,0)),0,VLOOKUP($T$97,'TAR FIN'!$A$1:$O$85,15,0))</f>
        <v>80.73</v>
      </c>
      <c r="X97" s="4">
        <f>IF(ISERROR(VLOOKUP($U$97,'TAR FIN'!$A$1:$O$85,15,0)),0,VLOOKUP($U$97,'TAR FIN'!$A$1:$O$85,15,0))</f>
        <v>0</v>
      </c>
      <c r="Y97" s="4"/>
      <c r="Z97" s="4">
        <f ca="1">('TUSD BE'!$AM$12+'TUSD BF'!$AM$12+'TUSD CVA'!$AM$12)*1</f>
        <v>111.74556842703541</v>
      </c>
      <c r="AA97" s="4"/>
      <c r="AB97" s="4">
        <f>$K$97*$V$97</f>
        <v>0</v>
      </c>
      <c r="AC97" s="4">
        <f>$M$97*$W$97</f>
        <v>0</v>
      </c>
      <c r="AD97" s="4">
        <f>$O$97*$X$97</f>
        <v>0</v>
      </c>
      <c r="AE97" s="4">
        <f>$K$97*$Y$97</f>
        <v>0</v>
      </c>
      <c r="AF97" s="4">
        <f ca="1">$M$97*$Z$97</f>
        <v>0</v>
      </c>
      <c r="AG97" s="4">
        <f>$O$97*$AA$97</f>
        <v>0</v>
      </c>
    </row>
    <row r="98" spans="1:33" ht="11.25" customHeight="1" x14ac:dyDescent="0.3">
      <c r="A98" s="3" t="s">
        <v>21</v>
      </c>
      <c r="B98" s="3" t="s">
        <v>34</v>
      </c>
      <c r="C98" s="3" t="s">
        <v>38</v>
      </c>
      <c r="D98" s="3" t="s">
        <v>33</v>
      </c>
      <c r="E98" s="3" t="s">
        <v>25</v>
      </c>
      <c r="F98" s="3" t="s">
        <v>54</v>
      </c>
      <c r="G98" s="3" t="s">
        <v>25</v>
      </c>
      <c r="H98" s="3" t="s">
        <v>25</v>
      </c>
      <c r="I98" s="6">
        <v>44440</v>
      </c>
      <c r="J98" s="4">
        <v>1446</v>
      </c>
      <c r="K98" s="4">
        <v>320.05078595999998</v>
      </c>
      <c r="L98" s="4">
        <v>0</v>
      </c>
      <c r="M98" s="4">
        <v>0</v>
      </c>
      <c r="N98" s="4">
        <v>0</v>
      </c>
      <c r="O98" s="4">
        <v>0</v>
      </c>
      <c r="P98" s="4">
        <v>2</v>
      </c>
      <c r="Q98" s="3" t="s">
        <v>55</v>
      </c>
      <c r="R98" s="3">
        <v>0</v>
      </c>
      <c r="S98" s="4">
        <v>5</v>
      </c>
      <c r="T98" s="4">
        <v>0</v>
      </c>
      <c r="U98" s="4">
        <v>0</v>
      </c>
      <c r="V98" s="4">
        <f>IF(ISERROR(VLOOKUP($S$98,'TAR FIN'!$A$1:$O$85,15,0)),0,VLOOKUP($S$98,'TAR FIN'!$A$1:$O$85,15,0))</f>
        <v>20.34</v>
      </c>
      <c r="W98" s="4">
        <f>IF(ISERROR(VLOOKUP($T$98,'TAR FIN'!$A$1:$O$85,15,0)),0,VLOOKUP($T$98,'TAR FIN'!$A$1:$O$85,15,0))</f>
        <v>0</v>
      </c>
      <c r="X98" s="4">
        <f>IF(ISERROR(VLOOKUP($U$98,'TAR FIN'!$A$1:$O$85,15,0)),0,VLOOKUP($U$98,'TAR FIN'!$A$1:$O$85,15,0))</f>
        <v>0</v>
      </c>
      <c r="Y98" s="4">
        <f ca="1">('TUSD BE'!$AM$10+'TUSD BF'!$AM$10+'TUSD CVA'!$AM$10)*1</f>
        <v>23.236586763614469</v>
      </c>
      <c r="Z98" s="4"/>
      <c r="AA98" s="4"/>
      <c r="AB98" s="4">
        <f>$K$98*$V$98</f>
        <v>6509.8329864263997</v>
      </c>
      <c r="AC98" s="4">
        <f>$M$98*$W$98</f>
        <v>0</v>
      </c>
      <c r="AD98" s="4">
        <f>$O$98*$X$98</f>
        <v>0</v>
      </c>
      <c r="AE98" s="4">
        <f ca="1">$K$98*$Y$98</f>
        <v>7436.8878567225429</v>
      </c>
      <c r="AF98" s="4">
        <f>$M$98*$Z$98</f>
        <v>0</v>
      </c>
      <c r="AG98" s="4">
        <f>$O$98*$AA$98</f>
        <v>0</v>
      </c>
    </row>
    <row r="99" spans="1:33" ht="11.25" customHeight="1" x14ac:dyDescent="0.3">
      <c r="A99" s="3" t="s">
        <v>21</v>
      </c>
      <c r="B99" s="3" t="s">
        <v>34</v>
      </c>
      <c r="C99" s="3" t="s">
        <v>38</v>
      </c>
      <c r="D99" s="3" t="s">
        <v>33</v>
      </c>
      <c r="E99" s="3" t="s">
        <v>25</v>
      </c>
      <c r="F99" s="3" t="s">
        <v>54</v>
      </c>
      <c r="G99" s="3" t="s">
        <v>25</v>
      </c>
      <c r="H99" s="3" t="s">
        <v>25</v>
      </c>
      <c r="I99" s="6">
        <v>44470</v>
      </c>
      <c r="J99" s="4">
        <v>1460</v>
      </c>
      <c r="K99" s="4">
        <v>329.7212462</v>
      </c>
      <c r="L99" s="4">
        <v>0</v>
      </c>
      <c r="M99" s="4">
        <v>0</v>
      </c>
      <c r="N99" s="4">
        <v>0</v>
      </c>
      <c r="O99" s="4">
        <v>0</v>
      </c>
      <c r="P99" s="4">
        <v>2</v>
      </c>
      <c r="Q99" s="3" t="s">
        <v>55</v>
      </c>
      <c r="R99" s="3">
        <v>0</v>
      </c>
      <c r="S99" s="4">
        <v>5</v>
      </c>
      <c r="T99" s="4">
        <v>0</v>
      </c>
      <c r="U99" s="4">
        <v>0</v>
      </c>
      <c r="V99" s="4">
        <f>IF(ISERROR(VLOOKUP($S$99,'TAR FIN'!$A$1:$O$85,15,0)),0,VLOOKUP($S$99,'TAR FIN'!$A$1:$O$85,15,0))</f>
        <v>20.34</v>
      </c>
      <c r="W99" s="4">
        <f>IF(ISERROR(VLOOKUP($T$99,'TAR FIN'!$A$1:$O$85,15,0)),0,VLOOKUP($T$99,'TAR FIN'!$A$1:$O$85,15,0))</f>
        <v>0</v>
      </c>
      <c r="X99" s="4">
        <f>IF(ISERROR(VLOOKUP($U$99,'TAR FIN'!$A$1:$O$85,15,0)),0,VLOOKUP($U$99,'TAR FIN'!$A$1:$O$85,15,0))</f>
        <v>0</v>
      </c>
      <c r="Y99" s="4">
        <f ca="1">('TUSD BE'!$AM$10+'TUSD BF'!$AM$10+'TUSD CVA'!$AM$10)*1</f>
        <v>23.236586763614469</v>
      </c>
      <c r="Z99" s="4"/>
      <c r="AA99" s="4"/>
      <c r="AB99" s="4">
        <f>$K$99*$V$99</f>
        <v>6706.5301477080002</v>
      </c>
      <c r="AC99" s="4">
        <f>$M$99*$W$99</f>
        <v>0</v>
      </c>
      <c r="AD99" s="4">
        <f>$O$99*$X$99</f>
        <v>0</v>
      </c>
      <c r="AE99" s="4">
        <f ca="1">$K$99*$Y$99</f>
        <v>7661.5963451333873</v>
      </c>
      <c r="AF99" s="4">
        <f>$M$99*$Z$99</f>
        <v>0</v>
      </c>
      <c r="AG99" s="4">
        <f>$O$99*$AA$99</f>
        <v>0</v>
      </c>
    </row>
    <row r="100" spans="1:33" ht="11.25" customHeight="1" x14ac:dyDescent="0.3">
      <c r="A100" s="3" t="s">
        <v>21</v>
      </c>
      <c r="B100" s="3" t="s">
        <v>34</v>
      </c>
      <c r="C100" s="3" t="s">
        <v>38</v>
      </c>
      <c r="D100" s="3" t="s">
        <v>33</v>
      </c>
      <c r="E100" s="3" t="s">
        <v>25</v>
      </c>
      <c r="F100" s="3" t="s">
        <v>54</v>
      </c>
      <c r="G100" s="3" t="s">
        <v>25</v>
      </c>
      <c r="H100" s="3" t="s">
        <v>25</v>
      </c>
      <c r="I100" s="6">
        <v>44501</v>
      </c>
      <c r="J100" s="4">
        <v>1661</v>
      </c>
      <c r="K100" s="4">
        <v>398.42132935000001</v>
      </c>
      <c r="L100" s="4">
        <v>0</v>
      </c>
      <c r="M100" s="4">
        <v>0</v>
      </c>
      <c r="N100" s="4">
        <v>0</v>
      </c>
      <c r="O100" s="4">
        <v>0</v>
      </c>
      <c r="P100" s="4">
        <v>2</v>
      </c>
      <c r="Q100" s="3" t="s">
        <v>55</v>
      </c>
      <c r="R100" s="3">
        <v>0</v>
      </c>
      <c r="S100" s="4">
        <v>5</v>
      </c>
      <c r="T100" s="4">
        <v>0</v>
      </c>
      <c r="U100" s="4">
        <v>0</v>
      </c>
      <c r="V100" s="4">
        <f>IF(ISERROR(VLOOKUP($S$100,'TAR FIN'!$A$1:$O$85,15,0)),0,VLOOKUP($S$100,'TAR FIN'!$A$1:$O$85,15,0))</f>
        <v>20.34</v>
      </c>
      <c r="W100" s="4">
        <f>IF(ISERROR(VLOOKUP($T$100,'TAR FIN'!$A$1:$O$85,15,0)),0,VLOOKUP($T$100,'TAR FIN'!$A$1:$O$85,15,0))</f>
        <v>0</v>
      </c>
      <c r="X100" s="4">
        <f>IF(ISERROR(VLOOKUP($U$100,'TAR FIN'!$A$1:$O$85,15,0)),0,VLOOKUP($U$100,'TAR FIN'!$A$1:$O$85,15,0))</f>
        <v>0</v>
      </c>
      <c r="Y100" s="4">
        <f ca="1">('TUSD BE'!$AM$10+'TUSD BF'!$AM$10+'TUSD CVA'!$AM$10)*1</f>
        <v>23.236586763614469</v>
      </c>
      <c r="Z100" s="4"/>
      <c r="AA100" s="4"/>
      <c r="AB100" s="4">
        <f>$K$100*$V$100</f>
        <v>8103.8898389790002</v>
      </c>
      <c r="AC100" s="4">
        <f>$M$100*$W$100</f>
        <v>0</v>
      </c>
      <c r="AD100" s="4">
        <f>$O$100*$X$100</f>
        <v>0</v>
      </c>
      <c r="AE100" s="4">
        <f ca="1">$K$100*$Y$100</f>
        <v>9257.9517879158902</v>
      </c>
      <c r="AF100" s="4">
        <f>$M$100*$Z$100</f>
        <v>0</v>
      </c>
      <c r="AG100" s="4">
        <f>$O$100*$AA$100</f>
        <v>0</v>
      </c>
    </row>
    <row r="101" spans="1:33" ht="11.25" customHeight="1" x14ac:dyDescent="0.3">
      <c r="A101" s="3" t="s">
        <v>21</v>
      </c>
      <c r="B101" s="3" t="s">
        <v>34</v>
      </c>
      <c r="C101" s="3" t="s">
        <v>38</v>
      </c>
      <c r="D101" s="3" t="s">
        <v>33</v>
      </c>
      <c r="E101" s="3" t="s">
        <v>25</v>
      </c>
      <c r="F101" s="3" t="s">
        <v>54</v>
      </c>
      <c r="G101" s="3" t="s">
        <v>25</v>
      </c>
      <c r="H101" s="3" t="s">
        <v>25</v>
      </c>
      <c r="I101" s="6">
        <v>44531</v>
      </c>
      <c r="J101" s="4">
        <v>1729</v>
      </c>
      <c r="K101" s="4">
        <v>417.51523723000003</v>
      </c>
      <c r="L101" s="4">
        <v>0</v>
      </c>
      <c r="M101" s="4">
        <v>0</v>
      </c>
      <c r="N101" s="4">
        <v>0</v>
      </c>
      <c r="O101" s="4">
        <v>0</v>
      </c>
      <c r="P101" s="4">
        <v>2</v>
      </c>
      <c r="Q101" s="3" t="s">
        <v>55</v>
      </c>
      <c r="R101" s="3">
        <v>0</v>
      </c>
      <c r="S101" s="4">
        <v>5</v>
      </c>
      <c r="T101" s="4">
        <v>0</v>
      </c>
      <c r="U101" s="4">
        <v>0</v>
      </c>
      <c r="V101" s="4">
        <f>IF(ISERROR(VLOOKUP($S$101,'TAR FIN'!$A$1:$O$85,15,0)),0,VLOOKUP($S$101,'TAR FIN'!$A$1:$O$85,15,0))</f>
        <v>20.34</v>
      </c>
      <c r="W101" s="4">
        <f>IF(ISERROR(VLOOKUP($T$101,'TAR FIN'!$A$1:$O$85,15,0)),0,VLOOKUP($T$101,'TAR FIN'!$A$1:$O$85,15,0))</f>
        <v>0</v>
      </c>
      <c r="X101" s="4">
        <f>IF(ISERROR(VLOOKUP($U$101,'TAR FIN'!$A$1:$O$85,15,0)),0,VLOOKUP($U$101,'TAR FIN'!$A$1:$O$85,15,0))</f>
        <v>0</v>
      </c>
      <c r="Y101" s="4">
        <f ca="1">('TUSD BE'!$AM$10+'TUSD BF'!$AM$10+'TUSD CVA'!$AM$10)*1</f>
        <v>23.236586763614469</v>
      </c>
      <c r="Z101" s="4"/>
      <c r="AA101" s="4"/>
      <c r="AB101" s="4">
        <f>$K$101*$V$101</f>
        <v>8492.2599252582004</v>
      </c>
      <c r="AC101" s="4">
        <f>$M$101*$W$101</f>
        <v>0</v>
      </c>
      <c r="AD101" s="4">
        <f>$O$101*$X$101</f>
        <v>0</v>
      </c>
      <c r="AE101" s="4">
        <f ca="1">$K$101*$Y$101</f>
        <v>9701.6290350259733</v>
      </c>
      <c r="AF101" s="4">
        <f>$M$101*$Z$101</f>
        <v>0</v>
      </c>
      <c r="AG101" s="4">
        <f>$O$101*$AA$101</f>
        <v>0</v>
      </c>
    </row>
    <row r="102" spans="1:33" ht="11.25" customHeight="1" x14ac:dyDescent="0.3">
      <c r="A102" s="3" t="s">
        <v>21</v>
      </c>
      <c r="B102" s="3" t="s">
        <v>34</v>
      </c>
      <c r="C102" s="3" t="s">
        <v>38</v>
      </c>
      <c r="D102" s="3" t="s">
        <v>33</v>
      </c>
      <c r="E102" s="3" t="s">
        <v>25</v>
      </c>
      <c r="F102" s="3" t="s">
        <v>54</v>
      </c>
      <c r="G102" s="3" t="s">
        <v>25</v>
      </c>
      <c r="H102" s="3" t="s">
        <v>25</v>
      </c>
      <c r="I102" s="6">
        <v>44562</v>
      </c>
      <c r="J102" s="4">
        <v>1708</v>
      </c>
      <c r="K102" s="4">
        <v>1253.8952868399999</v>
      </c>
      <c r="L102" s="4">
        <v>0</v>
      </c>
      <c r="M102" s="4">
        <v>0</v>
      </c>
      <c r="N102" s="4">
        <v>0</v>
      </c>
      <c r="O102" s="4">
        <v>0</v>
      </c>
      <c r="P102" s="4">
        <v>2</v>
      </c>
      <c r="Q102" s="3" t="s">
        <v>55</v>
      </c>
      <c r="R102" s="3">
        <v>0</v>
      </c>
      <c r="S102" s="4">
        <v>5</v>
      </c>
      <c r="T102" s="4">
        <v>0</v>
      </c>
      <c r="U102" s="4">
        <v>0</v>
      </c>
      <c r="V102" s="4">
        <f>IF(ISERROR(VLOOKUP($S$102,'TAR FIN'!$A$1:$O$85,15,0)),0,VLOOKUP($S$102,'TAR FIN'!$A$1:$O$85,15,0))</f>
        <v>20.34</v>
      </c>
      <c r="W102" s="4">
        <f>IF(ISERROR(VLOOKUP($T$102,'TAR FIN'!$A$1:$O$85,15,0)),0,VLOOKUP($T$102,'TAR FIN'!$A$1:$O$85,15,0))</f>
        <v>0</v>
      </c>
      <c r="X102" s="4">
        <f>IF(ISERROR(VLOOKUP($U$102,'TAR FIN'!$A$1:$O$85,15,0)),0,VLOOKUP($U$102,'TAR FIN'!$A$1:$O$85,15,0))</f>
        <v>0</v>
      </c>
      <c r="Y102" s="4">
        <f ca="1">('TUSD BE'!$AM$10+'TUSD BF'!$AM$10+'TUSD CVA'!$AM$10)*1</f>
        <v>23.236586763614469</v>
      </c>
      <c r="Z102" s="4"/>
      <c r="AA102" s="4"/>
      <c r="AB102" s="4">
        <f>$K$102*$V$102</f>
        <v>25504.230134325597</v>
      </c>
      <c r="AC102" s="4">
        <f>$M$102*$W$102</f>
        <v>0</v>
      </c>
      <c r="AD102" s="4">
        <f>$O$102*$X$102</f>
        <v>0</v>
      </c>
      <c r="AE102" s="4">
        <f ca="1">$K$102*$Y$102</f>
        <v>29136.246625144908</v>
      </c>
      <c r="AF102" s="4">
        <f>$M$102*$Z$102</f>
        <v>0</v>
      </c>
      <c r="AG102" s="4">
        <f>$O$102*$AA$102</f>
        <v>0</v>
      </c>
    </row>
    <row r="103" spans="1:33" ht="11.25" customHeight="1" x14ac:dyDescent="0.3">
      <c r="A103" s="3" t="s">
        <v>21</v>
      </c>
      <c r="B103" s="3" t="s">
        <v>34</v>
      </c>
      <c r="C103" s="3" t="s">
        <v>38</v>
      </c>
      <c r="D103" s="3" t="s">
        <v>33</v>
      </c>
      <c r="E103" s="3" t="s">
        <v>25</v>
      </c>
      <c r="F103" s="3" t="s">
        <v>54</v>
      </c>
      <c r="G103" s="3" t="s">
        <v>25</v>
      </c>
      <c r="H103" s="3" t="s">
        <v>25</v>
      </c>
      <c r="I103" s="6">
        <v>44593</v>
      </c>
      <c r="J103" s="4">
        <v>1732</v>
      </c>
      <c r="K103" s="4">
        <v>1732</v>
      </c>
      <c r="L103" s="4">
        <v>0</v>
      </c>
      <c r="M103" s="4">
        <v>0</v>
      </c>
      <c r="N103" s="4">
        <v>0</v>
      </c>
      <c r="O103" s="4">
        <v>0</v>
      </c>
      <c r="P103" s="4">
        <v>2</v>
      </c>
      <c r="Q103" s="3" t="s">
        <v>55</v>
      </c>
      <c r="R103" s="3">
        <v>0</v>
      </c>
      <c r="S103" s="4">
        <v>5</v>
      </c>
      <c r="T103" s="4">
        <v>0</v>
      </c>
      <c r="U103" s="4">
        <v>0</v>
      </c>
      <c r="V103" s="4">
        <f>IF(ISERROR(VLOOKUP($S$103,'TAR FIN'!$A$1:$O$85,15,0)),0,VLOOKUP($S$103,'TAR FIN'!$A$1:$O$85,15,0))</f>
        <v>20.34</v>
      </c>
      <c r="W103" s="4">
        <f>IF(ISERROR(VLOOKUP($T$103,'TAR FIN'!$A$1:$O$85,15,0)),0,VLOOKUP($T$103,'TAR FIN'!$A$1:$O$85,15,0))</f>
        <v>0</v>
      </c>
      <c r="X103" s="4">
        <f>IF(ISERROR(VLOOKUP($U$103,'TAR FIN'!$A$1:$O$85,15,0)),0,VLOOKUP($U$103,'TAR FIN'!$A$1:$O$85,15,0))</f>
        <v>0</v>
      </c>
      <c r="Y103" s="4">
        <f ca="1">('TUSD BE'!$AM$10+'TUSD BF'!$AM$10+'TUSD CVA'!$AM$10)*1</f>
        <v>23.236586763614469</v>
      </c>
      <c r="Z103" s="4"/>
      <c r="AA103" s="4"/>
      <c r="AB103" s="4">
        <f>$K$103*$V$103</f>
        <v>35228.879999999997</v>
      </c>
      <c r="AC103" s="4">
        <f>$M$103*$W$103</f>
        <v>0</v>
      </c>
      <c r="AD103" s="4">
        <f>$O$103*$X$103</f>
        <v>0</v>
      </c>
      <c r="AE103" s="4">
        <f ca="1">$K$103*$Y$103</f>
        <v>40245.768274580259</v>
      </c>
      <c r="AF103" s="4">
        <f>$M$103*$Z$103</f>
        <v>0</v>
      </c>
      <c r="AG103" s="4">
        <f>$O$103*$AA$103</f>
        <v>0</v>
      </c>
    </row>
    <row r="104" spans="1:33" ht="11.25" customHeight="1" x14ac:dyDescent="0.3">
      <c r="A104" s="3" t="s">
        <v>21</v>
      </c>
      <c r="B104" s="3" t="s">
        <v>34</v>
      </c>
      <c r="C104" s="3" t="s">
        <v>38</v>
      </c>
      <c r="D104" s="3" t="s">
        <v>33</v>
      </c>
      <c r="E104" s="3" t="s">
        <v>25</v>
      </c>
      <c r="F104" s="3" t="s">
        <v>54</v>
      </c>
      <c r="G104" s="3" t="s">
        <v>25</v>
      </c>
      <c r="H104" s="3" t="s">
        <v>25</v>
      </c>
      <c r="I104" s="6">
        <v>44621</v>
      </c>
      <c r="J104" s="4">
        <v>1732</v>
      </c>
      <c r="K104" s="4">
        <v>1331.8529916800001</v>
      </c>
      <c r="L104" s="4">
        <v>0</v>
      </c>
      <c r="M104" s="4">
        <v>0</v>
      </c>
      <c r="N104" s="4">
        <v>0</v>
      </c>
      <c r="O104" s="4">
        <v>0</v>
      </c>
      <c r="P104" s="4">
        <v>2</v>
      </c>
      <c r="Q104" s="3" t="s">
        <v>55</v>
      </c>
      <c r="R104" s="3">
        <v>0</v>
      </c>
      <c r="S104" s="4">
        <v>5</v>
      </c>
      <c r="T104" s="4">
        <v>0</v>
      </c>
      <c r="U104" s="4">
        <v>0</v>
      </c>
      <c r="V104" s="4">
        <f>IF(ISERROR(VLOOKUP($S$104,'TAR FIN'!$A$1:$O$85,15,0)),0,VLOOKUP($S$104,'TAR FIN'!$A$1:$O$85,15,0))</f>
        <v>20.34</v>
      </c>
      <c r="W104" s="4">
        <f>IF(ISERROR(VLOOKUP($T$104,'TAR FIN'!$A$1:$O$85,15,0)),0,VLOOKUP($T$104,'TAR FIN'!$A$1:$O$85,15,0))</f>
        <v>0</v>
      </c>
      <c r="X104" s="4">
        <f>IF(ISERROR(VLOOKUP($U$104,'TAR FIN'!$A$1:$O$85,15,0)),0,VLOOKUP($U$104,'TAR FIN'!$A$1:$O$85,15,0))</f>
        <v>0</v>
      </c>
      <c r="Y104" s="4">
        <f ca="1">('TUSD BE'!$AM$10+'TUSD BF'!$AM$10+'TUSD CVA'!$AM$10)*1</f>
        <v>23.236586763614469</v>
      </c>
      <c r="Z104" s="4"/>
      <c r="AA104" s="4"/>
      <c r="AB104" s="4">
        <f>$K$104*$V$104</f>
        <v>27089.8898507712</v>
      </c>
      <c r="AC104" s="4">
        <f>$M$104*$W$104</f>
        <v>0</v>
      </c>
      <c r="AD104" s="4">
        <f>$O$104*$X$104</f>
        <v>0</v>
      </c>
      <c r="AE104" s="4">
        <f ca="1">$K$104*$Y$104</f>
        <v>30947.717597551818</v>
      </c>
      <c r="AF104" s="4">
        <f>$M$104*$Z$104</f>
        <v>0</v>
      </c>
      <c r="AG104" s="4">
        <f>$O$104*$AA$104</f>
        <v>0</v>
      </c>
    </row>
    <row r="105" spans="1:33" ht="11.25" customHeight="1" x14ac:dyDescent="0.3">
      <c r="A105" s="3" t="s">
        <v>21</v>
      </c>
      <c r="B105" s="3" t="s">
        <v>34</v>
      </c>
      <c r="C105" s="3" t="s">
        <v>38</v>
      </c>
      <c r="D105" s="3" t="s">
        <v>33</v>
      </c>
      <c r="E105" s="3" t="s">
        <v>25</v>
      </c>
      <c r="F105" s="3" t="s">
        <v>54</v>
      </c>
      <c r="G105" s="3" t="s">
        <v>25</v>
      </c>
      <c r="H105" s="3" t="s">
        <v>25</v>
      </c>
      <c r="I105" s="6">
        <v>44652</v>
      </c>
      <c r="J105" s="4">
        <v>1695</v>
      </c>
      <c r="K105" s="4">
        <v>-273.01080239999999</v>
      </c>
      <c r="L105" s="4">
        <v>0</v>
      </c>
      <c r="M105" s="4">
        <v>0</v>
      </c>
      <c r="N105" s="4">
        <v>0</v>
      </c>
      <c r="O105" s="4">
        <v>0</v>
      </c>
      <c r="P105" s="4">
        <v>2</v>
      </c>
      <c r="Q105" s="3" t="s">
        <v>55</v>
      </c>
      <c r="R105" s="3">
        <v>0</v>
      </c>
      <c r="S105" s="4">
        <v>5</v>
      </c>
      <c r="T105" s="4">
        <v>0</v>
      </c>
      <c r="U105" s="4">
        <v>0</v>
      </c>
      <c r="V105" s="4">
        <f>IF(ISERROR(VLOOKUP($S$105,'TAR FIN'!$A$1:$O$85,15,0)),0,VLOOKUP($S$105,'TAR FIN'!$A$1:$O$85,15,0))</f>
        <v>20.34</v>
      </c>
      <c r="W105" s="4">
        <f>IF(ISERROR(VLOOKUP($T$105,'TAR FIN'!$A$1:$O$85,15,0)),0,VLOOKUP($T$105,'TAR FIN'!$A$1:$O$85,15,0))</f>
        <v>0</v>
      </c>
      <c r="X105" s="4">
        <f>IF(ISERROR(VLOOKUP($U$105,'TAR FIN'!$A$1:$O$85,15,0)),0,VLOOKUP($U$105,'TAR FIN'!$A$1:$O$85,15,0))</f>
        <v>0</v>
      </c>
      <c r="Y105" s="4">
        <f ca="1">('TUSD BE'!$AM$10+'TUSD BF'!$AM$10+'TUSD CVA'!$AM$10)*1</f>
        <v>23.236586763614469</v>
      </c>
      <c r="Z105" s="4"/>
      <c r="AA105" s="4"/>
      <c r="AB105" s="4">
        <f>$K$105*$V$105</f>
        <v>-5553.0397208159993</v>
      </c>
      <c r="AC105" s="4">
        <f>$M$105*$W$105</f>
        <v>0</v>
      </c>
      <c r="AD105" s="4">
        <f>$O$105*$X$105</f>
        <v>0</v>
      </c>
      <c r="AE105" s="4">
        <f ca="1">$K$105*$Y$105</f>
        <v>-6343.8391973716052</v>
      </c>
      <c r="AF105" s="4">
        <f>$M$105*$Z$105</f>
        <v>0</v>
      </c>
      <c r="AG105" s="4">
        <f>$O$105*$AA$105</f>
        <v>0</v>
      </c>
    </row>
    <row r="106" spans="1:33" ht="11.25" customHeight="1" x14ac:dyDescent="0.3">
      <c r="A106" s="3" t="s">
        <v>21</v>
      </c>
      <c r="B106" s="3" t="s">
        <v>34</v>
      </c>
      <c r="C106" s="3" t="s">
        <v>38</v>
      </c>
      <c r="D106" s="3" t="s">
        <v>33</v>
      </c>
      <c r="E106" s="3" t="s">
        <v>25</v>
      </c>
      <c r="F106" s="3" t="s">
        <v>54</v>
      </c>
      <c r="G106" s="3" t="s">
        <v>25</v>
      </c>
      <c r="H106" s="3" t="s">
        <v>25</v>
      </c>
      <c r="I106" s="6">
        <v>44682</v>
      </c>
      <c r="J106" s="4">
        <v>1695</v>
      </c>
      <c r="K106" s="4">
        <v>848.18978025000001</v>
      </c>
      <c r="L106" s="4">
        <v>0</v>
      </c>
      <c r="M106" s="4">
        <v>0</v>
      </c>
      <c r="N106" s="4">
        <v>0</v>
      </c>
      <c r="O106" s="4">
        <v>0</v>
      </c>
      <c r="P106" s="4">
        <v>2</v>
      </c>
      <c r="Q106" s="3" t="s">
        <v>55</v>
      </c>
      <c r="R106" s="3">
        <v>0</v>
      </c>
      <c r="S106" s="4">
        <v>5</v>
      </c>
      <c r="T106" s="4">
        <v>0</v>
      </c>
      <c r="U106" s="4">
        <v>0</v>
      </c>
      <c r="V106" s="4">
        <f>IF(ISERROR(VLOOKUP($S$106,'TAR FIN'!$A$1:$O$85,15,0)),0,VLOOKUP($S$106,'TAR FIN'!$A$1:$O$85,15,0))</f>
        <v>20.34</v>
      </c>
      <c r="W106" s="4">
        <f>IF(ISERROR(VLOOKUP($T$106,'TAR FIN'!$A$1:$O$85,15,0)),0,VLOOKUP($T$106,'TAR FIN'!$A$1:$O$85,15,0))</f>
        <v>0</v>
      </c>
      <c r="X106" s="4">
        <f>IF(ISERROR(VLOOKUP($U$106,'TAR FIN'!$A$1:$O$85,15,0)),0,VLOOKUP($U$106,'TAR FIN'!$A$1:$O$85,15,0))</f>
        <v>0</v>
      </c>
      <c r="Y106" s="4">
        <f ca="1">('TUSD BE'!$AM$10+'TUSD BF'!$AM$10+'TUSD CVA'!$AM$10)*1</f>
        <v>23.236586763614469</v>
      </c>
      <c r="Z106" s="4"/>
      <c r="AA106" s="4"/>
      <c r="AB106" s="4">
        <f>$K$106*$V$106</f>
        <v>17252.180130285</v>
      </c>
      <c r="AC106" s="4">
        <f>$M$106*$W$106</f>
        <v>0</v>
      </c>
      <c r="AD106" s="4">
        <f>$O$106*$X$106</f>
        <v>0</v>
      </c>
      <c r="AE106" s="4">
        <f ca="1">$K$106*$Y$106</f>
        <v>19709.035420790216</v>
      </c>
      <c r="AF106" s="4">
        <f>$M$106*$Z$106</f>
        <v>0</v>
      </c>
      <c r="AG106" s="4">
        <f>$O$106*$AA$106</f>
        <v>0</v>
      </c>
    </row>
    <row r="107" spans="1:33" ht="11.25" customHeight="1" x14ac:dyDescent="0.3">
      <c r="A107" s="3" t="s">
        <v>21</v>
      </c>
      <c r="B107" s="3" t="s">
        <v>34</v>
      </c>
      <c r="C107" s="3" t="s">
        <v>38</v>
      </c>
      <c r="D107" s="3" t="s">
        <v>33</v>
      </c>
      <c r="E107" s="3" t="s">
        <v>25</v>
      </c>
      <c r="F107" s="3" t="s">
        <v>54</v>
      </c>
      <c r="G107" s="3" t="s">
        <v>25</v>
      </c>
      <c r="H107" s="3" t="s">
        <v>25</v>
      </c>
      <c r="I107" s="6">
        <v>44713</v>
      </c>
      <c r="J107" s="4">
        <v>1695</v>
      </c>
      <c r="K107" s="4">
        <v>849.64356480000004</v>
      </c>
      <c r="L107" s="4">
        <v>0</v>
      </c>
      <c r="M107" s="4">
        <v>0</v>
      </c>
      <c r="N107" s="4">
        <v>0</v>
      </c>
      <c r="O107" s="4">
        <v>0</v>
      </c>
      <c r="P107" s="4">
        <v>2</v>
      </c>
      <c r="Q107" s="3" t="s">
        <v>55</v>
      </c>
      <c r="R107" s="3">
        <v>0</v>
      </c>
      <c r="S107" s="4">
        <v>5</v>
      </c>
      <c r="T107" s="4">
        <v>0</v>
      </c>
      <c r="U107" s="4">
        <v>0</v>
      </c>
      <c r="V107" s="4">
        <f>IF(ISERROR(VLOOKUP($S$107,'TAR FIN'!$A$1:$O$85,15,0)),0,VLOOKUP($S$107,'TAR FIN'!$A$1:$O$85,15,0))</f>
        <v>20.34</v>
      </c>
      <c r="W107" s="4">
        <f>IF(ISERROR(VLOOKUP($T$107,'TAR FIN'!$A$1:$O$85,15,0)),0,VLOOKUP($T$107,'TAR FIN'!$A$1:$O$85,15,0))</f>
        <v>0</v>
      </c>
      <c r="X107" s="4">
        <f>IF(ISERROR(VLOOKUP($U$107,'TAR FIN'!$A$1:$O$85,15,0)),0,VLOOKUP($U$107,'TAR FIN'!$A$1:$O$85,15,0))</f>
        <v>0</v>
      </c>
      <c r="Y107" s="4">
        <f ca="1">('TUSD BE'!$AM$10+'TUSD BF'!$AM$10+'TUSD CVA'!$AM$10)*1</f>
        <v>23.236586763614469</v>
      </c>
      <c r="Z107" s="4"/>
      <c r="AA107" s="4"/>
      <c r="AB107" s="4">
        <f>$K$107*$V$107</f>
        <v>17281.750108032</v>
      </c>
      <c r="AC107" s="4">
        <f>$M$107*$W$107</f>
        <v>0</v>
      </c>
      <c r="AD107" s="4">
        <f>$O$107*$X$107</f>
        <v>0</v>
      </c>
      <c r="AE107" s="4">
        <f ca="1">$K$107*$Y$107</f>
        <v>19742.816411621894</v>
      </c>
      <c r="AF107" s="4">
        <f>$M$107*$Z$107</f>
        <v>0</v>
      </c>
      <c r="AG107" s="4">
        <f>$O$107*$AA$107</f>
        <v>0</v>
      </c>
    </row>
    <row r="108" spans="1:33" ht="11.25" customHeight="1" x14ac:dyDescent="0.3">
      <c r="A108" s="3" t="s">
        <v>21</v>
      </c>
      <c r="B108" s="3" t="s">
        <v>34</v>
      </c>
      <c r="C108" s="3" t="s">
        <v>38</v>
      </c>
      <c r="D108" s="3" t="s">
        <v>33</v>
      </c>
      <c r="E108" s="3" t="s">
        <v>25</v>
      </c>
      <c r="F108" s="3" t="s">
        <v>54</v>
      </c>
      <c r="G108" s="3" t="s">
        <v>25</v>
      </c>
      <c r="H108" s="3" t="s">
        <v>25</v>
      </c>
      <c r="I108" s="6">
        <v>44743</v>
      </c>
      <c r="J108" s="4">
        <v>2195</v>
      </c>
      <c r="K108" s="4">
        <v>1097.4921419</v>
      </c>
      <c r="L108" s="4">
        <v>0</v>
      </c>
      <c r="M108" s="4">
        <v>0</v>
      </c>
      <c r="N108" s="4">
        <v>0</v>
      </c>
      <c r="O108" s="4">
        <v>0</v>
      </c>
      <c r="P108" s="4">
        <v>3</v>
      </c>
      <c r="Q108" s="3" t="s">
        <v>55</v>
      </c>
      <c r="R108" s="3">
        <v>0</v>
      </c>
      <c r="S108" s="4">
        <v>5</v>
      </c>
      <c r="T108" s="4">
        <v>0</v>
      </c>
      <c r="U108" s="4">
        <v>0</v>
      </c>
      <c r="V108" s="4">
        <f>IF(ISERROR(VLOOKUP($S$108,'TAR FIN'!$A$1:$O$85,15,0)),0,VLOOKUP($S$108,'TAR FIN'!$A$1:$O$85,15,0))</f>
        <v>20.34</v>
      </c>
      <c r="W108" s="4">
        <f>IF(ISERROR(VLOOKUP($T$108,'TAR FIN'!$A$1:$O$85,15,0)),0,VLOOKUP($T$108,'TAR FIN'!$A$1:$O$85,15,0))</f>
        <v>0</v>
      </c>
      <c r="X108" s="4">
        <f>IF(ISERROR(VLOOKUP($U$108,'TAR FIN'!$A$1:$O$85,15,0)),0,VLOOKUP($U$108,'TAR FIN'!$A$1:$O$85,15,0))</f>
        <v>0</v>
      </c>
      <c r="Y108" s="4">
        <f ca="1">('TUSD BE'!$AM$10+'TUSD BF'!$AM$10+'TUSD CVA'!$AM$10)*1</f>
        <v>23.236586763614469</v>
      </c>
      <c r="Z108" s="4"/>
      <c r="AA108" s="4"/>
      <c r="AB108" s="4">
        <f>$K$108*$V$108</f>
        <v>22322.990166246</v>
      </c>
      <c r="AC108" s="4">
        <f>$M$108*$W$108</f>
        <v>0</v>
      </c>
      <c r="AD108" s="4">
        <f>$O$108*$X$108</f>
        <v>0</v>
      </c>
      <c r="AE108" s="4">
        <f ca="1">$K$108*$Y$108</f>
        <v>25501.971377644433</v>
      </c>
      <c r="AF108" s="4">
        <f>$M$108*$Z$108</f>
        <v>0</v>
      </c>
      <c r="AG108" s="4">
        <f>$O$108*$AA$108</f>
        <v>0</v>
      </c>
    </row>
    <row r="109" spans="1:33" ht="11.25" customHeight="1" x14ac:dyDescent="0.3">
      <c r="A109" s="3" t="s">
        <v>53</v>
      </c>
      <c r="B109" s="3" t="s">
        <v>34</v>
      </c>
      <c r="C109" s="3" t="s">
        <v>38</v>
      </c>
      <c r="D109" s="3" t="s">
        <v>33</v>
      </c>
      <c r="E109" s="3" t="s">
        <v>25</v>
      </c>
      <c r="F109" s="3" t="s">
        <v>54</v>
      </c>
      <c r="G109" s="3" t="s">
        <v>25</v>
      </c>
      <c r="H109" s="3" t="s">
        <v>25</v>
      </c>
      <c r="I109" s="6">
        <v>44774</v>
      </c>
      <c r="J109" s="4">
        <v>2195</v>
      </c>
      <c r="K109" s="4">
        <v>1097.4921419</v>
      </c>
      <c r="L109" s="4">
        <v>0</v>
      </c>
      <c r="M109" s="4">
        <v>0</v>
      </c>
      <c r="N109" s="4">
        <v>0</v>
      </c>
      <c r="O109" s="4">
        <v>0</v>
      </c>
      <c r="P109" s="4">
        <v>3</v>
      </c>
      <c r="Q109" s="3" t="s">
        <v>55</v>
      </c>
      <c r="R109" s="3">
        <v>0</v>
      </c>
      <c r="S109" s="4">
        <v>5</v>
      </c>
      <c r="T109" s="4">
        <v>0</v>
      </c>
      <c r="U109" s="4">
        <v>0</v>
      </c>
      <c r="V109" s="4">
        <f>IF(ISERROR(VLOOKUP($S$109,'TAR FIN'!$A$1:$O$85,15,0)),0,VLOOKUP($S$109,'TAR FIN'!$A$1:$O$85,15,0))</f>
        <v>20.34</v>
      </c>
      <c r="W109" s="4">
        <f>IF(ISERROR(VLOOKUP($T$109,'TAR FIN'!$A$1:$O$85,15,0)),0,VLOOKUP($T$109,'TAR FIN'!$A$1:$O$85,15,0))</f>
        <v>0</v>
      </c>
      <c r="X109" s="4">
        <f>IF(ISERROR(VLOOKUP($U$109,'TAR FIN'!$A$1:$O$85,15,0)),0,VLOOKUP($U$109,'TAR FIN'!$A$1:$O$85,15,0))</f>
        <v>0</v>
      </c>
      <c r="Y109" s="4">
        <f ca="1">('TUSD BE'!$AM$10+'TUSD BF'!$AM$10+'TUSD CVA'!$AM$10)*1</f>
        <v>23.236586763614469</v>
      </c>
      <c r="Z109" s="4"/>
      <c r="AA109" s="4"/>
      <c r="AB109" s="4">
        <f>$K$109*$V$109</f>
        <v>22322.990166246</v>
      </c>
      <c r="AC109" s="4">
        <f>$M$109*$W$109</f>
        <v>0</v>
      </c>
      <c r="AD109" s="4">
        <f>$O$109*$X$109</f>
        <v>0</v>
      </c>
      <c r="AE109" s="4">
        <f ca="1">$K$109*$Y$109</f>
        <v>25501.971377644433</v>
      </c>
      <c r="AF109" s="4">
        <f>$M$109*$Z$109</f>
        <v>0</v>
      </c>
      <c r="AG109" s="4">
        <f>$O$109*$AA$109</f>
        <v>0</v>
      </c>
    </row>
    <row r="110" spans="1:33" ht="11.25" customHeight="1" x14ac:dyDescent="0.3">
      <c r="A110" s="3" t="s">
        <v>21</v>
      </c>
      <c r="B110" s="3" t="s">
        <v>34</v>
      </c>
      <c r="C110" s="3" t="s">
        <v>38</v>
      </c>
      <c r="D110" s="3" t="s">
        <v>33</v>
      </c>
      <c r="E110" s="3" t="s">
        <v>25</v>
      </c>
      <c r="F110" s="3" t="s">
        <v>54</v>
      </c>
      <c r="G110" s="3" t="s">
        <v>25</v>
      </c>
      <c r="H110" s="3" t="s">
        <v>36</v>
      </c>
      <c r="I110" s="6">
        <v>44440</v>
      </c>
      <c r="J110" s="4">
        <v>0</v>
      </c>
      <c r="K110" s="4">
        <v>0</v>
      </c>
      <c r="L110" s="4">
        <v>37.640999999999998</v>
      </c>
      <c r="M110" s="4">
        <v>10.969638713129999</v>
      </c>
      <c r="N110" s="4">
        <v>0</v>
      </c>
      <c r="O110" s="4">
        <v>0</v>
      </c>
      <c r="P110" s="4">
        <v>0</v>
      </c>
      <c r="Q110" s="3" t="s">
        <v>55</v>
      </c>
      <c r="R110" s="3">
        <v>0</v>
      </c>
      <c r="S110" s="4">
        <v>0</v>
      </c>
      <c r="T110" s="4">
        <v>13</v>
      </c>
      <c r="U110" s="4">
        <v>0</v>
      </c>
      <c r="V110" s="4">
        <f>IF(ISERROR(VLOOKUP($S$110,'TAR FIN'!$A$1:$O$85,15,0)),0,VLOOKUP($S$110,'TAR FIN'!$A$1:$O$85,15,0))</f>
        <v>0</v>
      </c>
      <c r="W110" s="4">
        <f>IF(ISERROR(VLOOKUP($T$110,'TAR FIN'!$A$1:$O$85,15,0)),0,VLOOKUP($T$110,'TAR FIN'!$A$1:$O$85,15,0))</f>
        <v>1624.27</v>
      </c>
      <c r="X110" s="4">
        <f>IF(ISERROR(VLOOKUP($U$110,'TAR FIN'!$A$1:$O$85,15,0)),0,VLOOKUP($U$110,'TAR FIN'!$A$1:$O$85,15,0))</f>
        <v>0</v>
      </c>
      <c r="Y110" s="4"/>
      <c r="Z110" s="4">
        <f ca="1">('TUSD BE'!$AM$11+'TUSD BF'!$AM$11+'TUSD CVA'!$AM$11)*1</f>
        <v>1640.7086985348694</v>
      </c>
      <c r="AA110" s="4"/>
      <c r="AB110" s="4">
        <f>$K$110*$V$110</f>
        <v>0</v>
      </c>
      <c r="AC110" s="4">
        <f>$M$110*$W$110</f>
        <v>17817.655072575664</v>
      </c>
      <c r="AD110" s="4">
        <f>$O$110*$X$110</f>
        <v>0</v>
      </c>
      <c r="AE110" s="4">
        <f>$K$110*$Y$110</f>
        <v>0</v>
      </c>
      <c r="AF110" s="4">
        <f ca="1">$M$110*$Z$110</f>
        <v>17997.98165641724</v>
      </c>
      <c r="AG110" s="4">
        <f>$O$110*$AA$110</f>
        <v>0</v>
      </c>
    </row>
    <row r="111" spans="1:33" ht="11.25" customHeight="1" x14ac:dyDescent="0.3">
      <c r="A111" s="3" t="s">
        <v>21</v>
      </c>
      <c r="B111" s="3" t="s">
        <v>34</v>
      </c>
      <c r="C111" s="3" t="s">
        <v>38</v>
      </c>
      <c r="D111" s="3" t="s">
        <v>33</v>
      </c>
      <c r="E111" s="3" t="s">
        <v>25</v>
      </c>
      <c r="F111" s="3" t="s">
        <v>54</v>
      </c>
      <c r="G111" s="3" t="s">
        <v>25</v>
      </c>
      <c r="H111" s="3" t="s">
        <v>36</v>
      </c>
      <c r="I111" s="6">
        <v>44470</v>
      </c>
      <c r="J111" s="4">
        <v>0</v>
      </c>
      <c r="K111" s="4">
        <v>0</v>
      </c>
      <c r="L111" s="4">
        <v>39.328000000000003</v>
      </c>
      <c r="M111" s="4">
        <v>10.8741566048</v>
      </c>
      <c r="N111" s="4">
        <v>0</v>
      </c>
      <c r="O111" s="4">
        <v>0</v>
      </c>
      <c r="P111" s="4">
        <v>0</v>
      </c>
      <c r="Q111" s="3" t="s">
        <v>55</v>
      </c>
      <c r="R111" s="3">
        <v>0</v>
      </c>
      <c r="S111" s="4">
        <v>0</v>
      </c>
      <c r="T111" s="4">
        <v>13</v>
      </c>
      <c r="U111" s="4">
        <v>0</v>
      </c>
      <c r="V111" s="4">
        <f>IF(ISERROR(VLOOKUP($S$111,'TAR FIN'!$A$1:$O$85,15,0)),0,VLOOKUP($S$111,'TAR FIN'!$A$1:$O$85,15,0))</f>
        <v>0</v>
      </c>
      <c r="W111" s="4">
        <f>IF(ISERROR(VLOOKUP($T$111,'TAR FIN'!$A$1:$O$85,15,0)),0,VLOOKUP($T$111,'TAR FIN'!$A$1:$O$85,15,0))</f>
        <v>1624.27</v>
      </c>
      <c r="X111" s="4">
        <f>IF(ISERROR(VLOOKUP($U$111,'TAR FIN'!$A$1:$O$85,15,0)),0,VLOOKUP($U$111,'TAR FIN'!$A$1:$O$85,15,0))</f>
        <v>0</v>
      </c>
      <c r="Y111" s="4"/>
      <c r="Z111" s="4">
        <f ca="1">('TUSD BE'!$AM$11+'TUSD BF'!$AM$11+'TUSD CVA'!$AM$11)*1</f>
        <v>1640.7086985348694</v>
      </c>
      <c r="AA111" s="4"/>
      <c r="AB111" s="4">
        <f>$K$111*$V$111</f>
        <v>0</v>
      </c>
      <c r="AC111" s="4">
        <f>$M$111*$W$111</f>
        <v>17662.566348478496</v>
      </c>
      <c r="AD111" s="4">
        <f>$O$111*$X$111</f>
        <v>0</v>
      </c>
      <c r="AE111" s="4">
        <f>$K$111*$Y$111</f>
        <v>0</v>
      </c>
      <c r="AF111" s="4">
        <f ca="1">$M$111*$Z$111</f>
        <v>17841.323330725761</v>
      </c>
      <c r="AG111" s="4">
        <f>$O$111*$AA$111</f>
        <v>0</v>
      </c>
    </row>
    <row r="112" spans="1:33" ht="11.25" customHeight="1" x14ac:dyDescent="0.3">
      <c r="A112" s="3" t="s">
        <v>21</v>
      </c>
      <c r="B112" s="3" t="s">
        <v>34</v>
      </c>
      <c r="C112" s="3" t="s">
        <v>38</v>
      </c>
      <c r="D112" s="3" t="s">
        <v>33</v>
      </c>
      <c r="E112" s="3" t="s">
        <v>25</v>
      </c>
      <c r="F112" s="3" t="s">
        <v>54</v>
      </c>
      <c r="G112" s="3" t="s">
        <v>25</v>
      </c>
      <c r="H112" s="3" t="s">
        <v>36</v>
      </c>
      <c r="I112" s="6">
        <v>44501</v>
      </c>
      <c r="J112" s="4">
        <v>0</v>
      </c>
      <c r="K112" s="4">
        <v>0</v>
      </c>
      <c r="L112" s="4">
        <v>44.271000000000001</v>
      </c>
      <c r="M112" s="4">
        <v>12.4289017389</v>
      </c>
      <c r="N112" s="4">
        <v>0</v>
      </c>
      <c r="O112" s="4">
        <v>0</v>
      </c>
      <c r="P112" s="4">
        <v>0</v>
      </c>
      <c r="Q112" s="3" t="s">
        <v>55</v>
      </c>
      <c r="R112" s="3">
        <v>0</v>
      </c>
      <c r="S112" s="4">
        <v>0</v>
      </c>
      <c r="T112" s="4">
        <v>13</v>
      </c>
      <c r="U112" s="4">
        <v>0</v>
      </c>
      <c r="V112" s="4">
        <f>IF(ISERROR(VLOOKUP($S$112,'TAR FIN'!$A$1:$O$85,15,0)),0,VLOOKUP($S$112,'TAR FIN'!$A$1:$O$85,15,0))</f>
        <v>0</v>
      </c>
      <c r="W112" s="4">
        <f>IF(ISERROR(VLOOKUP($T$112,'TAR FIN'!$A$1:$O$85,15,0)),0,VLOOKUP($T$112,'TAR FIN'!$A$1:$O$85,15,0))</f>
        <v>1624.27</v>
      </c>
      <c r="X112" s="4">
        <f>IF(ISERROR(VLOOKUP($U$112,'TAR FIN'!$A$1:$O$85,15,0)),0,VLOOKUP($U$112,'TAR FIN'!$A$1:$O$85,15,0))</f>
        <v>0</v>
      </c>
      <c r="Y112" s="4"/>
      <c r="Z112" s="4">
        <f ca="1">('TUSD BE'!$AM$11+'TUSD BF'!$AM$11+'TUSD CVA'!$AM$11)*1</f>
        <v>1640.7086985348694</v>
      </c>
      <c r="AA112" s="4"/>
      <c r="AB112" s="4">
        <f>$K$112*$V$112</f>
        <v>0</v>
      </c>
      <c r="AC112" s="4">
        <f>$M$112*$W$112</f>
        <v>20187.892227443102</v>
      </c>
      <c r="AD112" s="4">
        <f>$O$112*$X$112</f>
        <v>0</v>
      </c>
      <c r="AE112" s="4">
        <f>$K$112*$Y$112</f>
        <v>0</v>
      </c>
      <c r="AF112" s="4">
        <f ca="1">$M$112*$Z$112</f>
        <v>20392.207196248397</v>
      </c>
      <c r="AG112" s="4">
        <f>$O$112*$AA$112</f>
        <v>0</v>
      </c>
    </row>
    <row r="113" spans="1:33" ht="11.25" customHeight="1" x14ac:dyDescent="0.3">
      <c r="A113" s="3" t="s">
        <v>21</v>
      </c>
      <c r="B113" s="3" t="s">
        <v>34</v>
      </c>
      <c r="C113" s="3" t="s">
        <v>38</v>
      </c>
      <c r="D113" s="3" t="s">
        <v>33</v>
      </c>
      <c r="E113" s="3" t="s">
        <v>25</v>
      </c>
      <c r="F113" s="3" t="s">
        <v>54</v>
      </c>
      <c r="G113" s="3" t="s">
        <v>25</v>
      </c>
      <c r="H113" s="3" t="s">
        <v>36</v>
      </c>
      <c r="I113" s="6">
        <v>44531</v>
      </c>
      <c r="J113" s="4">
        <v>0</v>
      </c>
      <c r="K113" s="4">
        <v>0</v>
      </c>
      <c r="L113" s="4">
        <v>54.564</v>
      </c>
      <c r="M113" s="4">
        <v>16.19927242608</v>
      </c>
      <c r="N113" s="4">
        <v>0</v>
      </c>
      <c r="O113" s="4">
        <v>0</v>
      </c>
      <c r="P113" s="4">
        <v>0</v>
      </c>
      <c r="Q113" s="3" t="s">
        <v>55</v>
      </c>
      <c r="R113" s="3">
        <v>0</v>
      </c>
      <c r="S113" s="4">
        <v>0</v>
      </c>
      <c r="T113" s="4">
        <v>13</v>
      </c>
      <c r="U113" s="4">
        <v>0</v>
      </c>
      <c r="V113" s="4">
        <f>IF(ISERROR(VLOOKUP($S$113,'TAR FIN'!$A$1:$O$85,15,0)),0,VLOOKUP($S$113,'TAR FIN'!$A$1:$O$85,15,0))</f>
        <v>0</v>
      </c>
      <c r="W113" s="4">
        <f>IF(ISERROR(VLOOKUP($T$113,'TAR FIN'!$A$1:$O$85,15,0)),0,VLOOKUP($T$113,'TAR FIN'!$A$1:$O$85,15,0))</f>
        <v>1624.27</v>
      </c>
      <c r="X113" s="4">
        <f>IF(ISERROR(VLOOKUP($U$113,'TAR FIN'!$A$1:$O$85,15,0)),0,VLOOKUP($U$113,'TAR FIN'!$A$1:$O$85,15,0))</f>
        <v>0</v>
      </c>
      <c r="Y113" s="4"/>
      <c r="Z113" s="4">
        <f ca="1">('TUSD BE'!$AM$11+'TUSD BF'!$AM$11+'TUSD CVA'!$AM$11)*1</f>
        <v>1640.7086985348694</v>
      </c>
      <c r="AA113" s="4"/>
      <c r="AB113" s="4">
        <f>$K$113*$V$113</f>
        <v>0</v>
      </c>
      <c r="AC113" s="4">
        <f>$M$113*$W$113</f>
        <v>26311.992223508962</v>
      </c>
      <c r="AD113" s="4">
        <f>$O$113*$X$113</f>
        <v>0</v>
      </c>
      <c r="AE113" s="4">
        <f>$K$113*$Y$113</f>
        <v>0</v>
      </c>
      <c r="AF113" s="4">
        <f ca="1">$M$113*$Z$113</f>
        <v>26578.287179405514</v>
      </c>
      <c r="AG113" s="4">
        <f>$O$113*$AA$113</f>
        <v>0</v>
      </c>
    </row>
    <row r="114" spans="1:33" ht="11.25" customHeight="1" x14ac:dyDescent="0.3">
      <c r="A114" s="3" t="s">
        <v>21</v>
      </c>
      <c r="B114" s="3" t="s">
        <v>34</v>
      </c>
      <c r="C114" s="3" t="s">
        <v>38</v>
      </c>
      <c r="D114" s="3" t="s">
        <v>33</v>
      </c>
      <c r="E114" s="3" t="s">
        <v>25</v>
      </c>
      <c r="F114" s="3" t="s">
        <v>54</v>
      </c>
      <c r="G114" s="3" t="s">
        <v>25</v>
      </c>
      <c r="H114" s="3" t="s">
        <v>36</v>
      </c>
      <c r="I114" s="6">
        <v>44562</v>
      </c>
      <c r="J114" s="4">
        <v>0</v>
      </c>
      <c r="K114" s="4">
        <v>0</v>
      </c>
      <c r="L114" s="4">
        <v>53.856999999999999</v>
      </c>
      <c r="M114" s="4">
        <v>36.89355622742</v>
      </c>
      <c r="N114" s="4">
        <v>0</v>
      </c>
      <c r="O114" s="4">
        <v>0</v>
      </c>
      <c r="P114" s="4">
        <v>0</v>
      </c>
      <c r="Q114" s="3" t="s">
        <v>55</v>
      </c>
      <c r="R114" s="3">
        <v>0</v>
      </c>
      <c r="S114" s="4">
        <v>0</v>
      </c>
      <c r="T114" s="4">
        <v>13</v>
      </c>
      <c r="U114" s="4">
        <v>0</v>
      </c>
      <c r="V114" s="4">
        <f>IF(ISERROR(VLOOKUP($S$114,'TAR FIN'!$A$1:$O$85,15,0)),0,VLOOKUP($S$114,'TAR FIN'!$A$1:$O$85,15,0))</f>
        <v>0</v>
      </c>
      <c r="W114" s="4">
        <f>IF(ISERROR(VLOOKUP($T$114,'TAR FIN'!$A$1:$O$85,15,0)),0,VLOOKUP($T$114,'TAR FIN'!$A$1:$O$85,15,0))</f>
        <v>1624.27</v>
      </c>
      <c r="X114" s="4">
        <f>IF(ISERROR(VLOOKUP($U$114,'TAR FIN'!$A$1:$O$85,15,0)),0,VLOOKUP($U$114,'TAR FIN'!$A$1:$O$85,15,0))</f>
        <v>0</v>
      </c>
      <c r="Y114" s="4"/>
      <c r="Z114" s="4">
        <f ca="1">('TUSD BE'!$AM$11+'TUSD BF'!$AM$11+'TUSD CVA'!$AM$11)*1</f>
        <v>1640.7086985348694</v>
      </c>
      <c r="AA114" s="4"/>
      <c r="AB114" s="4">
        <f>$K$114*$V$114</f>
        <v>0</v>
      </c>
      <c r="AC114" s="4">
        <f>$M$114*$W$114</f>
        <v>59925.096573511481</v>
      </c>
      <c r="AD114" s="4">
        <f>$O$114*$X$114</f>
        <v>0</v>
      </c>
      <c r="AE114" s="4">
        <f>$K$114*$Y$114</f>
        <v>0</v>
      </c>
      <c r="AF114" s="4">
        <f ca="1">$M$114*$Z$114</f>
        <v>60531.578622213296</v>
      </c>
      <c r="AG114" s="4">
        <f>$O$114*$AA$114</f>
        <v>0</v>
      </c>
    </row>
    <row r="115" spans="1:33" ht="11.25" customHeight="1" x14ac:dyDescent="0.3">
      <c r="A115" s="3" t="s">
        <v>21</v>
      </c>
      <c r="B115" s="3" t="s">
        <v>34</v>
      </c>
      <c r="C115" s="3" t="s">
        <v>38</v>
      </c>
      <c r="D115" s="3" t="s">
        <v>33</v>
      </c>
      <c r="E115" s="3" t="s">
        <v>25</v>
      </c>
      <c r="F115" s="3" t="s">
        <v>54</v>
      </c>
      <c r="G115" s="3" t="s">
        <v>25</v>
      </c>
      <c r="H115" s="3" t="s">
        <v>36</v>
      </c>
      <c r="I115" s="6">
        <v>44593</v>
      </c>
      <c r="J115" s="4">
        <v>0</v>
      </c>
      <c r="K115" s="4">
        <v>0</v>
      </c>
      <c r="L115" s="4">
        <v>49.462000000000003</v>
      </c>
      <c r="M115" s="4">
        <v>49.462000000000003</v>
      </c>
      <c r="N115" s="4">
        <v>0</v>
      </c>
      <c r="O115" s="4">
        <v>0</v>
      </c>
      <c r="P115" s="4">
        <v>0</v>
      </c>
      <c r="Q115" s="3" t="s">
        <v>55</v>
      </c>
      <c r="R115" s="3">
        <v>0</v>
      </c>
      <c r="S115" s="4">
        <v>0</v>
      </c>
      <c r="T115" s="4">
        <v>13</v>
      </c>
      <c r="U115" s="4">
        <v>0</v>
      </c>
      <c r="V115" s="4">
        <f>IF(ISERROR(VLOOKUP($S$115,'TAR FIN'!$A$1:$O$85,15,0)),0,VLOOKUP($S$115,'TAR FIN'!$A$1:$O$85,15,0))</f>
        <v>0</v>
      </c>
      <c r="W115" s="4">
        <f>IF(ISERROR(VLOOKUP($T$115,'TAR FIN'!$A$1:$O$85,15,0)),0,VLOOKUP($T$115,'TAR FIN'!$A$1:$O$85,15,0))</f>
        <v>1624.27</v>
      </c>
      <c r="X115" s="4">
        <f>IF(ISERROR(VLOOKUP($U$115,'TAR FIN'!$A$1:$O$85,15,0)),0,VLOOKUP($U$115,'TAR FIN'!$A$1:$O$85,15,0))</f>
        <v>0</v>
      </c>
      <c r="Y115" s="4"/>
      <c r="Z115" s="4">
        <f ca="1">('TUSD BE'!$AM$11+'TUSD BF'!$AM$11+'TUSD CVA'!$AM$11)*1</f>
        <v>1640.7086985348694</v>
      </c>
      <c r="AA115" s="4"/>
      <c r="AB115" s="4">
        <f>$K$115*$V$115</f>
        <v>0</v>
      </c>
      <c r="AC115" s="4">
        <f>$M$115*$W$115</f>
        <v>80339.64274000001</v>
      </c>
      <c r="AD115" s="4">
        <f>$O$115*$X$115</f>
        <v>0</v>
      </c>
      <c r="AE115" s="4">
        <f>$K$115*$Y$115</f>
        <v>0</v>
      </c>
      <c r="AF115" s="4">
        <f ca="1">$M$115*$Z$115</f>
        <v>81152.733646931723</v>
      </c>
      <c r="AG115" s="4">
        <f>$O$115*$AA$115</f>
        <v>0</v>
      </c>
    </row>
    <row r="116" spans="1:33" ht="11.25" customHeight="1" x14ac:dyDescent="0.3">
      <c r="A116" s="3" t="s">
        <v>21</v>
      </c>
      <c r="B116" s="3" t="s">
        <v>34</v>
      </c>
      <c r="C116" s="3" t="s">
        <v>38</v>
      </c>
      <c r="D116" s="3" t="s">
        <v>33</v>
      </c>
      <c r="E116" s="3" t="s">
        <v>25</v>
      </c>
      <c r="F116" s="3" t="s">
        <v>54</v>
      </c>
      <c r="G116" s="3" t="s">
        <v>25</v>
      </c>
      <c r="H116" s="3" t="s">
        <v>36</v>
      </c>
      <c r="I116" s="6">
        <v>44621</v>
      </c>
      <c r="J116" s="4">
        <v>0</v>
      </c>
      <c r="K116" s="4">
        <v>0</v>
      </c>
      <c r="L116" s="4">
        <v>53.892000000000003</v>
      </c>
      <c r="M116" s="4">
        <v>40.514922909719999</v>
      </c>
      <c r="N116" s="4">
        <v>0</v>
      </c>
      <c r="O116" s="4">
        <v>0</v>
      </c>
      <c r="P116" s="4">
        <v>0</v>
      </c>
      <c r="Q116" s="3" t="s">
        <v>55</v>
      </c>
      <c r="R116" s="3">
        <v>0</v>
      </c>
      <c r="S116" s="4">
        <v>0</v>
      </c>
      <c r="T116" s="4">
        <v>13</v>
      </c>
      <c r="U116" s="4">
        <v>0</v>
      </c>
      <c r="V116" s="4">
        <f>IF(ISERROR(VLOOKUP($S$116,'TAR FIN'!$A$1:$O$85,15,0)),0,VLOOKUP($S$116,'TAR FIN'!$A$1:$O$85,15,0))</f>
        <v>0</v>
      </c>
      <c r="W116" s="4">
        <f>IF(ISERROR(VLOOKUP($T$116,'TAR FIN'!$A$1:$O$85,15,0)),0,VLOOKUP($T$116,'TAR FIN'!$A$1:$O$85,15,0))</f>
        <v>1624.27</v>
      </c>
      <c r="X116" s="4">
        <f>IF(ISERROR(VLOOKUP($U$116,'TAR FIN'!$A$1:$O$85,15,0)),0,VLOOKUP($U$116,'TAR FIN'!$A$1:$O$85,15,0))</f>
        <v>0</v>
      </c>
      <c r="Y116" s="4"/>
      <c r="Z116" s="4">
        <f ca="1">('TUSD BE'!$AM$11+'TUSD BF'!$AM$11+'TUSD CVA'!$AM$11)*1</f>
        <v>1640.7086985348694</v>
      </c>
      <c r="AA116" s="4"/>
      <c r="AB116" s="4">
        <f>$K$116*$V$116</f>
        <v>0</v>
      </c>
      <c r="AC116" s="4">
        <f>$M$116*$W$116</f>
        <v>65807.173834570902</v>
      </c>
      <c r="AD116" s="4">
        <f>$O$116*$X$116</f>
        <v>0</v>
      </c>
      <c r="AE116" s="4">
        <f>$K$116*$Y$116</f>
        <v>0</v>
      </c>
      <c r="AF116" s="4">
        <f ca="1">$M$116*$Z$116</f>
        <v>66473.186438447272</v>
      </c>
      <c r="AG116" s="4">
        <f>$O$116*$AA$116</f>
        <v>0</v>
      </c>
    </row>
    <row r="117" spans="1:33" ht="11.25" customHeight="1" x14ac:dyDescent="0.3">
      <c r="A117" s="3" t="s">
        <v>21</v>
      </c>
      <c r="B117" s="3" t="s">
        <v>34</v>
      </c>
      <c r="C117" s="3" t="s">
        <v>38</v>
      </c>
      <c r="D117" s="3" t="s">
        <v>33</v>
      </c>
      <c r="E117" s="3" t="s">
        <v>25</v>
      </c>
      <c r="F117" s="3" t="s">
        <v>54</v>
      </c>
      <c r="G117" s="3" t="s">
        <v>25</v>
      </c>
      <c r="H117" s="3" t="s">
        <v>36</v>
      </c>
      <c r="I117" s="6">
        <v>44652</v>
      </c>
      <c r="J117" s="4">
        <v>0</v>
      </c>
      <c r="K117" s="4">
        <v>0</v>
      </c>
      <c r="L117" s="4">
        <v>32.723999999999997</v>
      </c>
      <c r="M117" s="4">
        <v>-8.8316064601199997</v>
      </c>
      <c r="N117" s="4">
        <v>0</v>
      </c>
      <c r="O117" s="4">
        <v>0</v>
      </c>
      <c r="P117" s="4">
        <v>0</v>
      </c>
      <c r="Q117" s="3" t="s">
        <v>55</v>
      </c>
      <c r="R117" s="3">
        <v>0</v>
      </c>
      <c r="S117" s="4">
        <v>0</v>
      </c>
      <c r="T117" s="4">
        <v>13</v>
      </c>
      <c r="U117" s="4">
        <v>0</v>
      </c>
      <c r="V117" s="4">
        <f>IF(ISERROR(VLOOKUP($S$117,'TAR FIN'!$A$1:$O$85,15,0)),0,VLOOKUP($S$117,'TAR FIN'!$A$1:$O$85,15,0))</f>
        <v>0</v>
      </c>
      <c r="W117" s="4">
        <f>IF(ISERROR(VLOOKUP($T$117,'TAR FIN'!$A$1:$O$85,15,0)),0,VLOOKUP($T$117,'TAR FIN'!$A$1:$O$85,15,0))</f>
        <v>1624.27</v>
      </c>
      <c r="X117" s="4">
        <f>IF(ISERROR(VLOOKUP($U$117,'TAR FIN'!$A$1:$O$85,15,0)),0,VLOOKUP($U$117,'TAR FIN'!$A$1:$O$85,15,0))</f>
        <v>0</v>
      </c>
      <c r="Y117" s="4"/>
      <c r="Z117" s="4">
        <f ca="1">('TUSD BE'!$AM$11+'TUSD BF'!$AM$11+'TUSD CVA'!$AM$11)*1</f>
        <v>1640.7086985348694</v>
      </c>
      <c r="AA117" s="4"/>
      <c r="AB117" s="4">
        <f>$K$117*$V$117</f>
        <v>0</v>
      </c>
      <c r="AC117" s="4">
        <f>$M$117*$W$117</f>
        <v>-14344.913424979111</v>
      </c>
      <c r="AD117" s="4">
        <f>$O$117*$X$117</f>
        <v>0</v>
      </c>
      <c r="AE117" s="4">
        <f>$K$117*$Y$117</f>
        <v>0</v>
      </c>
      <c r="AF117" s="4">
        <f ca="1">$M$117*$Z$117</f>
        <v>-14490.093541155629</v>
      </c>
      <c r="AG117" s="4">
        <f>$O$117*$AA$117</f>
        <v>0</v>
      </c>
    </row>
    <row r="118" spans="1:33" ht="11.25" customHeight="1" x14ac:dyDescent="0.3">
      <c r="A118" s="3" t="s">
        <v>21</v>
      </c>
      <c r="B118" s="3" t="s">
        <v>34</v>
      </c>
      <c r="C118" s="3" t="s">
        <v>38</v>
      </c>
      <c r="D118" s="3" t="s">
        <v>33</v>
      </c>
      <c r="E118" s="3" t="s">
        <v>25</v>
      </c>
      <c r="F118" s="3" t="s">
        <v>54</v>
      </c>
      <c r="G118" s="3" t="s">
        <v>25</v>
      </c>
      <c r="H118" s="3" t="s">
        <v>36</v>
      </c>
      <c r="I118" s="6">
        <v>44682</v>
      </c>
      <c r="J118" s="4">
        <v>0</v>
      </c>
      <c r="K118" s="4">
        <v>0</v>
      </c>
      <c r="L118" s="4">
        <v>26.404</v>
      </c>
      <c r="M118" s="4">
        <v>13.89390018548</v>
      </c>
      <c r="N118" s="4">
        <v>0</v>
      </c>
      <c r="O118" s="4">
        <v>0</v>
      </c>
      <c r="P118" s="4">
        <v>0</v>
      </c>
      <c r="Q118" s="3" t="s">
        <v>55</v>
      </c>
      <c r="R118" s="3">
        <v>0</v>
      </c>
      <c r="S118" s="4">
        <v>0</v>
      </c>
      <c r="T118" s="4">
        <v>13</v>
      </c>
      <c r="U118" s="4">
        <v>0</v>
      </c>
      <c r="V118" s="4">
        <f>IF(ISERROR(VLOOKUP($S$118,'TAR FIN'!$A$1:$O$85,15,0)),0,VLOOKUP($S$118,'TAR FIN'!$A$1:$O$85,15,0))</f>
        <v>0</v>
      </c>
      <c r="W118" s="4">
        <f>IF(ISERROR(VLOOKUP($T$118,'TAR FIN'!$A$1:$O$85,15,0)),0,VLOOKUP($T$118,'TAR FIN'!$A$1:$O$85,15,0))</f>
        <v>1624.27</v>
      </c>
      <c r="X118" s="4">
        <f>IF(ISERROR(VLOOKUP($U$118,'TAR FIN'!$A$1:$O$85,15,0)),0,VLOOKUP($U$118,'TAR FIN'!$A$1:$O$85,15,0))</f>
        <v>0</v>
      </c>
      <c r="Y118" s="4"/>
      <c r="Z118" s="4">
        <f ca="1">('TUSD BE'!$AM$11+'TUSD BF'!$AM$11+'TUSD CVA'!$AM$11)*1</f>
        <v>1640.7086985348694</v>
      </c>
      <c r="AA118" s="4"/>
      <c r="AB118" s="4">
        <f>$K$118*$V$118</f>
        <v>0</v>
      </c>
      <c r="AC118" s="4">
        <f>$M$118*$W$118</f>
        <v>22567.445254269598</v>
      </c>
      <c r="AD118" s="4">
        <f>$O$118*$X$118</f>
        <v>0</v>
      </c>
      <c r="AE118" s="4">
        <f>$K$118*$Y$118</f>
        <v>0</v>
      </c>
      <c r="AF118" s="4">
        <f ca="1">$M$118*$Z$118</f>
        <v>22795.842890892272</v>
      </c>
      <c r="AG118" s="4">
        <f>$O$118*$AA$118</f>
        <v>0</v>
      </c>
    </row>
    <row r="119" spans="1:33" ht="11.25" customHeight="1" x14ac:dyDescent="0.3">
      <c r="A119" s="3" t="s">
        <v>21</v>
      </c>
      <c r="B119" s="3" t="s">
        <v>34</v>
      </c>
      <c r="C119" s="3" t="s">
        <v>38</v>
      </c>
      <c r="D119" s="3" t="s">
        <v>33</v>
      </c>
      <c r="E119" s="3" t="s">
        <v>25</v>
      </c>
      <c r="F119" s="3" t="s">
        <v>54</v>
      </c>
      <c r="G119" s="3" t="s">
        <v>25</v>
      </c>
      <c r="H119" s="3" t="s">
        <v>36</v>
      </c>
      <c r="I119" s="6">
        <v>44713</v>
      </c>
      <c r="J119" s="4">
        <v>0</v>
      </c>
      <c r="K119" s="4">
        <v>0</v>
      </c>
      <c r="L119" s="4">
        <v>23.417999999999999</v>
      </c>
      <c r="M119" s="4">
        <v>12.31977609864</v>
      </c>
      <c r="N119" s="4">
        <v>0</v>
      </c>
      <c r="O119" s="4">
        <v>0</v>
      </c>
      <c r="P119" s="4">
        <v>0</v>
      </c>
      <c r="Q119" s="3" t="s">
        <v>55</v>
      </c>
      <c r="R119" s="3">
        <v>0</v>
      </c>
      <c r="S119" s="4">
        <v>0</v>
      </c>
      <c r="T119" s="4">
        <v>13</v>
      </c>
      <c r="U119" s="4">
        <v>0</v>
      </c>
      <c r="V119" s="4">
        <f>IF(ISERROR(VLOOKUP($S$119,'TAR FIN'!$A$1:$O$85,15,0)),0,VLOOKUP($S$119,'TAR FIN'!$A$1:$O$85,15,0))</f>
        <v>0</v>
      </c>
      <c r="W119" s="4">
        <f>IF(ISERROR(VLOOKUP($T$119,'TAR FIN'!$A$1:$O$85,15,0)),0,VLOOKUP($T$119,'TAR FIN'!$A$1:$O$85,15,0))</f>
        <v>1624.27</v>
      </c>
      <c r="X119" s="4">
        <f>IF(ISERROR(VLOOKUP($U$119,'TAR FIN'!$A$1:$O$85,15,0)),0,VLOOKUP($U$119,'TAR FIN'!$A$1:$O$85,15,0))</f>
        <v>0</v>
      </c>
      <c r="Y119" s="4"/>
      <c r="Z119" s="4">
        <f ca="1">('TUSD BE'!$AM$11+'TUSD BF'!$AM$11+'TUSD CVA'!$AM$11)*1</f>
        <v>1640.7086985348694</v>
      </c>
      <c r="AA119" s="4"/>
      <c r="AB119" s="4">
        <f>$K$119*$V$119</f>
        <v>0</v>
      </c>
      <c r="AC119" s="4">
        <f>$M$119*$W$119</f>
        <v>20010.642723737994</v>
      </c>
      <c r="AD119" s="4">
        <f>$O$119*$X$119</f>
        <v>0</v>
      </c>
      <c r="AE119" s="4">
        <f>$K$119*$Y$119</f>
        <v>0</v>
      </c>
      <c r="AF119" s="4">
        <f ca="1">$M$119*$Z$119</f>
        <v>20213.163809040627</v>
      </c>
      <c r="AG119" s="4">
        <f>$O$119*$AA$119</f>
        <v>0</v>
      </c>
    </row>
    <row r="120" spans="1:33" ht="11.25" customHeight="1" x14ac:dyDescent="0.3">
      <c r="A120" s="3" t="s">
        <v>21</v>
      </c>
      <c r="B120" s="3" t="s">
        <v>34</v>
      </c>
      <c r="C120" s="3" t="s">
        <v>38</v>
      </c>
      <c r="D120" s="3" t="s">
        <v>33</v>
      </c>
      <c r="E120" s="3" t="s">
        <v>25</v>
      </c>
      <c r="F120" s="3" t="s">
        <v>54</v>
      </c>
      <c r="G120" s="3" t="s">
        <v>25</v>
      </c>
      <c r="H120" s="3" t="s">
        <v>36</v>
      </c>
      <c r="I120" s="6">
        <v>44743</v>
      </c>
      <c r="J120" s="4">
        <v>0</v>
      </c>
      <c r="K120" s="4">
        <v>0</v>
      </c>
      <c r="L120" s="4">
        <v>34.978999999999999</v>
      </c>
      <c r="M120" s="4">
        <v>18.35343897541</v>
      </c>
      <c r="N120" s="4">
        <v>0</v>
      </c>
      <c r="O120" s="4">
        <v>0</v>
      </c>
      <c r="P120" s="4">
        <v>0</v>
      </c>
      <c r="Q120" s="3" t="s">
        <v>55</v>
      </c>
      <c r="R120" s="3">
        <v>0</v>
      </c>
      <c r="S120" s="4">
        <v>0</v>
      </c>
      <c r="T120" s="4">
        <v>13</v>
      </c>
      <c r="U120" s="4">
        <v>0</v>
      </c>
      <c r="V120" s="4">
        <f>IF(ISERROR(VLOOKUP($S$120,'TAR FIN'!$A$1:$O$85,15,0)),0,VLOOKUP($S$120,'TAR FIN'!$A$1:$O$85,15,0))</f>
        <v>0</v>
      </c>
      <c r="W120" s="4">
        <f>IF(ISERROR(VLOOKUP($T$120,'TAR FIN'!$A$1:$O$85,15,0)),0,VLOOKUP($T$120,'TAR FIN'!$A$1:$O$85,15,0))</f>
        <v>1624.27</v>
      </c>
      <c r="X120" s="4">
        <f>IF(ISERROR(VLOOKUP($U$120,'TAR FIN'!$A$1:$O$85,15,0)),0,VLOOKUP($U$120,'TAR FIN'!$A$1:$O$85,15,0))</f>
        <v>0</v>
      </c>
      <c r="Y120" s="4"/>
      <c r="Z120" s="4">
        <f ca="1">('TUSD BE'!$AM$11+'TUSD BF'!$AM$11+'TUSD CVA'!$AM$11)*1</f>
        <v>1640.7086985348694</v>
      </c>
      <c r="AA120" s="4"/>
      <c r="AB120" s="4">
        <f>$K$120*$V$120</f>
        <v>0</v>
      </c>
      <c r="AC120" s="4">
        <f>$M$120*$W$120</f>
        <v>29810.940324589203</v>
      </c>
      <c r="AD120" s="4">
        <f>$O$120*$X$120</f>
        <v>0</v>
      </c>
      <c r="AE120" s="4">
        <f>$K$120*$Y$120</f>
        <v>0</v>
      </c>
      <c r="AF120" s="4">
        <f ca="1">$M$120*$Z$120</f>
        <v>30112.646974984091</v>
      </c>
      <c r="AG120" s="4">
        <f>$O$120*$AA$120</f>
        <v>0</v>
      </c>
    </row>
    <row r="121" spans="1:33" ht="11.25" customHeight="1" x14ac:dyDescent="0.3">
      <c r="A121" s="3" t="s">
        <v>53</v>
      </c>
      <c r="B121" s="3" t="s">
        <v>34</v>
      </c>
      <c r="C121" s="3" t="s">
        <v>38</v>
      </c>
      <c r="D121" s="3" t="s">
        <v>33</v>
      </c>
      <c r="E121" s="3" t="s">
        <v>25</v>
      </c>
      <c r="F121" s="3" t="s">
        <v>54</v>
      </c>
      <c r="G121" s="3" t="s">
        <v>25</v>
      </c>
      <c r="H121" s="3" t="s">
        <v>36</v>
      </c>
      <c r="I121" s="6">
        <v>44774</v>
      </c>
      <c r="J121" s="4">
        <v>0</v>
      </c>
      <c r="K121" s="4">
        <v>0</v>
      </c>
      <c r="L121" s="4">
        <v>34.978999999999999</v>
      </c>
      <c r="M121" s="4">
        <v>18.35343897541</v>
      </c>
      <c r="N121" s="4">
        <v>0</v>
      </c>
      <c r="O121" s="4">
        <v>0</v>
      </c>
      <c r="P121" s="4">
        <v>0</v>
      </c>
      <c r="Q121" s="3" t="s">
        <v>55</v>
      </c>
      <c r="R121" s="3">
        <v>0</v>
      </c>
      <c r="S121" s="4">
        <v>0</v>
      </c>
      <c r="T121" s="4">
        <v>13</v>
      </c>
      <c r="U121" s="4">
        <v>0</v>
      </c>
      <c r="V121" s="4">
        <f>IF(ISERROR(VLOOKUP($S$121,'TAR FIN'!$A$1:$O$85,15,0)),0,VLOOKUP($S$121,'TAR FIN'!$A$1:$O$85,15,0))</f>
        <v>0</v>
      </c>
      <c r="W121" s="4">
        <f>IF(ISERROR(VLOOKUP($T$121,'TAR FIN'!$A$1:$O$85,15,0)),0,VLOOKUP($T$121,'TAR FIN'!$A$1:$O$85,15,0))</f>
        <v>1624.27</v>
      </c>
      <c r="X121" s="4">
        <f>IF(ISERROR(VLOOKUP($U$121,'TAR FIN'!$A$1:$O$85,15,0)),0,VLOOKUP($U$121,'TAR FIN'!$A$1:$O$85,15,0))</f>
        <v>0</v>
      </c>
      <c r="Y121" s="4"/>
      <c r="Z121" s="4">
        <f ca="1">('TUSD BE'!$AM$11+'TUSD BF'!$AM$11+'TUSD CVA'!$AM$11)*1</f>
        <v>1640.7086985348694</v>
      </c>
      <c r="AA121" s="4"/>
      <c r="AB121" s="4">
        <f>$K$121*$V$121</f>
        <v>0</v>
      </c>
      <c r="AC121" s="4">
        <f>$M$121*$W$121</f>
        <v>29810.940324589203</v>
      </c>
      <c r="AD121" s="4">
        <f>$O$121*$X$121</f>
        <v>0</v>
      </c>
      <c r="AE121" s="4">
        <f>$K$121*$Y$121</f>
        <v>0</v>
      </c>
      <c r="AF121" s="4">
        <f ca="1">$M$121*$Z$121</f>
        <v>30112.646974984091</v>
      </c>
      <c r="AG121" s="4">
        <f>$O$121*$AA$121</f>
        <v>0</v>
      </c>
    </row>
    <row r="122" spans="1:33" ht="11.25" customHeight="1" x14ac:dyDescent="0.3">
      <c r="A122" s="3" t="s">
        <v>21</v>
      </c>
      <c r="B122" s="3" t="s">
        <v>34</v>
      </c>
      <c r="C122" s="3" t="s">
        <v>38</v>
      </c>
      <c r="D122" s="3" t="s">
        <v>33</v>
      </c>
      <c r="E122" s="3" t="s">
        <v>25</v>
      </c>
      <c r="F122" s="3" t="s">
        <v>25</v>
      </c>
      <c r="G122" s="3" t="s">
        <v>25</v>
      </c>
      <c r="H122" s="3" t="s">
        <v>37</v>
      </c>
      <c r="I122" s="6">
        <v>44440</v>
      </c>
      <c r="J122" s="4">
        <v>0</v>
      </c>
      <c r="K122" s="4">
        <v>0</v>
      </c>
      <c r="L122" s="4">
        <v>618.64200000000005</v>
      </c>
      <c r="M122" s="4">
        <v>618.64200000000005</v>
      </c>
      <c r="N122" s="4">
        <v>618.64200000000005</v>
      </c>
      <c r="O122" s="4">
        <v>618.64200000000005</v>
      </c>
      <c r="P122" s="4">
        <v>0</v>
      </c>
      <c r="Q122" s="3" t="s">
        <v>26</v>
      </c>
      <c r="R122" s="3">
        <v>0</v>
      </c>
      <c r="S122" s="4">
        <v>0</v>
      </c>
      <c r="T122" s="4">
        <v>3</v>
      </c>
      <c r="U122" s="4">
        <v>62</v>
      </c>
      <c r="V122" s="4">
        <f>IF(ISERROR(VLOOKUP($S$122,'TAR FIN'!$A$1:$O$85,15,0)),0,VLOOKUP($S$122,'TAR FIN'!$A$1:$O$85,15,0))</f>
        <v>0</v>
      </c>
      <c r="W122" s="4">
        <f>IF(ISERROR(VLOOKUP($T$122,'TAR FIN'!$A$1:$O$85,15,0)),0,VLOOKUP($T$122,'TAR FIN'!$A$1:$O$85,15,0))</f>
        <v>80.73</v>
      </c>
      <c r="X122" s="4">
        <f>IF(ISERROR(VLOOKUP($U$122,'TAR FIN'!$A$1:$O$85,15,0)),0,VLOOKUP($U$122,'TAR FIN'!$A$1:$O$85,15,0))</f>
        <v>291.85000000000002</v>
      </c>
      <c r="Y122" s="4"/>
      <c r="Z122" s="4">
        <f ca="1">('TUSD BE'!$AM$12+'TUSD BF'!$AM$12+'TUSD CVA'!$AM$12)*1</f>
        <v>111.74556842703541</v>
      </c>
      <c r="AA122" s="4">
        <f>('TE BE'!$AB$6+'TE BF'!$AB$6+'TE CVA'!$AB$6)*1</f>
        <v>213.77329191067864</v>
      </c>
      <c r="AB122" s="4">
        <f>$K$122*$V$122</f>
        <v>0</v>
      </c>
      <c r="AC122" s="4">
        <f>$M$122*$W$122</f>
        <v>49942.968660000006</v>
      </c>
      <c r="AD122" s="4">
        <f>$O$122*$X$122</f>
        <v>180550.66770000002</v>
      </c>
      <c r="AE122" s="4">
        <f>$K$122*$Y$122</f>
        <v>0</v>
      </c>
      <c r="AF122" s="4">
        <f ca="1">$M$122*$Z$122</f>
        <v>69130.501942838047</v>
      </c>
      <c r="AG122" s="4">
        <f>$O$122*$AA$122</f>
        <v>132249.13685420607</v>
      </c>
    </row>
    <row r="123" spans="1:33" ht="11.25" customHeight="1" x14ac:dyDescent="0.3">
      <c r="A123" s="3" t="s">
        <v>27</v>
      </c>
      <c r="B123" s="3" t="s">
        <v>34</v>
      </c>
      <c r="C123" s="3" t="s">
        <v>38</v>
      </c>
      <c r="D123" s="3" t="s">
        <v>33</v>
      </c>
      <c r="E123" s="3" t="s">
        <v>25</v>
      </c>
      <c r="F123" s="3" t="s">
        <v>25</v>
      </c>
      <c r="G123" s="3" t="s">
        <v>25</v>
      </c>
      <c r="H123" s="3" t="s">
        <v>37</v>
      </c>
      <c r="I123" s="6">
        <v>44440</v>
      </c>
      <c r="J123" s="4">
        <v>0</v>
      </c>
      <c r="K123" s="4">
        <v>0</v>
      </c>
      <c r="L123" s="4">
        <v>15.182</v>
      </c>
      <c r="M123" s="4">
        <v>15.182</v>
      </c>
      <c r="N123" s="4">
        <v>15.182</v>
      </c>
      <c r="O123" s="4">
        <v>15.182</v>
      </c>
      <c r="P123" s="4">
        <v>0</v>
      </c>
      <c r="Q123" s="3" t="s">
        <v>26</v>
      </c>
      <c r="R123" s="3">
        <v>0</v>
      </c>
      <c r="S123" s="4">
        <v>0</v>
      </c>
      <c r="T123" s="4">
        <v>3</v>
      </c>
      <c r="U123" s="4">
        <v>62</v>
      </c>
      <c r="V123" s="4">
        <f>IF(ISERROR(VLOOKUP($S$123,'TAR FIN'!$A$1:$O$85,15,0)),0,VLOOKUP($S$123,'TAR FIN'!$A$1:$O$85,15,0))</f>
        <v>0</v>
      </c>
      <c r="W123" s="4">
        <f>IF(ISERROR(VLOOKUP($T$123,'TAR FIN'!$A$1:$O$85,15,0)),0,VLOOKUP($T$123,'TAR FIN'!$A$1:$O$85,15,0))</f>
        <v>80.73</v>
      </c>
      <c r="X123" s="4">
        <f>IF(ISERROR(VLOOKUP($U$123,'TAR FIN'!$A$1:$O$85,15,0)),0,VLOOKUP($U$123,'TAR FIN'!$A$1:$O$85,15,0))</f>
        <v>291.85000000000002</v>
      </c>
      <c r="Y123" s="4"/>
      <c r="Z123" s="4">
        <f ca="1">('TUSD BE'!$AM$12+'TUSD BF'!$AM$12+'TUSD CVA'!$AM$12)*1</f>
        <v>111.74556842703541</v>
      </c>
      <c r="AA123" s="4">
        <f>('TE BE'!$AB$6+'TE BF'!$AB$6+'TE CVA'!$AB$6)*1</f>
        <v>213.77329191067864</v>
      </c>
      <c r="AB123" s="4">
        <f>$K$123*$V$123</f>
        <v>0</v>
      </c>
      <c r="AC123" s="4">
        <f>$M$123*$W$123</f>
        <v>1225.6428600000002</v>
      </c>
      <c r="AD123" s="4">
        <f>$O$123*$X$123</f>
        <v>4430.8667000000005</v>
      </c>
      <c r="AE123" s="4">
        <f>$K$123*$Y$123</f>
        <v>0</v>
      </c>
      <c r="AF123" s="4">
        <f ca="1">$M$123*$Z$123</f>
        <v>1696.5212198592517</v>
      </c>
      <c r="AG123" s="4">
        <f>$O$123*$AA$123</f>
        <v>3245.5061177879234</v>
      </c>
    </row>
    <row r="124" spans="1:33" ht="11.25" customHeight="1" x14ac:dyDescent="0.3">
      <c r="A124" s="3" t="s">
        <v>21</v>
      </c>
      <c r="B124" s="3" t="s">
        <v>34</v>
      </c>
      <c r="C124" s="3" t="s">
        <v>38</v>
      </c>
      <c r="D124" s="3" t="s">
        <v>33</v>
      </c>
      <c r="E124" s="3" t="s">
        <v>25</v>
      </c>
      <c r="F124" s="3" t="s">
        <v>25</v>
      </c>
      <c r="G124" s="3" t="s">
        <v>25</v>
      </c>
      <c r="H124" s="3" t="s">
        <v>37</v>
      </c>
      <c r="I124" s="6">
        <v>44470</v>
      </c>
      <c r="J124" s="4">
        <v>0</v>
      </c>
      <c r="K124" s="4">
        <v>0</v>
      </c>
      <c r="L124" s="4">
        <v>619.63499999999999</v>
      </c>
      <c r="M124" s="4">
        <v>619.63499999999999</v>
      </c>
      <c r="N124" s="4">
        <v>619.63499999999999</v>
      </c>
      <c r="O124" s="4">
        <v>619.63499999999999</v>
      </c>
      <c r="P124" s="4">
        <v>0</v>
      </c>
      <c r="Q124" s="3" t="s">
        <v>26</v>
      </c>
      <c r="R124" s="3">
        <v>0</v>
      </c>
      <c r="S124" s="4">
        <v>0</v>
      </c>
      <c r="T124" s="4">
        <v>3</v>
      </c>
      <c r="U124" s="4">
        <v>62</v>
      </c>
      <c r="V124" s="4">
        <f>IF(ISERROR(VLOOKUP($S$124,'TAR FIN'!$A$1:$O$85,15,0)),0,VLOOKUP($S$124,'TAR FIN'!$A$1:$O$85,15,0))</f>
        <v>0</v>
      </c>
      <c r="W124" s="4">
        <f>IF(ISERROR(VLOOKUP($T$124,'TAR FIN'!$A$1:$O$85,15,0)),0,VLOOKUP($T$124,'TAR FIN'!$A$1:$O$85,15,0))</f>
        <v>80.73</v>
      </c>
      <c r="X124" s="4">
        <f>IF(ISERROR(VLOOKUP($U$124,'TAR FIN'!$A$1:$O$85,15,0)),0,VLOOKUP($U$124,'TAR FIN'!$A$1:$O$85,15,0))</f>
        <v>291.85000000000002</v>
      </c>
      <c r="Y124" s="4"/>
      <c r="Z124" s="4">
        <f ca="1">('TUSD BE'!$AM$12+'TUSD BF'!$AM$12+'TUSD CVA'!$AM$12)*1</f>
        <v>111.74556842703541</v>
      </c>
      <c r="AA124" s="4">
        <f>('TE BE'!$AB$6+'TE BF'!$AB$6+'TE CVA'!$AB$6)*1</f>
        <v>213.77329191067864</v>
      </c>
      <c r="AB124" s="4">
        <f>$K$124*$V$124</f>
        <v>0</v>
      </c>
      <c r="AC124" s="4">
        <f>$M$124*$W$124</f>
        <v>50023.133549999999</v>
      </c>
      <c r="AD124" s="4">
        <f>$O$124*$X$124</f>
        <v>180840.47475000002</v>
      </c>
      <c r="AE124" s="4">
        <f>$K$124*$Y$124</f>
        <v>0</v>
      </c>
      <c r="AF124" s="4">
        <f ca="1">$M$124*$Z$124</f>
        <v>69241.465292286084</v>
      </c>
      <c r="AG124" s="4">
        <f>$O$124*$AA$124</f>
        <v>132461.41373307336</v>
      </c>
    </row>
    <row r="125" spans="1:33" ht="11.25" customHeight="1" x14ac:dyDescent="0.3">
      <c r="A125" s="3" t="s">
        <v>27</v>
      </c>
      <c r="B125" s="3" t="s">
        <v>34</v>
      </c>
      <c r="C125" s="3" t="s">
        <v>38</v>
      </c>
      <c r="D125" s="3" t="s">
        <v>33</v>
      </c>
      <c r="E125" s="3" t="s">
        <v>25</v>
      </c>
      <c r="F125" s="3" t="s">
        <v>25</v>
      </c>
      <c r="G125" s="3" t="s">
        <v>25</v>
      </c>
      <c r="H125" s="3" t="s">
        <v>37</v>
      </c>
      <c r="I125" s="6">
        <v>44470</v>
      </c>
      <c r="J125" s="4">
        <v>0</v>
      </c>
      <c r="K125" s="4">
        <v>0</v>
      </c>
      <c r="L125" s="4">
        <v>21.727</v>
      </c>
      <c r="M125" s="4">
        <v>21.727</v>
      </c>
      <c r="N125" s="4">
        <v>21.727</v>
      </c>
      <c r="O125" s="4">
        <v>21.727</v>
      </c>
      <c r="P125" s="4">
        <v>0</v>
      </c>
      <c r="Q125" s="3" t="s">
        <v>26</v>
      </c>
      <c r="R125" s="3">
        <v>0</v>
      </c>
      <c r="S125" s="4">
        <v>0</v>
      </c>
      <c r="T125" s="4">
        <v>3</v>
      </c>
      <c r="U125" s="4">
        <v>62</v>
      </c>
      <c r="V125" s="4">
        <f>IF(ISERROR(VLOOKUP($S$125,'TAR FIN'!$A$1:$O$85,15,0)),0,VLOOKUP($S$125,'TAR FIN'!$A$1:$O$85,15,0))</f>
        <v>0</v>
      </c>
      <c r="W125" s="4">
        <f>IF(ISERROR(VLOOKUP($T$125,'TAR FIN'!$A$1:$O$85,15,0)),0,VLOOKUP($T$125,'TAR FIN'!$A$1:$O$85,15,0))</f>
        <v>80.73</v>
      </c>
      <c r="X125" s="4">
        <f>IF(ISERROR(VLOOKUP($U$125,'TAR FIN'!$A$1:$O$85,15,0)),0,VLOOKUP($U$125,'TAR FIN'!$A$1:$O$85,15,0))</f>
        <v>291.85000000000002</v>
      </c>
      <c r="Y125" s="4"/>
      <c r="Z125" s="4">
        <f ca="1">('TUSD BE'!$AM$12+'TUSD BF'!$AM$12+'TUSD CVA'!$AM$12)*1</f>
        <v>111.74556842703541</v>
      </c>
      <c r="AA125" s="4">
        <f>('TE BE'!$AB$6+'TE BF'!$AB$6+'TE CVA'!$AB$6)*1</f>
        <v>213.77329191067864</v>
      </c>
      <c r="AB125" s="4">
        <f>$K$125*$V$125</f>
        <v>0</v>
      </c>
      <c r="AC125" s="4">
        <f>$M$125*$W$125</f>
        <v>1754.02071</v>
      </c>
      <c r="AD125" s="4">
        <f>$O$125*$X$125</f>
        <v>6341.0249500000009</v>
      </c>
      <c r="AE125" s="4">
        <f>$K$125*$Y$125</f>
        <v>0</v>
      </c>
      <c r="AF125" s="4">
        <f ca="1">$M$125*$Z$125</f>
        <v>2427.8959652141984</v>
      </c>
      <c r="AG125" s="4">
        <f>$O$125*$AA$125</f>
        <v>4644.6523133433147</v>
      </c>
    </row>
    <row r="126" spans="1:33" ht="11.25" customHeight="1" x14ac:dyDescent="0.3">
      <c r="A126" s="3" t="s">
        <v>21</v>
      </c>
      <c r="B126" s="3" t="s">
        <v>34</v>
      </c>
      <c r="C126" s="3" t="s">
        <v>38</v>
      </c>
      <c r="D126" s="3" t="s">
        <v>33</v>
      </c>
      <c r="E126" s="3" t="s">
        <v>25</v>
      </c>
      <c r="F126" s="3" t="s">
        <v>25</v>
      </c>
      <c r="G126" s="3" t="s">
        <v>25</v>
      </c>
      <c r="H126" s="3" t="s">
        <v>37</v>
      </c>
      <c r="I126" s="6">
        <v>44501</v>
      </c>
      <c r="J126" s="4">
        <v>0</v>
      </c>
      <c r="K126" s="4">
        <v>0</v>
      </c>
      <c r="L126" s="4">
        <v>606.48800000000006</v>
      </c>
      <c r="M126" s="4">
        <v>606.48800000000006</v>
      </c>
      <c r="N126" s="4">
        <v>606.48800000000006</v>
      </c>
      <c r="O126" s="4">
        <v>606.48800000000006</v>
      </c>
      <c r="P126" s="4">
        <v>0</v>
      </c>
      <c r="Q126" s="3" t="s">
        <v>26</v>
      </c>
      <c r="R126" s="3">
        <v>0</v>
      </c>
      <c r="S126" s="4">
        <v>0</v>
      </c>
      <c r="T126" s="4">
        <v>3</v>
      </c>
      <c r="U126" s="4">
        <v>62</v>
      </c>
      <c r="V126" s="4">
        <f>IF(ISERROR(VLOOKUP($S$126,'TAR FIN'!$A$1:$O$85,15,0)),0,VLOOKUP($S$126,'TAR FIN'!$A$1:$O$85,15,0))</f>
        <v>0</v>
      </c>
      <c r="W126" s="4">
        <f>IF(ISERROR(VLOOKUP($T$126,'TAR FIN'!$A$1:$O$85,15,0)),0,VLOOKUP($T$126,'TAR FIN'!$A$1:$O$85,15,0))</f>
        <v>80.73</v>
      </c>
      <c r="X126" s="4">
        <f>IF(ISERROR(VLOOKUP($U$126,'TAR FIN'!$A$1:$O$85,15,0)),0,VLOOKUP($U$126,'TAR FIN'!$A$1:$O$85,15,0))</f>
        <v>291.85000000000002</v>
      </c>
      <c r="Y126" s="4"/>
      <c r="Z126" s="4">
        <f ca="1">('TUSD BE'!$AM$12+'TUSD BF'!$AM$12+'TUSD CVA'!$AM$12)*1</f>
        <v>111.74556842703541</v>
      </c>
      <c r="AA126" s="4">
        <f>('TE BE'!$AB$6+'TE BF'!$AB$6+'TE CVA'!$AB$6)*1</f>
        <v>213.77329191067864</v>
      </c>
      <c r="AB126" s="4">
        <f>$K$126*$V$126</f>
        <v>0</v>
      </c>
      <c r="AC126" s="4">
        <f>$M$126*$W$126</f>
        <v>48961.776240000007</v>
      </c>
      <c r="AD126" s="4">
        <f>$O$126*$X$126</f>
        <v>177003.52280000004</v>
      </c>
      <c r="AE126" s="4">
        <f>$K$126*$Y$126</f>
        <v>0</v>
      </c>
      <c r="AF126" s="4">
        <f ca="1">$M$126*$Z$126</f>
        <v>67772.346304175851</v>
      </c>
      <c r="AG126" s="4">
        <f>$O$126*$AA$126</f>
        <v>129650.93626432368</v>
      </c>
    </row>
    <row r="127" spans="1:33" ht="11.25" customHeight="1" x14ac:dyDescent="0.3">
      <c r="A127" s="3" t="s">
        <v>27</v>
      </c>
      <c r="B127" s="3" t="s">
        <v>34</v>
      </c>
      <c r="C127" s="3" t="s">
        <v>38</v>
      </c>
      <c r="D127" s="3" t="s">
        <v>33</v>
      </c>
      <c r="E127" s="3" t="s">
        <v>25</v>
      </c>
      <c r="F127" s="3" t="s">
        <v>25</v>
      </c>
      <c r="G127" s="3" t="s">
        <v>25</v>
      </c>
      <c r="H127" s="3" t="s">
        <v>37</v>
      </c>
      <c r="I127" s="6">
        <v>44501</v>
      </c>
      <c r="J127" s="4">
        <v>0</v>
      </c>
      <c r="K127" s="4">
        <v>0</v>
      </c>
      <c r="L127" s="4">
        <v>12.654999999999999</v>
      </c>
      <c r="M127" s="4">
        <v>12.654999999999999</v>
      </c>
      <c r="N127" s="4">
        <v>12.654999999999999</v>
      </c>
      <c r="O127" s="4">
        <v>12.654999999999999</v>
      </c>
      <c r="P127" s="4">
        <v>0</v>
      </c>
      <c r="Q127" s="3" t="s">
        <v>26</v>
      </c>
      <c r="R127" s="3">
        <v>0</v>
      </c>
      <c r="S127" s="4">
        <v>0</v>
      </c>
      <c r="T127" s="4">
        <v>3</v>
      </c>
      <c r="U127" s="4">
        <v>62</v>
      </c>
      <c r="V127" s="4">
        <f>IF(ISERROR(VLOOKUP($S$127,'TAR FIN'!$A$1:$O$85,15,0)),0,VLOOKUP($S$127,'TAR FIN'!$A$1:$O$85,15,0))</f>
        <v>0</v>
      </c>
      <c r="W127" s="4">
        <f>IF(ISERROR(VLOOKUP($T$127,'TAR FIN'!$A$1:$O$85,15,0)),0,VLOOKUP($T$127,'TAR FIN'!$A$1:$O$85,15,0))</f>
        <v>80.73</v>
      </c>
      <c r="X127" s="4">
        <f>IF(ISERROR(VLOOKUP($U$127,'TAR FIN'!$A$1:$O$85,15,0)),0,VLOOKUP($U$127,'TAR FIN'!$A$1:$O$85,15,0))</f>
        <v>291.85000000000002</v>
      </c>
      <c r="Y127" s="4"/>
      <c r="Z127" s="4">
        <f ca="1">('TUSD BE'!$AM$12+'TUSD BF'!$AM$12+'TUSD CVA'!$AM$12)*1</f>
        <v>111.74556842703541</v>
      </c>
      <c r="AA127" s="4">
        <f>('TE BE'!$AB$6+'TE BF'!$AB$6+'TE CVA'!$AB$6)*1</f>
        <v>213.77329191067864</v>
      </c>
      <c r="AB127" s="4">
        <f>$K$127*$V$127</f>
        <v>0</v>
      </c>
      <c r="AC127" s="4">
        <f>$M$127*$W$127</f>
        <v>1021.63815</v>
      </c>
      <c r="AD127" s="4">
        <f>$O$127*$X$127</f>
        <v>3693.36175</v>
      </c>
      <c r="AE127" s="4">
        <f>$K$127*$Y$127</f>
        <v>0</v>
      </c>
      <c r="AF127" s="4">
        <f ca="1">$M$127*$Z$127</f>
        <v>1414.140168444133</v>
      </c>
      <c r="AG127" s="4">
        <f>$O$127*$AA$127</f>
        <v>2705.3010091296378</v>
      </c>
    </row>
    <row r="128" spans="1:33" ht="11.25" customHeight="1" x14ac:dyDescent="0.3">
      <c r="A128" s="3" t="s">
        <v>21</v>
      </c>
      <c r="B128" s="3" t="s">
        <v>34</v>
      </c>
      <c r="C128" s="3" t="s">
        <v>38</v>
      </c>
      <c r="D128" s="3" t="s">
        <v>33</v>
      </c>
      <c r="E128" s="3" t="s">
        <v>25</v>
      </c>
      <c r="F128" s="3" t="s">
        <v>25</v>
      </c>
      <c r="G128" s="3" t="s">
        <v>25</v>
      </c>
      <c r="H128" s="3" t="s">
        <v>37</v>
      </c>
      <c r="I128" s="6">
        <v>44531</v>
      </c>
      <c r="J128" s="4">
        <v>0</v>
      </c>
      <c r="K128" s="4">
        <v>0</v>
      </c>
      <c r="L128" s="4">
        <v>522.67399999999998</v>
      </c>
      <c r="M128" s="4">
        <v>522.67399999999998</v>
      </c>
      <c r="N128" s="4">
        <v>522.67399999999998</v>
      </c>
      <c r="O128" s="4">
        <v>522.67399999999998</v>
      </c>
      <c r="P128" s="4">
        <v>0</v>
      </c>
      <c r="Q128" s="3" t="s">
        <v>26</v>
      </c>
      <c r="R128" s="3">
        <v>0</v>
      </c>
      <c r="S128" s="4">
        <v>0</v>
      </c>
      <c r="T128" s="4">
        <v>3</v>
      </c>
      <c r="U128" s="4">
        <v>62</v>
      </c>
      <c r="V128" s="4">
        <f>IF(ISERROR(VLOOKUP($S$128,'TAR FIN'!$A$1:$O$85,15,0)),0,VLOOKUP($S$128,'TAR FIN'!$A$1:$O$85,15,0))</f>
        <v>0</v>
      </c>
      <c r="W128" s="4">
        <f>IF(ISERROR(VLOOKUP($T$128,'TAR FIN'!$A$1:$O$85,15,0)),0,VLOOKUP($T$128,'TAR FIN'!$A$1:$O$85,15,0))</f>
        <v>80.73</v>
      </c>
      <c r="X128" s="4">
        <f>IF(ISERROR(VLOOKUP($U$128,'TAR FIN'!$A$1:$O$85,15,0)),0,VLOOKUP($U$128,'TAR FIN'!$A$1:$O$85,15,0))</f>
        <v>291.85000000000002</v>
      </c>
      <c r="Y128" s="4"/>
      <c r="Z128" s="4">
        <f ca="1">('TUSD BE'!$AM$12+'TUSD BF'!$AM$12+'TUSD CVA'!$AM$12)*1</f>
        <v>111.74556842703541</v>
      </c>
      <c r="AA128" s="4">
        <f>('TE BE'!$AB$6+'TE BF'!$AB$6+'TE CVA'!$AB$6)*1</f>
        <v>213.77329191067864</v>
      </c>
      <c r="AB128" s="4">
        <f>$K$128*$V$128</f>
        <v>0</v>
      </c>
      <c r="AC128" s="4">
        <f>$M$128*$W$128</f>
        <v>42195.472020000001</v>
      </c>
      <c r="AD128" s="4">
        <f>$O$128*$X$128</f>
        <v>152542.4069</v>
      </c>
      <c r="AE128" s="4">
        <f>$K$128*$Y$128</f>
        <v>0</v>
      </c>
      <c r="AF128" s="4">
        <f ca="1">$M$128*$Z$128</f>
        <v>58406.503232032301</v>
      </c>
      <c r="AG128" s="4">
        <f>$O$128*$AA$128</f>
        <v>111733.74157612205</v>
      </c>
    </row>
    <row r="129" spans="1:33" ht="11.25" customHeight="1" x14ac:dyDescent="0.3">
      <c r="A129" s="3" t="s">
        <v>27</v>
      </c>
      <c r="B129" s="3" t="s">
        <v>34</v>
      </c>
      <c r="C129" s="3" t="s">
        <v>38</v>
      </c>
      <c r="D129" s="3" t="s">
        <v>33</v>
      </c>
      <c r="E129" s="3" t="s">
        <v>25</v>
      </c>
      <c r="F129" s="3" t="s">
        <v>25</v>
      </c>
      <c r="G129" s="3" t="s">
        <v>25</v>
      </c>
      <c r="H129" s="3" t="s">
        <v>37</v>
      </c>
      <c r="I129" s="6">
        <v>44531</v>
      </c>
      <c r="J129" s="4">
        <v>0</v>
      </c>
      <c r="K129" s="4">
        <v>0</v>
      </c>
      <c r="L129" s="4">
        <v>14.739000000000001</v>
      </c>
      <c r="M129" s="4">
        <v>14.739000000000001</v>
      </c>
      <c r="N129" s="4">
        <v>14.739000000000001</v>
      </c>
      <c r="O129" s="4">
        <v>14.739000000000001</v>
      </c>
      <c r="P129" s="4">
        <v>0</v>
      </c>
      <c r="Q129" s="3" t="s">
        <v>26</v>
      </c>
      <c r="R129" s="3">
        <v>0</v>
      </c>
      <c r="S129" s="4">
        <v>0</v>
      </c>
      <c r="T129" s="4">
        <v>3</v>
      </c>
      <c r="U129" s="4">
        <v>62</v>
      </c>
      <c r="V129" s="4">
        <f>IF(ISERROR(VLOOKUP($S$129,'TAR FIN'!$A$1:$O$85,15,0)),0,VLOOKUP($S$129,'TAR FIN'!$A$1:$O$85,15,0))</f>
        <v>0</v>
      </c>
      <c r="W129" s="4">
        <f>IF(ISERROR(VLOOKUP($T$129,'TAR FIN'!$A$1:$O$85,15,0)),0,VLOOKUP($T$129,'TAR FIN'!$A$1:$O$85,15,0))</f>
        <v>80.73</v>
      </c>
      <c r="X129" s="4">
        <f>IF(ISERROR(VLOOKUP($U$129,'TAR FIN'!$A$1:$O$85,15,0)),0,VLOOKUP($U$129,'TAR FIN'!$A$1:$O$85,15,0))</f>
        <v>291.85000000000002</v>
      </c>
      <c r="Y129" s="4"/>
      <c r="Z129" s="4">
        <f ca="1">('TUSD BE'!$AM$12+'TUSD BF'!$AM$12+'TUSD CVA'!$AM$12)*1</f>
        <v>111.74556842703541</v>
      </c>
      <c r="AA129" s="4">
        <f>('TE BE'!$AB$6+'TE BF'!$AB$6+'TE CVA'!$AB$6)*1</f>
        <v>213.77329191067864</v>
      </c>
      <c r="AB129" s="4">
        <f>$K$129*$V$129</f>
        <v>0</v>
      </c>
      <c r="AC129" s="4">
        <f>$M$129*$W$129</f>
        <v>1189.8794700000001</v>
      </c>
      <c r="AD129" s="4">
        <f>$O$129*$X$129</f>
        <v>4301.577150000001</v>
      </c>
      <c r="AE129" s="4">
        <f>$K$129*$Y$129</f>
        <v>0</v>
      </c>
      <c r="AF129" s="4">
        <f ca="1">$M$129*$Z$129</f>
        <v>1647.0179330460749</v>
      </c>
      <c r="AG129" s="4">
        <f>$O$129*$AA$129</f>
        <v>3150.8045494714925</v>
      </c>
    </row>
    <row r="130" spans="1:33" ht="11.25" customHeight="1" x14ac:dyDescent="0.3">
      <c r="A130" s="3" t="s">
        <v>21</v>
      </c>
      <c r="B130" s="3" t="s">
        <v>34</v>
      </c>
      <c r="C130" s="3" t="s">
        <v>38</v>
      </c>
      <c r="D130" s="3" t="s">
        <v>33</v>
      </c>
      <c r="E130" s="3" t="s">
        <v>25</v>
      </c>
      <c r="F130" s="3" t="s">
        <v>25</v>
      </c>
      <c r="G130" s="3" t="s">
        <v>25</v>
      </c>
      <c r="H130" s="3" t="s">
        <v>37</v>
      </c>
      <c r="I130" s="6">
        <v>44562</v>
      </c>
      <c r="J130" s="4">
        <v>0</v>
      </c>
      <c r="K130" s="4">
        <v>0</v>
      </c>
      <c r="L130" s="4">
        <v>626.50800000000004</v>
      </c>
      <c r="M130" s="4">
        <v>626.50800000000004</v>
      </c>
      <c r="N130" s="4">
        <v>626.50800000000004</v>
      </c>
      <c r="O130" s="4">
        <v>626.50800000000004</v>
      </c>
      <c r="P130" s="4">
        <v>0</v>
      </c>
      <c r="Q130" s="3" t="s">
        <v>26</v>
      </c>
      <c r="R130" s="3">
        <v>0</v>
      </c>
      <c r="S130" s="4">
        <v>0</v>
      </c>
      <c r="T130" s="4">
        <v>3</v>
      </c>
      <c r="U130" s="4">
        <v>62</v>
      </c>
      <c r="V130" s="4">
        <f>IF(ISERROR(VLOOKUP($S$130,'TAR FIN'!$A$1:$O$85,15,0)),0,VLOOKUP($S$130,'TAR FIN'!$A$1:$O$85,15,0))</f>
        <v>0</v>
      </c>
      <c r="W130" s="4">
        <f>IF(ISERROR(VLOOKUP($T$130,'TAR FIN'!$A$1:$O$85,15,0)),0,VLOOKUP($T$130,'TAR FIN'!$A$1:$O$85,15,0))</f>
        <v>80.73</v>
      </c>
      <c r="X130" s="4">
        <f>IF(ISERROR(VLOOKUP($U$130,'TAR FIN'!$A$1:$O$85,15,0)),0,VLOOKUP($U$130,'TAR FIN'!$A$1:$O$85,15,0))</f>
        <v>291.85000000000002</v>
      </c>
      <c r="Y130" s="4"/>
      <c r="Z130" s="4">
        <f ca="1">('TUSD BE'!$AM$12+'TUSD BF'!$AM$12+'TUSD CVA'!$AM$12)*1</f>
        <v>111.74556842703541</v>
      </c>
      <c r="AA130" s="4">
        <f>('TE BE'!$AB$6+'TE BF'!$AB$6+'TE CVA'!$AB$6)*1</f>
        <v>213.77329191067864</v>
      </c>
      <c r="AB130" s="4">
        <f>$K$130*$V$130</f>
        <v>0</v>
      </c>
      <c r="AC130" s="4">
        <f>$M$130*$W$130</f>
        <v>50577.990840000006</v>
      </c>
      <c r="AD130" s="4">
        <f>$O$130*$X$130</f>
        <v>182846.35980000003</v>
      </c>
      <c r="AE130" s="4">
        <f>$K$130*$Y$130</f>
        <v>0</v>
      </c>
      <c r="AF130" s="4">
        <f ca="1">$M$130*$Z$130</f>
        <v>70009.492584085107</v>
      </c>
      <c r="AG130" s="4">
        <f>$O$130*$AA$130</f>
        <v>133930.67756837545</v>
      </c>
    </row>
    <row r="131" spans="1:33" ht="11.25" customHeight="1" x14ac:dyDescent="0.3">
      <c r="A131" s="3" t="s">
        <v>27</v>
      </c>
      <c r="B131" s="3" t="s">
        <v>34</v>
      </c>
      <c r="C131" s="3" t="s">
        <v>38</v>
      </c>
      <c r="D131" s="3" t="s">
        <v>33</v>
      </c>
      <c r="E131" s="3" t="s">
        <v>25</v>
      </c>
      <c r="F131" s="3" t="s">
        <v>25</v>
      </c>
      <c r="G131" s="3" t="s">
        <v>25</v>
      </c>
      <c r="H131" s="3" t="s">
        <v>37</v>
      </c>
      <c r="I131" s="6">
        <v>44562</v>
      </c>
      <c r="J131" s="4">
        <v>0</v>
      </c>
      <c r="K131" s="4">
        <v>0</v>
      </c>
      <c r="L131" s="4">
        <v>17.864999999999998</v>
      </c>
      <c r="M131" s="4">
        <v>17.864999999999998</v>
      </c>
      <c r="N131" s="4">
        <v>17.864999999999998</v>
      </c>
      <c r="O131" s="4">
        <v>17.864999999999998</v>
      </c>
      <c r="P131" s="4">
        <v>0</v>
      </c>
      <c r="Q131" s="3" t="s">
        <v>26</v>
      </c>
      <c r="R131" s="3">
        <v>0</v>
      </c>
      <c r="S131" s="4">
        <v>0</v>
      </c>
      <c r="T131" s="4">
        <v>3</v>
      </c>
      <c r="U131" s="4">
        <v>62</v>
      </c>
      <c r="V131" s="4">
        <f>IF(ISERROR(VLOOKUP($S$131,'TAR FIN'!$A$1:$O$85,15,0)),0,VLOOKUP($S$131,'TAR FIN'!$A$1:$O$85,15,0))</f>
        <v>0</v>
      </c>
      <c r="W131" s="4">
        <f>IF(ISERROR(VLOOKUP($T$131,'TAR FIN'!$A$1:$O$85,15,0)),0,VLOOKUP($T$131,'TAR FIN'!$A$1:$O$85,15,0))</f>
        <v>80.73</v>
      </c>
      <c r="X131" s="4">
        <f>IF(ISERROR(VLOOKUP($U$131,'TAR FIN'!$A$1:$O$85,15,0)),0,VLOOKUP($U$131,'TAR FIN'!$A$1:$O$85,15,0))</f>
        <v>291.85000000000002</v>
      </c>
      <c r="Y131" s="4"/>
      <c r="Z131" s="4">
        <f ca="1">('TUSD BE'!$AM$12+'TUSD BF'!$AM$12+'TUSD CVA'!$AM$12)*1</f>
        <v>111.74556842703541</v>
      </c>
      <c r="AA131" s="4">
        <f>('TE BE'!$AB$6+'TE BF'!$AB$6+'TE CVA'!$AB$6)*1</f>
        <v>213.77329191067864</v>
      </c>
      <c r="AB131" s="4">
        <f>$K$131*$V$131</f>
        <v>0</v>
      </c>
      <c r="AC131" s="4">
        <f>$M$131*$W$131</f>
        <v>1442.24145</v>
      </c>
      <c r="AD131" s="4">
        <f>$O$131*$X$131</f>
        <v>5213.9002499999997</v>
      </c>
      <c r="AE131" s="4">
        <f>$K$131*$Y$131</f>
        <v>0</v>
      </c>
      <c r="AF131" s="4">
        <f ca="1">$M$131*$Z$131</f>
        <v>1996.3345799489873</v>
      </c>
      <c r="AG131" s="4">
        <f>$O$131*$AA$131</f>
        <v>3819.0598599842733</v>
      </c>
    </row>
    <row r="132" spans="1:33" ht="11.25" customHeight="1" x14ac:dyDescent="0.3">
      <c r="A132" s="3" t="s">
        <v>21</v>
      </c>
      <c r="B132" s="3" t="s">
        <v>34</v>
      </c>
      <c r="C132" s="3" t="s">
        <v>38</v>
      </c>
      <c r="D132" s="3" t="s">
        <v>33</v>
      </c>
      <c r="E132" s="3" t="s">
        <v>25</v>
      </c>
      <c r="F132" s="3" t="s">
        <v>25</v>
      </c>
      <c r="G132" s="3" t="s">
        <v>25</v>
      </c>
      <c r="H132" s="3" t="s">
        <v>37</v>
      </c>
      <c r="I132" s="6">
        <v>44593</v>
      </c>
      <c r="J132" s="4">
        <v>0</v>
      </c>
      <c r="K132" s="4">
        <v>0</v>
      </c>
      <c r="L132" s="4">
        <v>604.24400000000003</v>
      </c>
      <c r="M132" s="4">
        <v>604.24400000000003</v>
      </c>
      <c r="N132" s="4">
        <v>604.24400000000003</v>
      </c>
      <c r="O132" s="4">
        <v>604.24400000000003</v>
      </c>
      <c r="P132" s="4">
        <v>0</v>
      </c>
      <c r="Q132" s="3" t="s">
        <v>26</v>
      </c>
      <c r="R132" s="3">
        <v>0</v>
      </c>
      <c r="S132" s="4">
        <v>0</v>
      </c>
      <c r="T132" s="4">
        <v>3</v>
      </c>
      <c r="U132" s="4">
        <v>62</v>
      </c>
      <c r="V132" s="4">
        <f>IF(ISERROR(VLOOKUP($S$132,'TAR FIN'!$A$1:$O$85,15,0)),0,VLOOKUP($S$132,'TAR FIN'!$A$1:$O$85,15,0))</f>
        <v>0</v>
      </c>
      <c r="W132" s="4">
        <f>IF(ISERROR(VLOOKUP($T$132,'TAR FIN'!$A$1:$O$85,15,0)),0,VLOOKUP($T$132,'TAR FIN'!$A$1:$O$85,15,0))</f>
        <v>80.73</v>
      </c>
      <c r="X132" s="4">
        <f>IF(ISERROR(VLOOKUP($U$132,'TAR FIN'!$A$1:$O$85,15,0)),0,VLOOKUP($U$132,'TAR FIN'!$A$1:$O$85,15,0))</f>
        <v>291.85000000000002</v>
      </c>
      <c r="Y132" s="4"/>
      <c r="Z132" s="4">
        <f ca="1">('TUSD BE'!$AM$12+'TUSD BF'!$AM$12+'TUSD CVA'!$AM$12)*1</f>
        <v>111.74556842703541</v>
      </c>
      <c r="AA132" s="4">
        <f>('TE BE'!$AB$6+'TE BF'!$AB$6+'TE CVA'!$AB$6)*1</f>
        <v>213.77329191067864</v>
      </c>
      <c r="AB132" s="4">
        <f>$K$132*$V$132</f>
        <v>0</v>
      </c>
      <c r="AC132" s="4">
        <f>$M$132*$W$132</f>
        <v>48780.618120000006</v>
      </c>
      <c r="AD132" s="4">
        <f>$O$132*$X$132</f>
        <v>176348.61140000002</v>
      </c>
      <c r="AE132" s="4">
        <f>$K$132*$Y$132</f>
        <v>0</v>
      </c>
      <c r="AF132" s="4">
        <f ca="1">$M$132*$Z$132</f>
        <v>67521.589248625591</v>
      </c>
      <c r="AG132" s="4">
        <f>$O$132*$AA$132</f>
        <v>129171.22899727611</v>
      </c>
    </row>
    <row r="133" spans="1:33" ht="11.25" customHeight="1" x14ac:dyDescent="0.3">
      <c r="A133" s="3" t="s">
        <v>27</v>
      </c>
      <c r="B133" s="3" t="s">
        <v>34</v>
      </c>
      <c r="C133" s="3" t="s">
        <v>38</v>
      </c>
      <c r="D133" s="3" t="s">
        <v>33</v>
      </c>
      <c r="E133" s="3" t="s">
        <v>25</v>
      </c>
      <c r="F133" s="3" t="s">
        <v>25</v>
      </c>
      <c r="G133" s="3" t="s">
        <v>25</v>
      </c>
      <c r="H133" s="3" t="s">
        <v>37</v>
      </c>
      <c r="I133" s="6">
        <v>44593</v>
      </c>
      <c r="J133" s="4">
        <v>0</v>
      </c>
      <c r="K133" s="4">
        <v>0</v>
      </c>
      <c r="L133" s="4">
        <v>17.501999999999999</v>
      </c>
      <c r="M133" s="4">
        <v>17.501999999999999</v>
      </c>
      <c r="N133" s="4">
        <v>17.501999999999999</v>
      </c>
      <c r="O133" s="4">
        <v>17.501999999999999</v>
      </c>
      <c r="P133" s="4">
        <v>0</v>
      </c>
      <c r="Q133" s="3" t="s">
        <v>26</v>
      </c>
      <c r="R133" s="3">
        <v>0</v>
      </c>
      <c r="S133" s="4">
        <v>0</v>
      </c>
      <c r="T133" s="4">
        <v>3</v>
      </c>
      <c r="U133" s="4">
        <v>62</v>
      </c>
      <c r="V133" s="4">
        <f>IF(ISERROR(VLOOKUP($S$133,'TAR FIN'!$A$1:$O$85,15,0)),0,VLOOKUP($S$133,'TAR FIN'!$A$1:$O$85,15,0))</f>
        <v>0</v>
      </c>
      <c r="W133" s="4">
        <f>IF(ISERROR(VLOOKUP($T$133,'TAR FIN'!$A$1:$O$85,15,0)),0,VLOOKUP($T$133,'TAR FIN'!$A$1:$O$85,15,0))</f>
        <v>80.73</v>
      </c>
      <c r="X133" s="4">
        <f>IF(ISERROR(VLOOKUP($U$133,'TAR FIN'!$A$1:$O$85,15,0)),0,VLOOKUP($U$133,'TAR FIN'!$A$1:$O$85,15,0))</f>
        <v>291.85000000000002</v>
      </c>
      <c r="Y133" s="4"/>
      <c r="Z133" s="4">
        <f ca="1">('TUSD BE'!$AM$12+'TUSD BF'!$AM$12+'TUSD CVA'!$AM$12)*1</f>
        <v>111.74556842703541</v>
      </c>
      <c r="AA133" s="4">
        <f>('TE BE'!$AB$6+'TE BF'!$AB$6+'TE CVA'!$AB$6)*1</f>
        <v>213.77329191067864</v>
      </c>
      <c r="AB133" s="4">
        <f>$K$133*$V$133</f>
        <v>0</v>
      </c>
      <c r="AC133" s="4">
        <f>$M$133*$W$133</f>
        <v>1412.9364599999999</v>
      </c>
      <c r="AD133" s="4">
        <f>$O$133*$X$133</f>
        <v>5107.9587000000001</v>
      </c>
      <c r="AE133" s="4">
        <f>$K$133*$Y$133</f>
        <v>0</v>
      </c>
      <c r="AF133" s="4">
        <f ca="1">$M$133*$Z$133</f>
        <v>1955.7709386099737</v>
      </c>
      <c r="AG133" s="4">
        <f>$O$133*$AA$133</f>
        <v>3741.4601550206971</v>
      </c>
    </row>
    <row r="134" spans="1:33" ht="11.25" customHeight="1" x14ac:dyDescent="0.3">
      <c r="A134" s="3" t="s">
        <v>21</v>
      </c>
      <c r="B134" s="3" t="s">
        <v>34</v>
      </c>
      <c r="C134" s="3" t="s">
        <v>38</v>
      </c>
      <c r="D134" s="3" t="s">
        <v>33</v>
      </c>
      <c r="E134" s="3" t="s">
        <v>25</v>
      </c>
      <c r="F134" s="3" t="s">
        <v>25</v>
      </c>
      <c r="G134" s="3" t="s">
        <v>25</v>
      </c>
      <c r="H134" s="3" t="s">
        <v>37</v>
      </c>
      <c r="I134" s="6">
        <v>44621</v>
      </c>
      <c r="J134" s="4">
        <v>0</v>
      </c>
      <c r="K134" s="4">
        <v>0</v>
      </c>
      <c r="L134" s="4">
        <v>598.27599999999995</v>
      </c>
      <c r="M134" s="4">
        <v>598.27599999999995</v>
      </c>
      <c r="N134" s="4">
        <v>598.27599999999995</v>
      </c>
      <c r="O134" s="4">
        <v>598.27599999999995</v>
      </c>
      <c r="P134" s="4">
        <v>0</v>
      </c>
      <c r="Q134" s="3" t="s">
        <v>26</v>
      </c>
      <c r="R134" s="3">
        <v>0</v>
      </c>
      <c r="S134" s="4">
        <v>0</v>
      </c>
      <c r="T134" s="4">
        <v>3</v>
      </c>
      <c r="U134" s="4">
        <v>62</v>
      </c>
      <c r="V134" s="4">
        <f>IF(ISERROR(VLOOKUP($S$134,'TAR FIN'!$A$1:$O$85,15,0)),0,VLOOKUP($S$134,'TAR FIN'!$A$1:$O$85,15,0))</f>
        <v>0</v>
      </c>
      <c r="W134" s="4">
        <f>IF(ISERROR(VLOOKUP($T$134,'TAR FIN'!$A$1:$O$85,15,0)),0,VLOOKUP($T$134,'TAR FIN'!$A$1:$O$85,15,0))</f>
        <v>80.73</v>
      </c>
      <c r="X134" s="4">
        <f>IF(ISERROR(VLOOKUP($U$134,'TAR FIN'!$A$1:$O$85,15,0)),0,VLOOKUP($U$134,'TAR FIN'!$A$1:$O$85,15,0))</f>
        <v>291.85000000000002</v>
      </c>
      <c r="Y134" s="4"/>
      <c r="Z134" s="4">
        <f ca="1">('TUSD BE'!$AM$12+'TUSD BF'!$AM$12+'TUSD CVA'!$AM$12)*1</f>
        <v>111.74556842703541</v>
      </c>
      <c r="AA134" s="4">
        <f>('TE BE'!$AB$6+'TE BF'!$AB$6+'TE CVA'!$AB$6)*1</f>
        <v>213.77329191067864</v>
      </c>
      <c r="AB134" s="4">
        <f>$K$134*$V$134</f>
        <v>0</v>
      </c>
      <c r="AC134" s="4">
        <f>$M$134*$W$134</f>
        <v>48298.821479999999</v>
      </c>
      <c r="AD134" s="4">
        <f>$O$134*$X$134</f>
        <v>174606.85060000001</v>
      </c>
      <c r="AE134" s="4">
        <f>$K$134*$Y$134</f>
        <v>0</v>
      </c>
      <c r="AF134" s="4">
        <f ca="1">$M$134*$Z$134</f>
        <v>66854.691696253038</v>
      </c>
      <c r="AG134" s="4">
        <f>$O$134*$AA$134</f>
        <v>127895.42999115316</v>
      </c>
    </row>
    <row r="135" spans="1:33" ht="11.25" customHeight="1" x14ac:dyDescent="0.3">
      <c r="A135" s="3" t="s">
        <v>27</v>
      </c>
      <c r="B135" s="3" t="s">
        <v>34</v>
      </c>
      <c r="C135" s="3" t="s">
        <v>38</v>
      </c>
      <c r="D135" s="3" t="s">
        <v>33</v>
      </c>
      <c r="E135" s="3" t="s">
        <v>25</v>
      </c>
      <c r="F135" s="3" t="s">
        <v>25</v>
      </c>
      <c r="G135" s="3" t="s">
        <v>25</v>
      </c>
      <c r="H135" s="3" t="s">
        <v>37</v>
      </c>
      <c r="I135" s="6">
        <v>44621</v>
      </c>
      <c r="J135" s="4">
        <v>0</v>
      </c>
      <c r="K135" s="4">
        <v>0</v>
      </c>
      <c r="L135" s="4">
        <v>25.992000000000001</v>
      </c>
      <c r="M135" s="4">
        <v>25.992000000000001</v>
      </c>
      <c r="N135" s="4">
        <v>25.992000000000001</v>
      </c>
      <c r="O135" s="4">
        <v>25.992000000000001</v>
      </c>
      <c r="P135" s="4">
        <v>0</v>
      </c>
      <c r="Q135" s="3" t="s">
        <v>26</v>
      </c>
      <c r="R135" s="3">
        <v>0</v>
      </c>
      <c r="S135" s="4">
        <v>0</v>
      </c>
      <c r="T135" s="4">
        <v>3</v>
      </c>
      <c r="U135" s="4">
        <v>62</v>
      </c>
      <c r="V135" s="4">
        <f>IF(ISERROR(VLOOKUP($S$135,'TAR FIN'!$A$1:$O$85,15,0)),0,VLOOKUP($S$135,'TAR FIN'!$A$1:$O$85,15,0))</f>
        <v>0</v>
      </c>
      <c r="W135" s="4">
        <f>IF(ISERROR(VLOOKUP($T$135,'TAR FIN'!$A$1:$O$85,15,0)),0,VLOOKUP($T$135,'TAR FIN'!$A$1:$O$85,15,0))</f>
        <v>80.73</v>
      </c>
      <c r="X135" s="4">
        <f>IF(ISERROR(VLOOKUP($U$135,'TAR FIN'!$A$1:$O$85,15,0)),0,VLOOKUP($U$135,'TAR FIN'!$A$1:$O$85,15,0))</f>
        <v>291.85000000000002</v>
      </c>
      <c r="Y135" s="4"/>
      <c r="Z135" s="4">
        <f ca="1">('TUSD BE'!$AM$12+'TUSD BF'!$AM$12+'TUSD CVA'!$AM$12)*1</f>
        <v>111.74556842703541</v>
      </c>
      <c r="AA135" s="4">
        <f>('TE BE'!$AB$6+'TE BF'!$AB$6+'TE CVA'!$AB$6)*1</f>
        <v>213.77329191067864</v>
      </c>
      <c r="AB135" s="4">
        <f>$K$135*$V$135</f>
        <v>0</v>
      </c>
      <c r="AC135" s="4">
        <f>$M$135*$W$135</f>
        <v>2098.3341600000003</v>
      </c>
      <c r="AD135" s="4">
        <f>$O$135*$X$135</f>
        <v>7585.7652000000007</v>
      </c>
      <c r="AE135" s="4">
        <f>$K$135*$Y$135</f>
        <v>0</v>
      </c>
      <c r="AF135" s="4">
        <f ca="1">$M$135*$Z$135</f>
        <v>2904.4908145555046</v>
      </c>
      <c r="AG135" s="4">
        <f>$O$135*$AA$135</f>
        <v>5556.3954033423597</v>
      </c>
    </row>
    <row r="136" spans="1:33" ht="11.25" customHeight="1" x14ac:dyDescent="0.3">
      <c r="A136" s="3" t="s">
        <v>21</v>
      </c>
      <c r="B136" s="3" t="s">
        <v>34</v>
      </c>
      <c r="C136" s="3" t="s">
        <v>38</v>
      </c>
      <c r="D136" s="3" t="s">
        <v>33</v>
      </c>
      <c r="E136" s="3" t="s">
        <v>25</v>
      </c>
      <c r="F136" s="3" t="s">
        <v>25</v>
      </c>
      <c r="G136" s="3" t="s">
        <v>25</v>
      </c>
      <c r="H136" s="3" t="s">
        <v>37</v>
      </c>
      <c r="I136" s="6">
        <v>44652</v>
      </c>
      <c r="J136" s="4">
        <v>0</v>
      </c>
      <c r="K136" s="4">
        <v>0</v>
      </c>
      <c r="L136" s="4">
        <v>567.93200000000002</v>
      </c>
      <c r="M136" s="4">
        <v>567.93200000000002</v>
      </c>
      <c r="N136" s="4">
        <v>567.93200000000002</v>
      </c>
      <c r="O136" s="4">
        <v>567.93200000000002</v>
      </c>
      <c r="P136" s="4">
        <v>0</v>
      </c>
      <c r="Q136" s="3" t="s">
        <v>26</v>
      </c>
      <c r="R136" s="3">
        <v>0</v>
      </c>
      <c r="S136" s="4">
        <v>0</v>
      </c>
      <c r="T136" s="4">
        <v>3</v>
      </c>
      <c r="U136" s="4">
        <v>62</v>
      </c>
      <c r="V136" s="4">
        <f>IF(ISERROR(VLOOKUP($S$136,'TAR FIN'!$A$1:$O$85,15,0)),0,VLOOKUP($S$136,'TAR FIN'!$A$1:$O$85,15,0))</f>
        <v>0</v>
      </c>
      <c r="W136" s="4">
        <f>IF(ISERROR(VLOOKUP($T$136,'TAR FIN'!$A$1:$O$85,15,0)),0,VLOOKUP($T$136,'TAR FIN'!$A$1:$O$85,15,0))</f>
        <v>80.73</v>
      </c>
      <c r="X136" s="4">
        <f>IF(ISERROR(VLOOKUP($U$136,'TAR FIN'!$A$1:$O$85,15,0)),0,VLOOKUP($U$136,'TAR FIN'!$A$1:$O$85,15,0))</f>
        <v>291.85000000000002</v>
      </c>
      <c r="Y136" s="4"/>
      <c r="Z136" s="4">
        <f ca="1">('TUSD BE'!$AM$12+'TUSD BF'!$AM$12+'TUSD CVA'!$AM$12)*1</f>
        <v>111.74556842703541</v>
      </c>
      <c r="AA136" s="4">
        <f>('TE BE'!$AB$6+'TE BF'!$AB$6+'TE CVA'!$AB$6)*1</f>
        <v>213.77329191067864</v>
      </c>
      <c r="AB136" s="4">
        <f>$K$136*$V$136</f>
        <v>0</v>
      </c>
      <c r="AC136" s="4">
        <f>$M$136*$W$136</f>
        <v>45849.150360000007</v>
      </c>
      <c r="AD136" s="4">
        <f>$O$136*$X$136</f>
        <v>165750.95420000001</v>
      </c>
      <c r="AE136" s="4">
        <f>$K$136*$Y$136</f>
        <v>0</v>
      </c>
      <c r="AF136" s="4">
        <f ca="1">$M$136*$Z$136</f>
        <v>63463.884167903074</v>
      </c>
      <c r="AG136" s="4">
        <f>$O$136*$AA$136</f>
        <v>121408.69322141554</v>
      </c>
    </row>
    <row r="137" spans="1:33" ht="11.25" customHeight="1" x14ac:dyDescent="0.3">
      <c r="A137" s="3" t="s">
        <v>27</v>
      </c>
      <c r="B137" s="3" t="s">
        <v>34</v>
      </c>
      <c r="C137" s="3" t="s">
        <v>38</v>
      </c>
      <c r="D137" s="3" t="s">
        <v>33</v>
      </c>
      <c r="E137" s="3" t="s">
        <v>25</v>
      </c>
      <c r="F137" s="3" t="s">
        <v>25</v>
      </c>
      <c r="G137" s="3" t="s">
        <v>25</v>
      </c>
      <c r="H137" s="3" t="s">
        <v>37</v>
      </c>
      <c r="I137" s="6">
        <v>44652</v>
      </c>
      <c r="J137" s="4">
        <v>0</v>
      </c>
      <c r="K137" s="4">
        <v>0</v>
      </c>
      <c r="L137" s="4">
        <v>15.358000000000001</v>
      </c>
      <c r="M137" s="4">
        <v>15.358000000000001</v>
      </c>
      <c r="N137" s="4">
        <v>15.358000000000001</v>
      </c>
      <c r="O137" s="4">
        <v>15.358000000000001</v>
      </c>
      <c r="P137" s="4">
        <v>0</v>
      </c>
      <c r="Q137" s="3" t="s">
        <v>26</v>
      </c>
      <c r="R137" s="3">
        <v>0</v>
      </c>
      <c r="S137" s="4">
        <v>0</v>
      </c>
      <c r="T137" s="4">
        <v>3</v>
      </c>
      <c r="U137" s="4">
        <v>62</v>
      </c>
      <c r="V137" s="4">
        <f>IF(ISERROR(VLOOKUP($S$137,'TAR FIN'!$A$1:$O$85,15,0)),0,VLOOKUP($S$137,'TAR FIN'!$A$1:$O$85,15,0))</f>
        <v>0</v>
      </c>
      <c r="W137" s="4">
        <f>IF(ISERROR(VLOOKUP($T$137,'TAR FIN'!$A$1:$O$85,15,0)),0,VLOOKUP($T$137,'TAR FIN'!$A$1:$O$85,15,0))</f>
        <v>80.73</v>
      </c>
      <c r="X137" s="4">
        <f>IF(ISERROR(VLOOKUP($U$137,'TAR FIN'!$A$1:$O$85,15,0)),0,VLOOKUP($U$137,'TAR FIN'!$A$1:$O$85,15,0))</f>
        <v>291.85000000000002</v>
      </c>
      <c r="Y137" s="4"/>
      <c r="Z137" s="4">
        <f ca="1">('TUSD BE'!$AM$12+'TUSD BF'!$AM$12+'TUSD CVA'!$AM$12)*1</f>
        <v>111.74556842703541</v>
      </c>
      <c r="AA137" s="4">
        <f>('TE BE'!$AB$6+'TE BF'!$AB$6+'TE CVA'!$AB$6)*1</f>
        <v>213.77329191067864</v>
      </c>
      <c r="AB137" s="4">
        <f>$K$137*$V$137</f>
        <v>0</v>
      </c>
      <c r="AC137" s="4">
        <f>$M$137*$W$137</f>
        <v>1239.8513400000002</v>
      </c>
      <c r="AD137" s="4">
        <f>$O$137*$X$137</f>
        <v>4482.2323000000006</v>
      </c>
      <c r="AE137" s="4">
        <f>$K$137*$Y$137</f>
        <v>0</v>
      </c>
      <c r="AF137" s="4">
        <f ca="1">$M$137*$Z$137</f>
        <v>1716.1884399024098</v>
      </c>
      <c r="AG137" s="4">
        <f>$O$137*$AA$137</f>
        <v>3283.1302171642028</v>
      </c>
    </row>
    <row r="138" spans="1:33" ht="11.25" customHeight="1" x14ac:dyDescent="0.3">
      <c r="A138" s="3" t="s">
        <v>21</v>
      </c>
      <c r="B138" s="3" t="s">
        <v>34</v>
      </c>
      <c r="C138" s="3" t="s">
        <v>38</v>
      </c>
      <c r="D138" s="3" t="s">
        <v>33</v>
      </c>
      <c r="E138" s="3" t="s">
        <v>25</v>
      </c>
      <c r="F138" s="3" t="s">
        <v>25</v>
      </c>
      <c r="G138" s="3" t="s">
        <v>25</v>
      </c>
      <c r="H138" s="3" t="s">
        <v>37</v>
      </c>
      <c r="I138" s="6">
        <v>44682</v>
      </c>
      <c r="J138" s="4">
        <v>0</v>
      </c>
      <c r="K138" s="4">
        <v>0</v>
      </c>
      <c r="L138" s="4">
        <v>601.995</v>
      </c>
      <c r="M138" s="4">
        <v>601.995</v>
      </c>
      <c r="N138" s="4">
        <v>601.995</v>
      </c>
      <c r="O138" s="4">
        <v>601.995</v>
      </c>
      <c r="P138" s="4">
        <v>0</v>
      </c>
      <c r="Q138" s="3" t="s">
        <v>26</v>
      </c>
      <c r="R138" s="3">
        <v>0</v>
      </c>
      <c r="S138" s="4">
        <v>0</v>
      </c>
      <c r="T138" s="4">
        <v>3</v>
      </c>
      <c r="U138" s="4">
        <v>62</v>
      </c>
      <c r="V138" s="4">
        <f>IF(ISERROR(VLOOKUP($S$138,'TAR FIN'!$A$1:$O$85,15,0)),0,VLOOKUP($S$138,'TAR FIN'!$A$1:$O$85,15,0))</f>
        <v>0</v>
      </c>
      <c r="W138" s="4">
        <f>IF(ISERROR(VLOOKUP($T$138,'TAR FIN'!$A$1:$O$85,15,0)),0,VLOOKUP($T$138,'TAR FIN'!$A$1:$O$85,15,0))</f>
        <v>80.73</v>
      </c>
      <c r="X138" s="4">
        <f>IF(ISERROR(VLOOKUP($U$138,'TAR FIN'!$A$1:$O$85,15,0)),0,VLOOKUP($U$138,'TAR FIN'!$A$1:$O$85,15,0))</f>
        <v>291.85000000000002</v>
      </c>
      <c r="Y138" s="4"/>
      <c r="Z138" s="4">
        <f ca="1">('TUSD BE'!$AM$12+'TUSD BF'!$AM$12+'TUSD CVA'!$AM$12)*1</f>
        <v>111.74556842703541</v>
      </c>
      <c r="AA138" s="4">
        <f>('TE BE'!$AB$6+'TE BF'!$AB$6+'TE CVA'!$AB$6)*1</f>
        <v>213.77329191067864</v>
      </c>
      <c r="AB138" s="4">
        <f>$K$138*$V$138</f>
        <v>0</v>
      </c>
      <c r="AC138" s="4">
        <f>$M$138*$W$138</f>
        <v>48599.056350000006</v>
      </c>
      <c r="AD138" s="4">
        <f>$O$138*$X$138</f>
        <v>175692.24075000003</v>
      </c>
      <c r="AE138" s="4">
        <f>$K$138*$Y$138</f>
        <v>0</v>
      </c>
      <c r="AF138" s="4">
        <f ca="1">$M$138*$Z$138</f>
        <v>67270.273465233186</v>
      </c>
      <c r="AG138" s="4">
        <f>$O$138*$AA$138</f>
        <v>128690.45286376898</v>
      </c>
    </row>
    <row r="139" spans="1:33" ht="11.25" customHeight="1" x14ac:dyDescent="0.3">
      <c r="A139" s="3" t="s">
        <v>27</v>
      </c>
      <c r="B139" s="3" t="s">
        <v>34</v>
      </c>
      <c r="C139" s="3" t="s">
        <v>38</v>
      </c>
      <c r="D139" s="3" t="s">
        <v>33</v>
      </c>
      <c r="E139" s="3" t="s">
        <v>25</v>
      </c>
      <c r="F139" s="3" t="s">
        <v>25</v>
      </c>
      <c r="G139" s="3" t="s">
        <v>25</v>
      </c>
      <c r="H139" s="3" t="s">
        <v>37</v>
      </c>
      <c r="I139" s="6">
        <v>44682</v>
      </c>
      <c r="J139" s="4">
        <v>0</v>
      </c>
      <c r="K139" s="4">
        <v>0</v>
      </c>
      <c r="L139" s="4">
        <v>8.8520000000000003</v>
      </c>
      <c r="M139" s="4">
        <v>8.8520000000000003</v>
      </c>
      <c r="N139" s="4">
        <v>8.8520000000000003</v>
      </c>
      <c r="O139" s="4">
        <v>8.8520000000000003</v>
      </c>
      <c r="P139" s="4">
        <v>0</v>
      </c>
      <c r="Q139" s="3" t="s">
        <v>26</v>
      </c>
      <c r="R139" s="3">
        <v>0</v>
      </c>
      <c r="S139" s="4">
        <v>0</v>
      </c>
      <c r="T139" s="4">
        <v>3</v>
      </c>
      <c r="U139" s="4">
        <v>62</v>
      </c>
      <c r="V139" s="4">
        <f>IF(ISERROR(VLOOKUP($S$139,'TAR FIN'!$A$1:$O$85,15,0)),0,VLOOKUP($S$139,'TAR FIN'!$A$1:$O$85,15,0))</f>
        <v>0</v>
      </c>
      <c r="W139" s="4">
        <f>IF(ISERROR(VLOOKUP($T$139,'TAR FIN'!$A$1:$O$85,15,0)),0,VLOOKUP($T$139,'TAR FIN'!$A$1:$O$85,15,0))</f>
        <v>80.73</v>
      </c>
      <c r="X139" s="4">
        <f>IF(ISERROR(VLOOKUP($U$139,'TAR FIN'!$A$1:$O$85,15,0)),0,VLOOKUP($U$139,'TAR FIN'!$A$1:$O$85,15,0))</f>
        <v>291.85000000000002</v>
      </c>
      <c r="Y139" s="4"/>
      <c r="Z139" s="4">
        <f ca="1">('TUSD BE'!$AM$12+'TUSD BF'!$AM$12+'TUSD CVA'!$AM$12)*1</f>
        <v>111.74556842703541</v>
      </c>
      <c r="AA139" s="4">
        <f>('TE BE'!$AB$6+'TE BF'!$AB$6+'TE CVA'!$AB$6)*1</f>
        <v>213.77329191067864</v>
      </c>
      <c r="AB139" s="4">
        <f>$K$139*$V$139</f>
        <v>0</v>
      </c>
      <c r="AC139" s="4">
        <f>$M$139*$W$139</f>
        <v>714.62196000000006</v>
      </c>
      <c r="AD139" s="4">
        <f>$O$139*$X$139</f>
        <v>2583.4562000000001</v>
      </c>
      <c r="AE139" s="4">
        <f>$K$139*$Y$139</f>
        <v>0</v>
      </c>
      <c r="AF139" s="4">
        <f ca="1">$M$139*$Z$139</f>
        <v>989.17177171611752</v>
      </c>
      <c r="AG139" s="4">
        <f>$O$139*$AA$139</f>
        <v>1892.3211799933274</v>
      </c>
    </row>
    <row r="140" spans="1:33" ht="11.25" customHeight="1" x14ac:dyDescent="0.3">
      <c r="A140" s="3" t="s">
        <v>21</v>
      </c>
      <c r="B140" s="3" t="s">
        <v>34</v>
      </c>
      <c r="C140" s="3" t="s">
        <v>38</v>
      </c>
      <c r="D140" s="3" t="s">
        <v>33</v>
      </c>
      <c r="E140" s="3" t="s">
        <v>25</v>
      </c>
      <c r="F140" s="3" t="s">
        <v>25</v>
      </c>
      <c r="G140" s="3" t="s">
        <v>25</v>
      </c>
      <c r="H140" s="3" t="s">
        <v>37</v>
      </c>
      <c r="I140" s="6">
        <v>44713</v>
      </c>
      <c r="J140" s="4">
        <v>0</v>
      </c>
      <c r="K140" s="4">
        <v>0</v>
      </c>
      <c r="L140" s="4">
        <v>583.83100000000002</v>
      </c>
      <c r="M140" s="4">
        <v>583.83100000000002</v>
      </c>
      <c r="N140" s="4">
        <v>583.83100000000002</v>
      </c>
      <c r="O140" s="4">
        <v>583.83100000000002</v>
      </c>
      <c r="P140" s="4">
        <v>0</v>
      </c>
      <c r="Q140" s="3" t="s">
        <v>26</v>
      </c>
      <c r="R140" s="3">
        <v>0</v>
      </c>
      <c r="S140" s="4">
        <v>0</v>
      </c>
      <c r="T140" s="4">
        <v>3</v>
      </c>
      <c r="U140" s="4">
        <v>62</v>
      </c>
      <c r="V140" s="4">
        <f>IF(ISERROR(VLOOKUP($S$140,'TAR FIN'!$A$1:$O$85,15,0)),0,VLOOKUP($S$140,'TAR FIN'!$A$1:$O$85,15,0))</f>
        <v>0</v>
      </c>
      <c r="W140" s="4">
        <f>IF(ISERROR(VLOOKUP($T$140,'TAR FIN'!$A$1:$O$85,15,0)),0,VLOOKUP($T$140,'TAR FIN'!$A$1:$O$85,15,0))</f>
        <v>80.73</v>
      </c>
      <c r="X140" s="4">
        <f>IF(ISERROR(VLOOKUP($U$140,'TAR FIN'!$A$1:$O$85,15,0)),0,VLOOKUP($U$140,'TAR FIN'!$A$1:$O$85,15,0))</f>
        <v>291.85000000000002</v>
      </c>
      <c r="Y140" s="4"/>
      <c r="Z140" s="4">
        <f ca="1">('TUSD BE'!$AM$12+'TUSD BF'!$AM$12+'TUSD CVA'!$AM$12)*1</f>
        <v>111.74556842703541</v>
      </c>
      <c r="AA140" s="4">
        <f>('TE BE'!$AB$6+'TE BF'!$AB$6+'TE CVA'!$AB$6)*1</f>
        <v>213.77329191067864</v>
      </c>
      <c r="AB140" s="4">
        <f>$K$140*$V$140</f>
        <v>0</v>
      </c>
      <c r="AC140" s="4">
        <f>$M$140*$W$140</f>
        <v>47132.676630000002</v>
      </c>
      <c r="AD140" s="4">
        <f>$O$140*$X$140</f>
        <v>170391.07735000001</v>
      </c>
      <c r="AE140" s="4">
        <f>$K$140*$Y$140</f>
        <v>0</v>
      </c>
      <c r="AF140" s="4">
        <f ca="1">$M$140*$Z$140</f>
        <v>65240.526960324511</v>
      </c>
      <c r="AG140" s="4">
        <f>$O$140*$AA$140</f>
        <v>124807.47478950342</v>
      </c>
    </row>
    <row r="141" spans="1:33" ht="11.25" customHeight="1" x14ac:dyDescent="0.3">
      <c r="A141" s="3" t="s">
        <v>27</v>
      </c>
      <c r="B141" s="3" t="s">
        <v>34</v>
      </c>
      <c r="C141" s="3" t="s">
        <v>38</v>
      </c>
      <c r="D141" s="3" t="s">
        <v>33</v>
      </c>
      <c r="E141" s="3" t="s">
        <v>25</v>
      </c>
      <c r="F141" s="3" t="s">
        <v>25</v>
      </c>
      <c r="G141" s="3" t="s">
        <v>25</v>
      </c>
      <c r="H141" s="3" t="s">
        <v>37</v>
      </c>
      <c r="I141" s="6">
        <v>44713</v>
      </c>
      <c r="J141" s="4">
        <v>0</v>
      </c>
      <c r="K141" s="4">
        <v>0</v>
      </c>
      <c r="L141" s="4">
        <v>18.702000000000002</v>
      </c>
      <c r="M141" s="4">
        <v>18.702000000000002</v>
      </c>
      <c r="N141" s="4">
        <v>18.702000000000002</v>
      </c>
      <c r="O141" s="4">
        <v>18.702000000000002</v>
      </c>
      <c r="P141" s="4">
        <v>0</v>
      </c>
      <c r="Q141" s="3" t="s">
        <v>26</v>
      </c>
      <c r="R141" s="3">
        <v>0</v>
      </c>
      <c r="S141" s="4">
        <v>0</v>
      </c>
      <c r="T141" s="4">
        <v>3</v>
      </c>
      <c r="U141" s="4">
        <v>62</v>
      </c>
      <c r="V141" s="4">
        <f>IF(ISERROR(VLOOKUP($S$141,'TAR FIN'!$A$1:$O$85,15,0)),0,VLOOKUP($S$141,'TAR FIN'!$A$1:$O$85,15,0))</f>
        <v>0</v>
      </c>
      <c r="W141" s="4">
        <f>IF(ISERROR(VLOOKUP($T$141,'TAR FIN'!$A$1:$O$85,15,0)),0,VLOOKUP($T$141,'TAR FIN'!$A$1:$O$85,15,0))</f>
        <v>80.73</v>
      </c>
      <c r="X141" s="4">
        <f>IF(ISERROR(VLOOKUP($U$141,'TAR FIN'!$A$1:$O$85,15,0)),0,VLOOKUP($U$141,'TAR FIN'!$A$1:$O$85,15,0))</f>
        <v>291.85000000000002</v>
      </c>
      <c r="Y141" s="4"/>
      <c r="Z141" s="4">
        <f ca="1">('TUSD BE'!$AM$12+'TUSD BF'!$AM$12+'TUSD CVA'!$AM$12)*1</f>
        <v>111.74556842703541</v>
      </c>
      <c r="AA141" s="4">
        <f>('TE BE'!$AB$6+'TE BF'!$AB$6+'TE CVA'!$AB$6)*1</f>
        <v>213.77329191067864</v>
      </c>
      <c r="AB141" s="4">
        <f>$K$141*$V$141</f>
        <v>0</v>
      </c>
      <c r="AC141" s="4">
        <f>$M$141*$W$141</f>
        <v>1509.8124600000001</v>
      </c>
      <c r="AD141" s="4">
        <f>$O$141*$X$141</f>
        <v>5458.1787000000013</v>
      </c>
      <c r="AE141" s="4">
        <f>$K$141*$Y$141</f>
        <v>0</v>
      </c>
      <c r="AF141" s="4">
        <f ca="1">$M$141*$Z$141</f>
        <v>2089.8656207224162</v>
      </c>
      <c r="AG141" s="4">
        <f>$O$141*$AA$141</f>
        <v>3997.9881053135123</v>
      </c>
    </row>
    <row r="142" spans="1:33" ht="11.25" customHeight="1" x14ac:dyDescent="0.3">
      <c r="A142" s="3" t="s">
        <v>21</v>
      </c>
      <c r="B142" s="3" t="s">
        <v>34</v>
      </c>
      <c r="C142" s="3" t="s">
        <v>38</v>
      </c>
      <c r="D142" s="3" t="s">
        <v>33</v>
      </c>
      <c r="E142" s="3" t="s">
        <v>25</v>
      </c>
      <c r="F142" s="3" t="s">
        <v>25</v>
      </c>
      <c r="G142" s="3" t="s">
        <v>25</v>
      </c>
      <c r="H142" s="3" t="s">
        <v>37</v>
      </c>
      <c r="I142" s="6">
        <v>44743</v>
      </c>
      <c r="J142" s="4">
        <v>0</v>
      </c>
      <c r="K142" s="4">
        <v>0</v>
      </c>
      <c r="L142" s="4">
        <v>528.26199999999994</v>
      </c>
      <c r="M142" s="4">
        <v>528.26199999999994</v>
      </c>
      <c r="N142" s="4">
        <v>528.26199999999994</v>
      </c>
      <c r="O142" s="4">
        <v>528.26199999999994</v>
      </c>
      <c r="P142" s="4">
        <v>0</v>
      </c>
      <c r="Q142" s="3" t="s">
        <v>26</v>
      </c>
      <c r="R142" s="3">
        <v>0</v>
      </c>
      <c r="S142" s="4">
        <v>0</v>
      </c>
      <c r="T142" s="4">
        <v>3</v>
      </c>
      <c r="U142" s="4">
        <v>62</v>
      </c>
      <c r="V142" s="4">
        <f>IF(ISERROR(VLOOKUP($S$142,'TAR FIN'!$A$1:$O$85,15,0)),0,VLOOKUP($S$142,'TAR FIN'!$A$1:$O$85,15,0))</f>
        <v>0</v>
      </c>
      <c r="W142" s="4">
        <f>IF(ISERROR(VLOOKUP($T$142,'TAR FIN'!$A$1:$O$85,15,0)),0,VLOOKUP($T$142,'TAR FIN'!$A$1:$O$85,15,0))</f>
        <v>80.73</v>
      </c>
      <c r="X142" s="4">
        <f>IF(ISERROR(VLOOKUP($U$142,'TAR FIN'!$A$1:$O$85,15,0)),0,VLOOKUP($U$142,'TAR FIN'!$A$1:$O$85,15,0))</f>
        <v>291.85000000000002</v>
      </c>
      <c r="Y142" s="4"/>
      <c r="Z142" s="4">
        <f ca="1">('TUSD BE'!$AM$12+'TUSD BF'!$AM$12+'TUSD CVA'!$AM$12)*1</f>
        <v>111.74556842703541</v>
      </c>
      <c r="AA142" s="4">
        <f>('TE BE'!$AB$6+'TE BF'!$AB$6+'TE CVA'!$AB$6)*1</f>
        <v>213.77329191067864</v>
      </c>
      <c r="AB142" s="4">
        <f>$K$142*$V$142</f>
        <v>0</v>
      </c>
      <c r="AC142" s="4">
        <f>$M$142*$W$142</f>
        <v>42646.591260000001</v>
      </c>
      <c r="AD142" s="4">
        <f>$O$142*$X$142</f>
        <v>154173.2647</v>
      </c>
      <c r="AE142" s="4">
        <f>$K$142*$Y$142</f>
        <v>0</v>
      </c>
      <c r="AF142" s="4">
        <f ca="1">$M$142*$Z$142</f>
        <v>59030.937468402575</v>
      </c>
      <c r="AG142" s="4">
        <f>$O$142*$AA$142</f>
        <v>112928.30673131891</v>
      </c>
    </row>
    <row r="143" spans="1:33" ht="11.25" customHeight="1" x14ac:dyDescent="0.3">
      <c r="A143" s="3" t="s">
        <v>27</v>
      </c>
      <c r="B143" s="3" t="s">
        <v>34</v>
      </c>
      <c r="C143" s="3" t="s">
        <v>38</v>
      </c>
      <c r="D143" s="3" t="s">
        <v>33</v>
      </c>
      <c r="E143" s="3" t="s">
        <v>25</v>
      </c>
      <c r="F143" s="3" t="s">
        <v>25</v>
      </c>
      <c r="G143" s="3" t="s">
        <v>25</v>
      </c>
      <c r="H143" s="3" t="s">
        <v>37</v>
      </c>
      <c r="I143" s="6">
        <v>44743</v>
      </c>
      <c r="J143" s="4">
        <v>0</v>
      </c>
      <c r="K143" s="4">
        <v>0</v>
      </c>
      <c r="L143" s="4">
        <v>13.65</v>
      </c>
      <c r="M143" s="4">
        <v>13.65</v>
      </c>
      <c r="N143" s="4">
        <v>13.65</v>
      </c>
      <c r="O143" s="4">
        <v>13.65</v>
      </c>
      <c r="P143" s="4">
        <v>0</v>
      </c>
      <c r="Q143" s="3" t="s">
        <v>26</v>
      </c>
      <c r="R143" s="3">
        <v>0</v>
      </c>
      <c r="S143" s="4">
        <v>0</v>
      </c>
      <c r="T143" s="4">
        <v>3</v>
      </c>
      <c r="U143" s="4">
        <v>62</v>
      </c>
      <c r="V143" s="4">
        <f>IF(ISERROR(VLOOKUP($S$143,'TAR FIN'!$A$1:$O$85,15,0)),0,VLOOKUP($S$143,'TAR FIN'!$A$1:$O$85,15,0))</f>
        <v>0</v>
      </c>
      <c r="W143" s="4">
        <f>IF(ISERROR(VLOOKUP($T$143,'TAR FIN'!$A$1:$O$85,15,0)),0,VLOOKUP($T$143,'TAR FIN'!$A$1:$O$85,15,0))</f>
        <v>80.73</v>
      </c>
      <c r="X143" s="4">
        <f>IF(ISERROR(VLOOKUP($U$143,'TAR FIN'!$A$1:$O$85,15,0)),0,VLOOKUP($U$143,'TAR FIN'!$A$1:$O$85,15,0))</f>
        <v>291.85000000000002</v>
      </c>
      <c r="Y143" s="4"/>
      <c r="Z143" s="4">
        <f ca="1">('TUSD BE'!$AM$12+'TUSD BF'!$AM$12+'TUSD CVA'!$AM$12)*1</f>
        <v>111.74556842703541</v>
      </c>
      <c r="AA143" s="4">
        <f>('TE BE'!$AB$6+'TE BF'!$AB$6+'TE CVA'!$AB$6)*1</f>
        <v>213.77329191067864</v>
      </c>
      <c r="AB143" s="4">
        <f>$K$143*$V$143</f>
        <v>0</v>
      </c>
      <c r="AC143" s="4">
        <f>$M$143*$W$143</f>
        <v>1101.9645</v>
      </c>
      <c r="AD143" s="4">
        <f>$O$143*$X$143</f>
        <v>3983.7525000000005</v>
      </c>
      <c r="AE143" s="4">
        <f>$K$143*$Y$143</f>
        <v>0</v>
      </c>
      <c r="AF143" s="4">
        <f ca="1">$M$143*$Z$143</f>
        <v>1525.3270090290334</v>
      </c>
      <c r="AG143" s="4">
        <f>$O$143*$AA$143</f>
        <v>2918.0054345807634</v>
      </c>
    </row>
    <row r="144" spans="1:33" ht="11.25" customHeight="1" x14ac:dyDescent="0.3">
      <c r="A144" s="3" t="s">
        <v>53</v>
      </c>
      <c r="B144" s="3" t="s">
        <v>34</v>
      </c>
      <c r="C144" s="3" t="s">
        <v>38</v>
      </c>
      <c r="D144" s="3" t="s">
        <v>33</v>
      </c>
      <c r="E144" s="3" t="s">
        <v>25</v>
      </c>
      <c r="F144" s="3" t="s">
        <v>25</v>
      </c>
      <c r="G144" s="3" t="s">
        <v>25</v>
      </c>
      <c r="H144" s="3" t="s">
        <v>37</v>
      </c>
      <c r="I144" s="6">
        <v>44774</v>
      </c>
      <c r="J144" s="4">
        <v>0</v>
      </c>
      <c r="K144" s="4">
        <v>0</v>
      </c>
      <c r="L144" s="4">
        <v>528.26199999999994</v>
      </c>
      <c r="M144" s="4">
        <v>528.26199999999994</v>
      </c>
      <c r="N144" s="4">
        <v>528.26199999999994</v>
      </c>
      <c r="O144" s="4">
        <v>528.26199999999994</v>
      </c>
      <c r="P144" s="4">
        <v>0</v>
      </c>
      <c r="Q144" s="3" t="s">
        <v>26</v>
      </c>
      <c r="R144" s="3">
        <v>0</v>
      </c>
      <c r="S144" s="4">
        <v>0</v>
      </c>
      <c r="T144" s="4">
        <v>3</v>
      </c>
      <c r="U144" s="4">
        <v>62</v>
      </c>
      <c r="V144" s="4">
        <f>IF(ISERROR(VLOOKUP($S$144,'TAR FIN'!$A$1:$O$85,15,0)),0,VLOOKUP($S$144,'TAR FIN'!$A$1:$O$85,15,0))</f>
        <v>0</v>
      </c>
      <c r="W144" s="4">
        <f>IF(ISERROR(VLOOKUP($T$144,'TAR FIN'!$A$1:$O$85,15,0)),0,VLOOKUP($T$144,'TAR FIN'!$A$1:$O$85,15,0))</f>
        <v>80.73</v>
      </c>
      <c r="X144" s="4">
        <f>IF(ISERROR(VLOOKUP($U$144,'TAR FIN'!$A$1:$O$85,15,0)),0,VLOOKUP($U$144,'TAR FIN'!$A$1:$O$85,15,0))</f>
        <v>291.85000000000002</v>
      </c>
      <c r="Y144" s="4"/>
      <c r="Z144" s="4">
        <f ca="1">('TUSD BE'!$AM$12+'TUSD BF'!$AM$12+'TUSD CVA'!$AM$12)*1</f>
        <v>111.74556842703541</v>
      </c>
      <c r="AA144" s="4">
        <f>('TE BE'!$AB$6+'TE BF'!$AB$6+'TE CVA'!$AB$6)*1</f>
        <v>213.77329191067864</v>
      </c>
      <c r="AB144" s="4">
        <f>$K$144*$V$144</f>
        <v>0</v>
      </c>
      <c r="AC144" s="4">
        <f>$M$144*$W$144</f>
        <v>42646.591260000001</v>
      </c>
      <c r="AD144" s="4">
        <f>$O$144*$X$144</f>
        <v>154173.2647</v>
      </c>
      <c r="AE144" s="4">
        <f>$K$144*$Y$144</f>
        <v>0</v>
      </c>
      <c r="AF144" s="4">
        <f ca="1">$M$144*$Z$144</f>
        <v>59030.937468402575</v>
      </c>
      <c r="AG144" s="4">
        <f>$O$144*$AA$144</f>
        <v>112928.30673131891</v>
      </c>
    </row>
    <row r="145" spans="1:33" ht="11.25" customHeight="1" x14ac:dyDescent="0.3">
      <c r="A145" s="3" t="s">
        <v>53</v>
      </c>
      <c r="B145" s="3" t="s">
        <v>34</v>
      </c>
      <c r="C145" s="3" t="s">
        <v>38</v>
      </c>
      <c r="D145" s="3" t="s">
        <v>33</v>
      </c>
      <c r="E145" s="3" t="s">
        <v>25</v>
      </c>
      <c r="F145" s="3" t="s">
        <v>25</v>
      </c>
      <c r="G145" s="3" t="s">
        <v>25</v>
      </c>
      <c r="H145" s="3" t="s">
        <v>37</v>
      </c>
      <c r="I145" s="6">
        <v>44774</v>
      </c>
      <c r="J145" s="4">
        <v>0</v>
      </c>
      <c r="K145" s="4">
        <v>0</v>
      </c>
      <c r="L145" s="4">
        <v>13.65</v>
      </c>
      <c r="M145" s="4">
        <v>13.65</v>
      </c>
      <c r="N145" s="4">
        <v>13.65</v>
      </c>
      <c r="O145" s="4">
        <v>13.65</v>
      </c>
      <c r="P145" s="4">
        <v>0</v>
      </c>
      <c r="Q145" s="3" t="s">
        <v>26</v>
      </c>
      <c r="R145" s="3">
        <v>0</v>
      </c>
      <c r="S145" s="4">
        <v>0</v>
      </c>
      <c r="T145" s="4">
        <v>3</v>
      </c>
      <c r="U145" s="4">
        <v>62</v>
      </c>
      <c r="V145" s="4">
        <f>IF(ISERROR(VLOOKUP($S$145,'TAR FIN'!$A$1:$O$85,15,0)),0,VLOOKUP($S$145,'TAR FIN'!$A$1:$O$85,15,0))</f>
        <v>0</v>
      </c>
      <c r="W145" s="4">
        <f>IF(ISERROR(VLOOKUP($T$145,'TAR FIN'!$A$1:$O$85,15,0)),0,VLOOKUP($T$145,'TAR FIN'!$A$1:$O$85,15,0))</f>
        <v>80.73</v>
      </c>
      <c r="X145" s="4">
        <f>IF(ISERROR(VLOOKUP($U$145,'TAR FIN'!$A$1:$O$85,15,0)),0,VLOOKUP($U$145,'TAR FIN'!$A$1:$O$85,15,0))</f>
        <v>291.85000000000002</v>
      </c>
      <c r="Y145" s="4"/>
      <c r="Z145" s="4">
        <f ca="1">('TUSD BE'!$AM$12+'TUSD BF'!$AM$12+'TUSD CVA'!$AM$12)*1</f>
        <v>111.74556842703541</v>
      </c>
      <c r="AA145" s="4">
        <f>('TE BE'!$AB$6+'TE BF'!$AB$6+'TE CVA'!$AB$6)*1</f>
        <v>213.77329191067864</v>
      </c>
      <c r="AB145" s="4">
        <f>$K$145*$V$145</f>
        <v>0</v>
      </c>
      <c r="AC145" s="4">
        <f>$M$145*$W$145</f>
        <v>1101.9645</v>
      </c>
      <c r="AD145" s="4">
        <f>$O$145*$X$145</f>
        <v>3983.7525000000005</v>
      </c>
      <c r="AE145" s="4">
        <f>$K$145*$Y$145</f>
        <v>0</v>
      </c>
      <c r="AF145" s="4">
        <f ca="1">$M$145*$Z$145</f>
        <v>1525.3270090290334</v>
      </c>
      <c r="AG145" s="4">
        <f>$O$145*$AA$145</f>
        <v>2918.0054345807634</v>
      </c>
    </row>
    <row r="146" spans="1:33" ht="11.25" customHeight="1" x14ac:dyDescent="0.3">
      <c r="A146" s="3" t="s">
        <v>21</v>
      </c>
      <c r="B146" s="3" t="s">
        <v>34</v>
      </c>
      <c r="C146" s="3" t="s">
        <v>38</v>
      </c>
      <c r="D146" s="3" t="s">
        <v>33</v>
      </c>
      <c r="E146" s="3" t="s">
        <v>25</v>
      </c>
      <c r="F146" s="3" t="s">
        <v>25</v>
      </c>
      <c r="G146" s="3" t="s">
        <v>25</v>
      </c>
      <c r="H146" s="3" t="s">
        <v>25</v>
      </c>
      <c r="I146" s="6">
        <v>44440</v>
      </c>
      <c r="J146" s="4">
        <v>3111</v>
      </c>
      <c r="K146" s="4">
        <v>3111</v>
      </c>
      <c r="L146" s="4">
        <v>0</v>
      </c>
      <c r="M146" s="4">
        <v>0</v>
      </c>
      <c r="N146" s="4">
        <v>0</v>
      </c>
      <c r="O146" s="4">
        <v>0</v>
      </c>
      <c r="P146" s="4">
        <v>22</v>
      </c>
      <c r="Q146" s="3" t="s">
        <v>26</v>
      </c>
      <c r="R146" s="3">
        <v>0</v>
      </c>
      <c r="S146" s="4">
        <v>5</v>
      </c>
      <c r="T146" s="4">
        <v>0</v>
      </c>
      <c r="U146" s="4">
        <v>0</v>
      </c>
      <c r="V146" s="4">
        <f>IF(ISERROR(VLOOKUP($S$146,'TAR FIN'!$A$1:$O$85,15,0)),0,VLOOKUP($S$146,'TAR FIN'!$A$1:$O$85,15,0))</f>
        <v>20.34</v>
      </c>
      <c r="W146" s="4">
        <f>IF(ISERROR(VLOOKUP($T$146,'TAR FIN'!$A$1:$O$85,15,0)),0,VLOOKUP($T$146,'TAR FIN'!$A$1:$O$85,15,0))</f>
        <v>0</v>
      </c>
      <c r="X146" s="4">
        <f>IF(ISERROR(VLOOKUP($U$146,'TAR FIN'!$A$1:$O$85,15,0)),0,VLOOKUP($U$146,'TAR FIN'!$A$1:$O$85,15,0))</f>
        <v>0</v>
      </c>
      <c r="Y146" s="4">
        <f ca="1">('TUSD BE'!$AM$10+'TUSD BF'!$AM$10+'TUSD CVA'!$AM$10)*1</f>
        <v>23.236586763614469</v>
      </c>
      <c r="Z146" s="4"/>
      <c r="AA146" s="4"/>
      <c r="AB146" s="4">
        <f>$K$146*$V$146</f>
        <v>63277.74</v>
      </c>
      <c r="AC146" s="4">
        <f>$M$146*$W$146</f>
        <v>0</v>
      </c>
      <c r="AD146" s="4">
        <f>$O$146*$X$146</f>
        <v>0</v>
      </c>
      <c r="AE146" s="4">
        <f ca="1">$K$146*$Y$146</f>
        <v>72289.021421604615</v>
      </c>
      <c r="AF146" s="4">
        <f>$M$146*$Z$146</f>
        <v>0</v>
      </c>
      <c r="AG146" s="4">
        <f>$O$146*$AA$146</f>
        <v>0</v>
      </c>
    </row>
    <row r="147" spans="1:33" ht="11.25" customHeight="1" x14ac:dyDescent="0.3">
      <c r="A147" s="3" t="s">
        <v>27</v>
      </c>
      <c r="B147" s="3" t="s">
        <v>34</v>
      </c>
      <c r="C147" s="3" t="s">
        <v>38</v>
      </c>
      <c r="D147" s="3" t="s">
        <v>33</v>
      </c>
      <c r="E147" s="3" t="s">
        <v>25</v>
      </c>
      <c r="F147" s="3" t="s">
        <v>25</v>
      </c>
      <c r="G147" s="3" t="s">
        <v>25</v>
      </c>
      <c r="H147" s="3" t="s">
        <v>25</v>
      </c>
      <c r="I147" s="6">
        <v>44440</v>
      </c>
      <c r="J147" s="4">
        <v>222</v>
      </c>
      <c r="K147" s="4">
        <v>222</v>
      </c>
      <c r="L147" s="4">
        <v>0</v>
      </c>
      <c r="M147" s="4">
        <v>0</v>
      </c>
      <c r="N147" s="4">
        <v>0</v>
      </c>
      <c r="O147" s="4">
        <v>0</v>
      </c>
      <c r="P147" s="4">
        <v>2</v>
      </c>
      <c r="Q147" s="3" t="s">
        <v>26</v>
      </c>
      <c r="R147" s="3">
        <v>0</v>
      </c>
      <c r="S147" s="4">
        <v>5</v>
      </c>
      <c r="T147" s="4">
        <v>0</v>
      </c>
      <c r="U147" s="4">
        <v>0</v>
      </c>
      <c r="V147" s="4">
        <f>IF(ISERROR(VLOOKUP($S$147,'TAR FIN'!$A$1:$O$85,15,0)),0,VLOOKUP($S$147,'TAR FIN'!$A$1:$O$85,15,0))</f>
        <v>20.34</v>
      </c>
      <c r="W147" s="4">
        <f>IF(ISERROR(VLOOKUP($T$147,'TAR FIN'!$A$1:$O$85,15,0)),0,VLOOKUP($T$147,'TAR FIN'!$A$1:$O$85,15,0))</f>
        <v>0</v>
      </c>
      <c r="X147" s="4">
        <f>IF(ISERROR(VLOOKUP($U$147,'TAR FIN'!$A$1:$O$85,15,0)),0,VLOOKUP($U$147,'TAR FIN'!$A$1:$O$85,15,0))</f>
        <v>0</v>
      </c>
      <c r="Y147" s="4">
        <f ca="1">('TUSD BE'!$AM$10+'TUSD BF'!$AM$10+'TUSD CVA'!$AM$10)*1</f>
        <v>23.236586763614469</v>
      </c>
      <c r="Z147" s="4"/>
      <c r="AA147" s="4"/>
      <c r="AB147" s="4">
        <f>$K$147*$V$147</f>
        <v>4515.4799999999996</v>
      </c>
      <c r="AC147" s="4">
        <f>$M$147*$W$147</f>
        <v>0</v>
      </c>
      <c r="AD147" s="4">
        <f>$O$147*$X$147</f>
        <v>0</v>
      </c>
      <c r="AE147" s="4">
        <f ca="1">$K$147*$Y$147</f>
        <v>5158.522261522412</v>
      </c>
      <c r="AF147" s="4">
        <f>$M$147*$Z$147</f>
        <v>0</v>
      </c>
      <c r="AG147" s="4">
        <f>$O$147*$AA$147</f>
        <v>0</v>
      </c>
    </row>
    <row r="148" spans="1:33" ht="11.25" customHeight="1" x14ac:dyDescent="0.3">
      <c r="A148" s="3" t="s">
        <v>21</v>
      </c>
      <c r="B148" s="3" t="s">
        <v>34</v>
      </c>
      <c r="C148" s="3" t="s">
        <v>38</v>
      </c>
      <c r="D148" s="3" t="s">
        <v>33</v>
      </c>
      <c r="E148" s="3" t="s">
        <v>25</v>
      </c>
      <c r="F148" s="3" t="s">
        <v>25</v>
      </c>
      <c r="G148" s="3" t="s">
        <v>25</v>
      </c>
      <c r="H148" s="3" t="s">
        <v>25</v>
      </c>
      <c r="I148" s="6">
        <v>44470</v>
      </c>
      <c r="J148" s="4">
        <v>2983</v>
      </c>
      <c r="K148" s="4">
        <v>2983</v>
      </c>
      <c r="L148" s="4">
        <v>0</v>
      </c>
      <c r="M148" s="4">
        <v>0</v>
      </c>
      <c r="N148" s="4">
        <v>0</v>
      </c>
      <c r="O148" s="4">
        <v>0</v>
      </c>
      <c r="P148" s="4">
        <v>21</v>
      </c>
      <c r="Q148" s="3" t="s">
        <v>26</v>
      </c>
      <c r="R148" s="3">
        <v>0</v>
      </c>
      <c r="S148" s="4">
        <v>5</v>
      </c>
      <c r="T148" s="4">
        <v>0</v>
      </c>
      <c r="U148" s="4">
        <v>0</v>
      </c>
      <c r="V148" s="4">
        <f>IF(ISERROR(VLOOKUP($S$148,'TAR FIN'!$A$1:$O$85,15,0)),0,VLOOKUP($S$148,'TAR FIN'!$A$1:$O$85,15,0))</f>
        <v>20.34</v>
      </c>
      <c r="W148" s="4">
        <f>IF(ISERROR(VLOOKUP($T$148,'TAR FIN'!$A$1:$O$85,15,0)),0,VLOOKUP($T$148,'TAR FIN'!$A$1:$O$85,15,0))</f>
        <v>0</v>
      </c>
      <c r="X148" s="4">
        <f>IF(ISERROR(VLOOKUP($U$148,'TAR FIN'!$A$1:$O$85,15,0)),0,VLOOKUP($U$148,'TAR FIN'!$A$1:$O$85,15,0))</f>
        <v>0</v>
      </c>
      <c r="Y148" s="4">
        <f ca="1">('TUSD BE'!$AM$10+'TUSD BF'!$AM$10+'TUSD CVA'!$AM$10)*1</f>
        <v>23.236586763614469</v>
      </c>
      <c r="Z148" s="4"/>
      <c r="AA148" s="4"/>
      <c r="AB148" s="4">
        <f>$K$148*$V$148</f>
        <v>60674.22</v>
      </c>
      <c r="AC148" s="4">
        <f>$M$148*$W$148</f>
        <v>0</v>
      </c>
      <c r="AD148" s="4">
        <f>$O$148*$X$148</f>
        <v>0</v>
      </c>
      <c r="AE148" s="4">
        <f ca="1">$K$148*$Y$148</f>
        <v>69314.738315861963</v>
      </c>
      <c r="AF148" s="4">
        <f>$M$148*$Z$148</f>
        <v>0</v>
      </c>
      <c r="AG148" s="4">
        <f>$O$148*$AA$148</f>
        <v>0</v>
      </c>
    </row>
    <row r="149" spans="1:33" ht="11.25" customHeight="1" x14ac:dyDescent="0.3">
      <c r="A149" s="3" t="s">
        <v>27</v>
      </c>
      <c r="B149" s="3" t="s">
        <v>34</v>
      </c>
      <c r="C149" s="3" t="s">
        <v>38</v>
      </c>
      <c r="D149" s="3" t="s">
        <v>33</v>
      </c>
      <c r="E149" s="3" t="s">
        <v>25</v>
      </c>
      <c r="F149" s="3" t="s">
        <v>25</v>
      </c>
      <c r="G149" s="3" t="s">
        <v>25</v>
      </c>
      <c r="H149" s="3" t="s">
        <v>25</v>
      </c>
      <c r="I149" s="6">
        <v>44470</v>
      </c>
      <c r="J149" s="4">
        <v>335</v>
      </c>
      <c r="K149" s="4">
        <v>335</v>
      </c>
      <c r="L149" s="4">
        <v>0</v>
      </c>
      <c r="M149" s="4">
        <v>0</v>
      </c>
      <c r="N149" s="4">
        <v>0</v>
      </c>
      <c r="O149" s="4">
        <v>0</v>
      </c>
      <c r="P149" s="4">
        <v>3</v>
      </c>
      <c r="Q149" s="3" t="s">
        <v>26</v>
      </c>
      <c r="R149" s="3">
        <v>0</v>
      </c>
      <c r="S149" s="4">
        <v>5</v>
      </c>
      <c r="T149" s="4">
        <v>0</v>
      </c>
      <c r="U149" s="4">
        <v>0</v>
      </c>
      <c r="V149" s="4">
        <f>IF(ISERROR(VLOOKUP($S$149,'TAR FIN'!$A$1:$O$85,15,0)),0,VLOOKUP($S$149,'TAR FIN'!$A$1:$O$85,15,0))</f>
        <v>20.34</v>
      </c>
      <c r="W149" s="4">
        <f>IF(ISERROR(VLOOKUP($T$149,'TAR FIN'!$A$1:$O$85,15,0)),0,VLOOKUP($T$149,'TAR FIN'!$A$1:$O$85,15,0))</f>
        <v>0</v>
      </c>
      <c r="X149" s="4">
        <f>IF(ISERROR(VLOOKUP($U$149,'TAR FIN'!$A$1:$O$85,15,0)),0,VLOOKUP($U$149,'TAR FIN'!$A$1:$O$85,15,0))</f>
        <v>0</v>
      </c>
      <c r="Y149" s="4">
        <f ca="1">('TUSD BE'!$AM$10+'TUSD BF'!$AM$10+'TUSD CVA'!$AM$10)*1</f>
        <v>23.236586763614469</v>
      </c>
      <c r="Z149" s="4"/>
      <c r="AA149" s="4"/>
      <c r="AB149" s="4">
        <f>$K$149*$V$149</f>
        <v>6813.9</v>
      </c>
      <c r="AC149" s="4">
        <f>$M$149*$W$149</f>
        <v>0</v>
      </c>
      <c r="AD149" s="4">
        <f>$O$149*$X$149</f>
        <v>0</v>
      </c>
      <c r="AE149" s="4">
        <f ca="1">$K$149*$Y$149</f>
        <v>7784.256565810847</v>
      </c>
      <c r="AF149" s="4">
        <f>$M$149*$Z$149</f>
        <v>0</v>
      </c>
      <c r="AG149" s="4">
        <f>$O$149*$AA$149</f>
        <v>0</v>
      </c>
    </row>
    <row r="150" spans="1:33" ht="11.25" customHeight="1" x14ac:dyDescent="0.3">
      <c r="A150" s="3" t="s">
        <v>21</v>
      </c>
      <c r="B150" s="3" t="s">
        <v>34</v>
      </c>
      <c r="C150" s="3" t="s">
        <v>38</v>
      </c>
      <c r="D150" s="3" t="s">
        <v>33</v>
      </c>
      <c r="E150" s="3" t="s">
        <v>25</v>
      </c>
      <c r="F150" s="3" t="s">
        <v>25</v>
      </c>
      <c r="G150" s="3" t="s">
        <v>25</v>
      </c>
      <c r="H150" s="3" t="s">
        <v>25</v>
      </c>
      <c r="I150" s="6">
        <v>44501</v>
      </c>
      <c r="J150" s="4">
        <v>3001</v>
      </c>
      <c r="K150" s="4">
        <v>3001</v>
      </c>
      <c r="L150" s="4">
        <v>0</v>
      </c>
      <c r="M150" s="4">
        <v>0</v>
      </c>
      <c r="N150" s="4">
        <v>0</v>
      </c>
      <c r="O150" s="4">
        <v>0</v>
      </c>
      <c r="P150" s="4">
        <v>21</v>
      </c>
      <c r="Q150" s="3" t="s">
        <v>26</v>
      </c>
      <c r="R150" s="3">
        <v>0</v>
      </c>
      <c r="S150" s="4">
        <v>5</v>
      </c>
      <c r="T150" s="4">
        <v>0</v>
      </c>
      <c r="U150" s="4">
        <v>0</v>
      </c>
      <c r="V150" s="4">
        <f>IF(ISERROR(VLOOKUP($S$150,'TAR FIN'!$A$1:$O$85,15,0)),0,VLOOKUP($S$150,'TAR FIN'!$A$1:$O$85,15,0))</f>
        <v>20.34</v>
      </c>
      <c r="W150" s="4">
        <f>IF(ISERROR(VLOOKUP($T$150,'TAR FIN'!$A$1:$O$85,15,0)),0,VLOOKUP($T$150,'TAR FIN'!$A$1:$O$85,15,0))</f>
        <v>0</v>
      </c>
      <c r="X150" s="4">
        <f>IF(ISERROR(VLOOKUP($U$150,'TAR FIN'!$A$1:$O$85,15,0)),0,VLOOKUP($U$150,'TAR FIN'!$A$1:$O$85,15,0))</f>
        <v>0</v>
      </c>
      <c r="Y150" s="4">
        <f ca="1">('TUSD BE'!$AM$10+'TUSD BF'!$AM$10+'TUSD CVA'!$AM$10)*1</f>
        <v>23.236586763614469</v>
      </c>
      <c r="Z150" s="4"/>
      <c r="AA150" s="4"/>
      <c r="AB150" s="4">
        <f>$K$150*$V$150</f>
        <v>61040.34</v>
      </c>
      <c r="AC150" s="4">
        <f>$M$150*$W$150</f>
        <v>0</v>
      </c>
      <c r="AD150" s="4">
        <f>$O$150*$X$150</f>
        <v>0</v>
      </c>
      <c r="AE150" s="4">
        <f ca="1">$K$150*$Y$150</f>
        <v>69732.996877607016</v>
      </c>
      <c r="AF150" s="4">
        <f>$M$150*$Z$150</f>
        <v>0</v>
      </c>
      <c r="AG150" s="4">
        <f>$O$150*$AA$150</f>
        <v>0</v>
      </c>
    </row>
    <row r="151" spans="1:33" ht="11.25" customHeight="1" x14ac:dyDescent="0.3">
      <c r="A151" s="3" t="s">
        <v>27</v>
      </c>
      <c r="B151" s="3" t="s">
        <v>34</v>
      </c>
      <c r="C151" s="3" t="s">
        <v>38</v>
      </c>
      <c r="D151" s="3" t="s">
        <v>33</v>
      </c>
      <c r="E151" s="3" t="s">
        <v>25</v>
      </c>
      <c r="F151" s="3" t="s">
        <v>25</v>
      </c>
      <c r="G151" s="3" t="s">
        <v>25</v>
      </c>
      <c r="H151" s="3" t="s">
        <v>25</v>
      </c>
      <c r="I151" s="6">
        <v>44501</v>
      </c>
      <c r="J151" s="4">
        <v>285</v>
      </c>
      <c r="K151" s="4">
        <v>285</v>
      </c>
      <c r="L151" s="4">
        <v>0</v>
      </c>
      <c r="M151" s="4">
        <v>0</v>
      </c>
      <c r="N151" s="4">
        <v>0</v>
      </c>
      <c r="O151" s="4">
        <v>0</v>
      </c>
      <c r="P151" s="4">
        <v>2</v>
      </c>
      <c r="Q151" s="3" t="s">
        <v>26</v>
      </c>
      <c r="R151" s="3">
        <v>0</v>
      </c>
      <c r="S151" s="4">
        <v>5</v>
      </c>
      <c r="T151" s="4">
        <v>0</v>
      </c>
      <c r="U151" s="4">
        <v>0</v>
      </c>
      <c r="V151" s="4">
        <f>IF(ISERROR(VLOOKUP($S$151,'TAR FIN'!$A$1:$O$85,15,0)),0,VLOOKUP($S$151,'TAR FIN'!$A$1:$O$85,15,0))</f>
        <v>20.34</v>
      </c>
      <c r="W151" s="4">
        <f>IF(ISERROR(VLOOKUP($T$151,'TAR FIN'!$A$1:$O$85,15,0)),0,VLOOKUP($T$151,'TAR FIN'!$A$1:$O$85,15,0))</f>
        <v>0</v>
      </c>
      <c r="X151" s="4">
        <f>IF(ISERROR(VLOOKUP($U$151,'TAR FIN'!$A$1:$O$85,15,0)),0,VLOOKUP($U$151,'TAR FIN'!$A$1:$O$85,15,0))</f>
        <v>0</v>
      </c>
      <c r="Y151" s="4">
        <f ca="1">('TUSD BE'!$AM$10+'TUSD BF'!$AM$10+'TUSD CVA'!$AM$10)*1</f>
        <v>23.236586763614469</v>
      </c>
      <c r="Z151" s="4"/>
      <c r="AA151" s="4"/>
      <c r="AB151" s="4">
        <f>$K$151*$V$151</f>
        <v>5796.9</v>
      </c>
      <c r="AC151" s="4">
        <f>$M$151*$W$151</f>
        <v>0</v>
      </c>
      <c r="AD151" s="4">
        <f>$O$151*$X$151</f>
        <v>0</v>
      </c>
      <c r="AE151" s="4">
        <f ca="1">$K$151*$Y$151</f>
        <v>6622.4272276301235</v>
      </c>
      <c r="AF151" s="4">
        <f>$M$151*$Z$151</f>
        <v>0</v>
      </c>
      <c r="AG151" s="4">
        <f>$O$151*$AA$151</f>
        <v>0</v>
      </c>
    </row>
    <row r="152" spans="1:33" ht="11.25" customHeight="1" x14ac:dyDescent="0.3">
      <c r="A152" s="3" t="s">
        <v>21</v>
      </c>
      <c r="B152" s="3" t="s">
        <v>34</v>
      </c>
      <c r="C152" s="3" t="s">
        <v>38</v>
      </c>
      <c r="D152" s="3" t="s">
        <v>33</v>
      </c>
      <c r="E152" s="3" t="s">
        <v>25</v>
      </c>
      <c r="F152" s="3" t="s">
        <v>25</v>
      </c>
      <c r="G152" s="3" t="s">
        <v>25</v>
      </c>
      <c r="H152" s="3" t="s">
        <v>25</v>
      </c>
      <c r="I152" s="6">
        <v>44531</v>
      </c>
      <c r="J152" s="4">
        <v>2839</v>
      </c>
      <c r="K152" s="4">
        <v>2839</v>
      </c>
      <c r="L152" s="4">
        <v>0</v>
      </c>
      <c r="M152" s="4">
        <v>0</v>
      </c>
      <c r="N152" s="4">
        <v>0</v>
      </c>
      <c r="O152" s="4">
        <v>0</v>
      </c>
      <c r="P152" s="4">
        <v>20</v>
      </c>
      <c r="Q152" s="3" t="s">
        <v>26</v>
      </c>
      <c r="R152" s="3">
        <v>0</v>
      </c>
      <c r="S152" s="4">
        <v>5</v>
      </c>
      <c r="T152" s="4">
        <v>0</v>
      </c>
      <c r="U152" s="4">
        <v>0</v>
      </c>
      <c r="V152" s="4">
        <f>IF(ISERROR(VLOOKUP($S$152,'TAR FIN'!$A$1:$O$85,15,0)),0,VLOOKUP($S$152,'TAR FIN'!$A$1:$O$85,15,0))</f>
        <v>20.34</v>
      </c>
      <c r="W152" s="4">
        <f>IF(ISERROR(VLOOKUP($T$152,'TAR FIN'!$A$1:$O$85,15,0)),0,VLOOKUP($T$152,'TAR FIN'!$A$1:$O$85,15,0))</f>
        <v>0</v>
      </c>
      <c r="X152" s="4">
        <f>IF(ISERROR(VLOOKUP($U$152,'TAR FIN'!$A$1:$O$85,15,0)),0,VLOOKUP($U$152,'TAR FIN'!$A$1:$O$85,15,0))</f>
        <v>0</v>
      </c>
      <c r="Y152" s="4">
        <f ca="1">('TUSD BE'!$AM$10+'TUSD BF'!$AM$10+'TUSD CVA'!$AM$10)*1</f>
        <v>23.236586763614469</v>
      </c>
      <c r="Z152" s="4"/>
      <c r="AA152" s="4"/>
      <c r="AB152" s="4">
        <f>$K$152*$V$152</f>
        <v>57745.26</v>
      </c>
      <c r="AC152" s="4">
        <f>$M$152*$W$152</f>
        <v>0</v>
      </c>
      <c r="AD152" s="4">
        <f>$O$152*$X$152</f>
        <v>0</v>
      </c>
      <c r="AE152" s="4">
        <f ca="1">$K$152*$Y$152</f>
        <v>65968.66982190148</v>
      </c>
      <c r="AF152" s="4">
        <f>$M$152*$Z$152</f>
        <v>0</v>
      </c>
      <c r="AG152" s="4">
        <f>$O$152*$AA$152</f>
        <v>0</v>
      </c>
    </row>
    <row r="153" spans="1:33" ht="11.25" customHeight="1" x14ac:dyDescent="0.3">
      <c r="A153" s="3" t="s">
        <v>27</v>
      </c>
      <c r="B153" s="3" t="s">
        <v>34</v>
      </c>
      <c r="C153" s="3" t="s">
        <v>38</v>
      </c>
      <c r="D153" s="3" t="s">
        <v>33</v>
      </c>
      <c r="E153" s="3" t="s">
        <v>25</v>
      </c>
      <c r="F153" s="3" t="s">
        <v>25</v>
      </c>
      <c r="G153" s="3" t="s">
        <v>25</v>
      </c>
      <c r="H153" s="3" t="s">
        <v>25</v>
      </c>
      <c r="I153" s="6">
        <v>44531</v>
      </c>
      <c r="J153" s="4">
        <v>512</v>
      </c>
      <c r="K153" s="4">
        <v>512</v>
      </c>
      <c r="L153" s="4">
        <v>0</v>
      </c>
      <c r="M153" s="4">
        <v>0</v>
      </c>
      <c r="N153" s="4">
        <v>0</v>
      </c>
      <c r="O153" s="4">
        <v>0</v>
      </c>
      <c r="P153" s="4">
        <v>3</v>
      </c>
      <c r="Q153" s="3" t="s">
        <v>26</v>
      </c>
      <c r="R153" s="3">
        <v>0</v>
      </c>
      <c r="S153" s="4">
        <v>5</v>
      </c>
      <c r="T153" s="4">
        <v>0</v>
      </c>
      <c r="U153" s="4">
        <v>0</v>
      </c>
      <c r="V153" s="4">
        <f>IF(ISERROR(VLOOKUP($S$153,'TAR FIN'!$A$1:$O$85,15,0)),0,VLOOKUP($S$153,'TAR FIN'!$A$1:$O$85,15,0))</f>
        <v>20.34</v>
      </c>
      <c r="W153" s="4">
        <f>IF(ISERROR(VLOOKUP($T$153,'TAR FIN'!$A$1:$O$85,15,0)),0,VLOOKUP($T$153,'TAR FIN'!$A$1:$O$85,15,0))</f>
        <v>0</v>
      </c>
      <c r="X153" s="4">
        <f>IF(ISERROR(VLOOKUP($U$153,'TAR FIN'!$A$1:$O$85,15,0)),0,VLOOKUP($U$153,'TAR FIN'!$A$1:$O$85,15,0))</f>
        <v>0</v>
      </c>
      <c r="Y153" s="4">
        <f ca="1">('TUSD BE'!$AM$10+'TUSD BF'!$AM$10+'TUSD CVA'!$AM$10)*1</f>
        <v>23.236586763614469</v>
      </c>
      <c r="Z153" s="4"/>
      <c r="AA153" s="4"/>
      <c r="AB153" s="4">
        <f>$K$153*$V$153</f>
        <v>10414.08</v>
      </c>
      <c r="AC153" s="4">
        <f>$M$153*$W$153</f>
        <v>0</v>
      </c>
      <c r="AD153" s="4">
        <f>$O$153*$X$153</f>
        <v>0</v>
      </c>
      <c r="AE153" s="4">
        <f ca="1">$K$153*$Y$153</f>
        <v>11897.132422970608</v>
      </c>
      <c r="AF153" s="4">
        <f>$M$153*$Z$153</f>
        <v>0</v>
      </c>
      <c r="AG153" s="4">
        <f>$O$153*$AA$153</f>
        <v>0</v>
      </c>
    </row>
    <row r="154" spans="1:33" ht="11.25" customHeight="1" x14ac:dyDescent="0.3">
      <c r="A154" s="3" t="s">
        <v>21</v>
      </c>
      <c r="B154" s="3" t="s">
        <v>34</v>
      </c>
      <c r="C154" s="3" t="s">
        <v>38</v>
      </c>
      <c r="D154" s="3" t="s">
        <v>33</v>
      </c>
      <c r="E154" s="3" t="s">
        <v>25</v>
      </c>
      <c r="F154" s="3" t="s">
        <v>25</v>
      </c>
      <c r="G154" s="3" t="s">
        <v>25</v>
      </c>
      <c r="H154" s="3" t="s">
        <v>25</v>
      </c>
      <c r="I154" s="6">
        <v>44562</v>
      </c>
      <c r="J154" s="4">
        <v>2930</v>
      </c>
      <c r="K154" s="4">
        <v>2930</v>
      </c>
      <c r="L154" s="4">
        <v>0</v>
      </c>
      <c r="M154" s="4">
        <v>0</v>
      </c>
      <c r="N154" s="4">
        <v>0</v>
      </c>
      <c r="O154" s="4">
        <v>0</v>
      </c>
      <c r="P154" s="4">
        <v>20</v>
      </c>
      <c r="Q154" s="3" t="s">
        <v>26</v>
      </c>
      <c r="R154" s="3">
        <v>0</v>
      </c>
      <c r="S154" s="4">
        <v>5</v>
      </c>
      <c r="T154" s="4">
        <v>0</v>
      </c>
      <c r="U154" s="4">
        <v>0</v>
      </c>
      <c r="V154" s="4">
        <f>IF(ISERROR(VLOOKUP($S$154,'TAR FIN'!$A$1:$O$85,15,0)),0,VLOOKUP($S$154,'TAR FIN'!$A$1:$O$85,15,0))</f>
        <v>20.34</v>
      </c>
      <c r="W154" s="4">
        <f>IF(ISERROR(VLOOKUP($T$154,'TAR FIN'!$A$1:$O$85,15,0)),0,VLOOKUP($T$154,'TAR FIN'!$A$1:$O$85,15,0))</f>
        <v>0</v>
      </c>
      <c r="X154" s="4">
        <f>IF(ISERROR(VLOOKUP($U$154,'TAR FIN'!$A$1:$O$85,15,0)),0,VLOOKUP($U$154,'TAR FIN'!$A$1:$O$85,15,0))</f>
        <v>0</v>
      </c>
      <c r="Y154" s="4">
        <f ca="1">('TUSD BE'!$AM$10+'TUSD BF'!$AM$10+'TUSD CVA'!$AM$10)*1</f>
        <v>23.236586763614469</v>
      </c>
      <c r="Z154" s="4"/>
      <c r="AA154" s="4"/>
      <c r="AB154" s="4">
        <f>$K$154*$V$154</f>
        <v>59596.2</v>
      </c>
      <c r="AC154" s="4">
        <f>$M$154*$W$154</f>
        <v>0</v>
      </c>
      <c r="AD154" s="4">
        <f>$O$154*$X$154</f>
        <v>0</v>
      </c>
      <c r="AE154" s="4">
        <f ca="1">$K$154*$Y$154</f>
        <v>68083.199217390385</v>
      </c>
      <c r="AF154" s="4">
        <f>$M$154*$Z$154</f>
        <v>0</v>
      </c>
      <c r="AG154" s="4">
        <f>$O$154*$AA$154</f>
        <v>0</v>
      </c>
    </row>
    <row r="155" spans="1:33" ht="11.25" customHeight="1" x14ac:dyDescent="0.3">
      <c r="A155" s="3" t="s">
        <v>27</v>
      </c>
      <c r="B155" s="3" t="s">
        <v>34</v>
      </c>
      <c r="C155" s="3" t="s">
        <v>38</v>
      </c>
      <c r="D155" s="3" t="s">
        <v>33</v>
      </c>
      <c r="E155" s="3" t="s">
        <v>25</v>
      </c>
      <c r="F155" s="3" t="s">
        <v>25</v>
      </c>
      <c r="G155" s="3" t="s">
        <v>25</v>
      </c>
      <c r="H155" s="3" t="s">
        <v>25</v>
      </c>
      <c r="I155" s="6">
        <v>44562</v>
      </c>
      <c r="J155" s="4">
        <v>480</v>
      </c>
      <c r="K155" s="4">
        <v>480</v>
      </c>
      <c r="L155" s="4">
        <v>0</v>
      </c>
      <c r="M155" s="4">
        <v>0</v>
      </c>
      <c r="N155" s="4">
        <v>0</v>
      </c>
      <c r="O155" s="4">
        <v>0</v>
      </c>
      <c r="P155" s="4">
        <v>3</v>
      </c>
      <c r="Q155" s="3" t="s">
        <v>26</v>
      </c>
      <c r="R155" s="3">
        <v>0</v>
      </c>
      <c r="S155" s="4">
        <v>5</v>
      </c>
      <c r="T155" s="4">
        <v>0</v>
      </c>
      <c r="U155" s="4">
        <v>0</v>
      </c>
      <c r="V155" s="4">
        <f>IF(ISERROR(VLOOKUP($S$155,'TAR FIN'!$A$1:$O$85,15,0)),0,VLOOKUP($S$155,'TAR FIN'!$A$1:$O$85,15,0))</f>
        <v>20.34</v>
      </c>
      <c r="W155" s="4">
        <f>IF(ISERROR(VLOOKUP($T$155,'TAR FIN'!$A$1:$O$85,15,0)),0,VLOOKUP($T$155,'TAR FIN'!$A$1:$O$85,15,0))</f>
        <v>0</v>
      </c>
      <c r="X155" s="4">
        <f>IF(ISERROR(VLOOKUP($U$155,'TAR FIN'!$A$1:$O$85,15,0)),0,VLOOKUP($U$155,'TAR FIN'!$A$1:$O$85,15,0))</f>
        <v>0</v>
      </c>
      <c r="Y155" s="4">
        <f ca="1">('TUSD BE'!$AM$10+'TUSD BF'!$AM$10+'TUSD CVA'!$AM$10)*1</f>
        <v>23.236586763614469</v>
      </c>
      <c r="Z155" s="4"/>
      <c r="AA155" s="4"/>
      <c r="AB155" s="4">
        <f>$K$155*$V$155</f>
        <v>9763.2000000000007</v>
      </c>
      <c r="AC155" s="4">
        <f>$M$155*$W$155</f>
        <v>0</v>
      </c>
      <c r="AD155" s="4">
        <f>$O$155*$X$155</f>
        <v>0</v>
      </c>
      <c r="AE155" s="4">
        <f ca="1">$K$155*$Y$155</f>
        <v>11153.561646534945</v>
      </c>
      <c r="AF155" s="4">
        <f>$M$155*$Z$155</f>
        <v>0</v>
      </c>
      <c r="AG155" s="4">
        <f>$O$155*$AA$155</f>
        <v>0</v>
      </c>
    </row>
    <row r="156" spans="1:33" ht="11.25" customHeight="1" x14ac:dyDescent="0.3">
      <c r="A156" s="3" t="s">
        <v>21</v>
      </c>
      <c r="B156" s="3" t="s">
        <v>34</v>
      </c>
      <c r="C156" s="3" t="s">
        <v>38</v>
      </c>
      <c r="D156" s="3" t="s">
        <v>33</v>
      </c>
      <c r="E156" s="3" t="s">
        <v>25</v>
      </c>
      <c r="F156" s="3" t="s">
        <v>25</v>
      </c>
      <c r="G156" s="3" t="s">
        <v>25</v>
      </c>
      <c r="H156" s="3" t="s">
        <v>25</v>
      </c>
      <c r="I156" s="6">
        <v>44593</v>
      </c>
      <c r="J156" s="4">
        <v>2913</v>
      </c>
      <c r="K156" s="4">
        <v>2913</v>
      </c>
      <c r="L156" s="4">
        <v>0</v>
      </c>
      <c r="M156" s="4">
        <v>0</v>
      </c>
      <c r="N156" s="4">
        <v>0</v>
      </c>
      <c r="O156" s="4">
        <v>0</v>
      </c>
      <c r="P156" s="4">
        <v>20</v>
      </c>
      <c r="Q156" s="3" t="s">
        <v>26</v>
      </c>
      <c r="R156" s="3">
        <v>0</v>
      </c>
      <c r="S156" s="4">
        <v>5</v>
      </c>
      <c r="T156" s="4">
        <v>0</v>
      </c>
      <c r="U156" s="4">
        <v>0</v>
      </c>
      <c r="V156" s="4">
        <f>IF(ISERROR(VLOOKUP($S$156,'TAR FIN'!$A$1:$O$85,15,0)),0,VLOOKUP($S$156,'TAR FIN'!$A$1:$O$85,15,0))</f>
        <v>20.34</v>
      </c>
      <c r="W156" s="4">
        <f>IF(ISERROR(VLOOKUP($T$156,'TAR FIN'!$A$1:$O$85,15,0)),0,VLOOKUP($T$156,'TAR FIN'!$A$1:$O$85,15,0))</f>
        <v>0</v>
      </c>
      <c r="X156" s="4">
        <f>IF(ISERROR(VLOOKUP($U$156,'TAR FIN'!$A$1:$O$85,15,0)),0,VLOOKUP($U$156,'TAR FIN'!$A$1:$O$85,15,0))</f>
        <v>0</v>
      </c>
      <c r="Y156" s="4">
        <f ca="1">('TUSD BE'!$AM$10+'TUSD BF'!$AM$10+'TUSD CVA'!$AM$10)*1</f>
        <v>23.236586763614469</v>
      </c>
      <c r="Z156" s="4"/>
      <c r="AA156" s="4"/>
      <c r="AB156" s="4">
        <f>$K$156*$V$156</f>
        <v>59250.42</v>
      </c>
      <c r="AC156" s="4">
        <f>$M$156*$W$156</f>
        <v>0</v>
      </c>
      <c r="AD156" s="4">
        <f>$O$156*$X$156</f>
        <v>0</v>
      </c>
      <c r="AE156" s="4">
        <f ca="1">$K$156*$Y$156</f>
        <v>67688.177242408943</v>
      </c>
      <c r="AF156" s="4">
        <f>$M$156*$Z$156</f>
        <v>0</v>
      </c>
      <c r="AG156" s="4">
        <f>$O$156*$AA$156</f>
        <v>0</v>
      </c>
    </row>
    <row r="157" spans="1:33" ht="11.25" customHeight="1" x14ac:dyDescent="0.3">
      <c r="A157" s="3" t="s">
        <v>27</v>
      </c>
      <c r="B157" s="3" t="s">
        <v>34</v>
      </c>
      <c r="C157" s="3" t="s">
        <v>38</v>
      </c>
      <c r="D157" s="3" t="s">
        <v>33</v>
      </c>
      <c r="E157" s="3" t="s">
        <v>25</v>
      </c>
      <c r="F157" s="3" t="s">
        <v>25</v>
      </c>
      <c r="G157" s="3" t="s">
        <v>25</v>
      </c>
      <c r="H157" s="3" t="s">
        <v>25</v>
      </c>
      <c r="I157" s="6">
        <v>44593</v>
      </c>
      <c r="J157" s="4">
        <v>430</v>
      </c>
      <c r="K157" s="4">
        <v>430</v>
      </c>
      <c r="L157" s="4">
        <v>0</v>
      </c>
      <c r="M157" s="4">
        <v>0</v>
      </c>
      <c r="N157" s="4">
        <v>0</v>
      </c>
      <c r="O157" s="4">
        <v>0</v>
      </c>
      <c r="P157" s="4">
        <v>3</v>
      </c>
      <c r="Q157" s="3" t="s">
        <v>26</v>
      </c>
      <c r="R157" s="3">
        <v>0</v>
      </c>
      <c r="S157" s="4">
        <v>5</v>
      </c>
      <c r="T157" s="4">
        <v>0</v>
      </c>
      <c r="U157" s="4">
        <v>0</v>
      </c>
      <c r="V157" s="4">
        <f>IF(ISERROR(VLOOKUP($S$157,'TAR FIN'!$A$1:$O$85,15,0)),0,VLOOKUP($S$157,'TAR FIN'!$A$1:$O$85,15,0))</f>
        <v>20.34</v>
      </c>
      <c r="W157" s="4">
        <f>IF(ISERROR(VLOOKUP($T$157,'TAR FIN'!$A$1:$O$85,15,0)),0,VLOOKUP($T$157,'TAR FIN'!$A$1:$O$85,15,0))</f>
        <v>0</v>
      </c>
      <c r="X157" s="4">
        <f>IF(ISERROR(VLOOKUP($U$157,'TAR FIN'!$A$1:$O$85,15,0)),0,VLOOKUP($U$157,'TAR FIN'!$A$1:$O$85,15,0))</f>
        <v>0</v>
      </c>
      <c r="Y157" s="4">
        <f ca="1">('TUSD BE'!$AM$10+'TUSD BF'!$AM$10+'TUSD CVA'!$AM$10)*1</f>
        <v>23.236586763614469</v>
      </c>
      <c r="Z157" s="4"/>
      <c r="AA157" s="4"/>
      <c r="AB157" s="4">
        <f>$K$157*$V$157</f>
        <v>8746.2000000000007</v>
      </c>
      <c r="AC157" s="4">
        <f>$M$157*$W$157</f>
        <v>0</v>
      </c>
      <c r="AD157" s="4">
        <f>$O$157*$X$157</f>
        <v>0</v>
      </c>
      <c r="AE157" s="4">
        <f ca="1">$K$157*$Y$157</f>
        <v>9991.7323083542215</v>
      </c>
      <c r="AF157" s="4">
        <f>$M$157*$Z$157</f>
        <v>0</v>
      </c>
      <c r="AG157" s="4">
        <f>$O$157*$AA$157</f>
        <v>0</v>
      </c>
    </row>
    <row r="158" spans="1:33" ht="11.25" customHeight="1" x14ac:dyDescent="0.3">
      <c r="A158" s="3" t="s">
        <v>21</v>
      </c>
      <c r="B158" s="3" t="s">
        <v>34</v>
      </c>
      <c r="C158" s="3" t="s">
        <v>38</v>
      </c>
      <c r="D158" s="3" t="s">
        <v>33</v>
      </c>
      <c r="E158" s="3" t="s">
        <v>25</v>
      </c>
      <c r="F158" s="3" t="s">
        <v>25</v>
      </c>
      <c r="G158" s="3" t="s">
        <v>25</v>
      </c>
      <c r="H158" s="3" t="s">
        <v>25</v>
      </c>
      <c r="I158" s="6">
        <v>44621</v>
      </c>
      <c r="J158" s="4">
        <v>3246</v>
      </c>
      <c r="K158" s="4">
        <v>3246</v>
      </c>
      <c r="L158" s="4">
        <v>0</v>
      </c>
      <c r="M158" s="4">
        <v>0</v>
      </c>
      <c r="N158" s="4">
        <v>0</v>
      </c>
      <c r="O158" s="4">
        <v>0</v>
      </c>
      <c r="P158" s="4">
        <v>20</v>
      </c>
      <c r="Q158" s="3" t="s">
        <v>26</v>
      </c>
      <c r="R158" s="3">
        <v>0</v>
      </c>
      <c r="S158" s="4">
        <v>5</v>
      </c>
      <c r="T158" s="4">
        <v>0</v>
      </c>
      <c r="U158" s="4">
        <v>0</v>
      </c>
      <c r="V158" s="4">
        <f>IF(ISERROR(VLOOKUP($S$158,'TAR FIN'!$A$1:$O$85,15,0)),0,VLOOKUP($S$158,'TAR FIN'!$A$1:$O$85,15,0))</f>
        <v>20.34</v>
      </c>
      <c r="W158" s="4">
        <f>IF(ISERROR(VLOOKUP($T$158,'TAR FIN'!$A$1:$O$85,15,0)),0,VLOOKUP($T$158,'TAR FIN'!$A$1:$O$85,15,0))</f>
        <v>0</v>
      </c>
      <c r="X158" s="4">
        <f>IF(ISERROR(VLOOKUP($U$158,'TAR FIN'!$A$1:$O$85,15,0)),0,VLOOKUP($U$158,'TAR FIN'!$A$1:$O$85,15,0))</f>
        <v>0</v>
      </c>
      <c r="Y158" s="4">
        <f ca="1">('TUSD BE'!$AM$10+'TUSD BF'!$AM$10+'TUSD CVA'!$AM$10)*1</f>
        <v>23.236586763614469</v>
      </c>
      <c r="Z158" s="4"/>
      <c r="AA158" s="4"/>
      <c r="AB158" s="4">
        <f>$K$158*$V$158</f>
        <v>66023.64</v>
      </c>
      <c r="AC158" s="4">
        <f>$M$158*$W$158</f>
        <v>0</v>
      </c>
      <c r="AD158" s="4">
        <f>$O$158*$X$158</f>
        <v>0</v>
      </c>
      <c r="AE158" s="4">
        <f ca="1">$K$158*$Y$158</f>
        <v>75425.960634692572</v>
      </c>
      <c r="AF158" s="4">
        <f>$M$158*$Z$158</f>
        <v>0</v>
      </c>
      <c r="AG158" s="4">
        <f>$O$158*$AA$158</f>
        <v>0</v>
      </c>
    </row>
    <row r="159" spans="1:33" ht="11.25" customHeight="1" x14ac:dyDescent="0.3">
      <c r="A159" s="3" t="s">
        <v>27</v>
      </c>
      <c r="B159" s="3" t="s">
        <v>34</v>
      </c>
      <c r="C159" s="3" t="s">
        <v>38</v>
      </c>
      <c r="D159" s="3" t="s">
        <v>33</v>
      </c>
      <c r="E159" s="3" t="s">
        <v>25</v>
      </c>
      <c r="F159" s="3" t="s">
        <v>25</v>
      </c>
      <c r="G159" s="3" t="s">
        <v>25</v>
      </c>
      <c r="H159" s="3" t="s">
        <v>25</v>
      </c>
      <c r="I159" s="6">
        <v>44621</v>
      </c>
      <c r="J159" s="4">
        <v>444</v>
      </c>
      <c r="K159" s="4">
        <v>444</v>
      </c>
      <c r="L159" s="4">
        <v>0</v>
      </c>
      <c r="M159" s="4">
        <v>0</v>
      </c>
      <c r="N159" s="4">
        <v>0</v>
      </c>
      <c r="O159" s="4">
        <v>0</v>
      </c>
      <c r="P159" s="4">
        <v>3</v>
      </c>
      <c r="Q159" s="3" t="s">
        <v>26</v>
      </c>
      <c r="R159" s="3">
        <v>0</v>
      </c>
      <c r="S159" s="4">
        <v>5</v>
      </c>
      <c r="T159" s="4">
        <v>0</v>
      </c>
      <c r="U159" s="4">
        <v>0</v>
      </c>
      <c r="V159" s="4">
        <f>IF(ISERROR(VLOOKUP($S$159,'TAR FIN'!$A$1:$O$85,15,0)),0,VLOOKUP($S$159,'TAR FIN'!$A$1:$O$85,15,0))</f>
        <v>20.34</v>
      </c>
      <c r="W159" s="4">
        <f>IF(ISERROR(VLOOKUP($T$159,'TAR FIN'!$A$1:$O$85,15,0)),0,VLOOKUP($T$159,'TAR FIN'!$A$1:$O$85,15,0))</f>
        <v>0</v>
      </c>
      <c r="X159" s="4">
        <f>IF(ISERROR(VLOOKUP($U$159,'TAR FIN'!$A$1:$O$85,15,0)),0,VLOOKUP($U$159,'TAR FIN'!$A$1:$O$85,15,0))</f>
        <v>0</v>
      </c>
      <c r="Y159" s="4">
        <f ca="1">('TUSD BE'!$AM$10+'TUSD BF'!$AM$10+'TUSD CVA'!$AM$10)*1</f>
        <v>23.236586763614469</v>
      </c>
      <c r="Z159" s="4"/>
      <c r="AA159" s="4"/>
      <c r="AB159" s="4">
        <f>$K$159*$V$159</f>
        <v>9030.9599999999991</v>
      </c>
      <c r="AC159" s="4">
        <f>$M$159*$W$159</f>
        <v>0</v>
      </c>
      <c r="AD159" s="4">
        <f>$O$159*$X$159</f>
        <v>0</v>
      </c>
      <c r="AE159" s="4">
        <f ca="1">$K$159*$Y$159</f>
        <v>10317.044523044824</v>
      </c>
      <c r="AF159" s="4">
        <f>$M$159*$Z$159</f>
        <v>0</v>
      </c>
      <c r="AG159" s="4">
        <f>$O$159*$AA$159</f>
        <v>0</v>
      </c>
    </row>
    <row r="160" spans="1:33" ht="11.25" customHeight="1" x14ac:dyDescent="0.3">
      <c r="A160" s="3" t="s">
        <v>21</v>
      </c>
      <c r="B160" s="3" t="s">
        <v>34</v>
      </c>
      <c r="C160" s="3" t="s">
        <v>38</v>
      </c>
      <c r="D160" s="3" t="s">
        <v>33</v>
      </c>
      <c r="E160" s="3" t="s">
        <v>25</v>
      </c>
      <c r="F160" s="3" t="s">
        <v>25</v>
      </c>
      <c r="G160" s="3" t="s">
        <v>25</v>
      </c>
      <c r="H160" s="3" t="s">
        <v>25</v>
      </c>
      <c r="I160" s="6">
        <v>44652</v>
      </c>
      <c r="J160" s="4">
        <v>3211</v>
      </c>
      <c r="K160" s="4">
        <v>3211</v>
      </c>
      <c r="L160" s="4">
        <v>0</v>
      </c>
      <c r="M160" s="4">
        <v>0</v>
      </c>
      <c r="N160" s="4">
        <v>0</v>
      </c>
      <c r="O160" s="4">
        <v>0</v>
      </c>
      <c r="P160" s="4">
        <v>20</v>
      </c>
      <c r="Q160" s="3" t="s">
        <v>26</v>
      </c>
      <c r="R160" s="3">
        <v>0</v>
      </c>
      <c r="S160" s="4">
        <v>5</v>
      </c>
      <c r="T160" s="4">
        <v>0</v>
      </c>
      <c r="U160" s="4">
        <v>0</v>
      </c>
      <c r="V160" s="4">
        <f>IF(ISERROR(VLOOKUP($S$160,'TAR FIN'!$A$1:$O$85,15,0)),0,VLOOKUP($S$160,'TAR FIN'!$A$1:$O$85,15,0))</f>
        <v>20.34</v>
      </c>
      <c r="W160" s="4">
        <f>IF(ISERROR(VLOOKUP($T$160,'TAR FIN'!$A$1:$O$85,15,0)),0,VLOOKUP($T$160,'TAR FIN'!$A$1:$O$85,15,0))</f>
        <v>0</v>
      </c>
      <c r="X160" s="4">
        <f>IF(ISERROR(VLOOKUP($U$160,'TAR FIN'!$A$1:$O$85,15,0)),0,VLOOKUP($U$160,'TAR FIN'!$A$1:$O$85,15,0))</f>
        <v>0</v>
      </c>
      <c r="Y160" s="4">
        <f ca="1">('TUSD BE'!$AM$10+'TUSD BF'!$AM$10+'TUSD CVA'!$AM$10)*1</f>
        <v>23.236586763614469</v>
      </c>
      <c r="Z160" s="4"/>
      <c r="AA160" s="4"/>
      <c r="AB160" s="4">
        <f>$K$160*$V$160</f>
        <v>65311.74</v>
      </c>
      <c r="AC160" s="4">
        <f>$M$160*$W$160</f>
        <v>0</v>
      </c>
      <c r="AD160" s="4">
        <f>$O$160*$X$160</f>
        <v>0</v>
      </c>
      <c r="AE160" s="4">
        <f ca="1">$K$160*$Y$160</f>
        <v>74612.680097966062</v>
      </c>
      <c r="AF160" s="4">
        <f>$M$160*$Z$160</f>
        <v>0</v>
      </c>
      <c r="AG160" s="4">
        <f>$O$160*$AA$160</f>
        <v>0</v>
      </c>
    </row>
    <row r="161" spans="1:33" ht="11.25" customHeight="1" x14ac:dyDescent="0.3">
      <c r="A161" s="3" t="s">
        <v>27</v>
      </c>
      <c r="B161" s="3" t="s">
        <v>34</v>
      </c>
      <c r="C161" s="3" t="s">
        <v>38</v>
      </c>
      <c r="D161" s="3" t="s">
        <v>33</v>
      </c>
      <c r="E161" s="3" t="s">
        <v>25</v>
      </c>
      <c r="F161" s="3" t="s">
        <v>25</v>
      </c>
      <c r="G161" s="3" t="s">
        <v>25</v>
      </c>
      <c r="H161" s="3" t="s">
        <v>25</v>
      </c>
      <c r="I161" s="6">
        <v>44652</v>
      </c>
      <c r="J161" s="4">
        <v>457</v>
      </c>
      <c r="K161" s="4">
        <v>457</v>
      </c>
      <c r="L161" s="4">
        <v>0</v>
      </c>
      <c r="M161" s="4">
        <v>0</v>
      </c>
      <c r="N161" s="4">
        <v>0</v>
      </c>
      <c r="O161" s="4">
        <v>0</v>
      </c>
      <c r="P161" s="4">
        <v>3</v>
      </c>
      <c r="Q161" s="3" t="s">
        <v>26</v>
      </c>
      <c r="R161" s="3">
        <v>0</v>
      </c>
      <c r="S161" s="4">
        <v>5</v>
      </c>
      <c r="T161" s="4">
        <v>0</v>
      </c>
      <c r="U161" s="4">
        <v>0</v>
      </c>
      <c r="V161" s="4">
        <f>IF(ISERROR(VLOOKUP($S$161,'TAR FIN'!$A$1:$O$85,15,0)),0,VLOOKUP($S$161,'TAR FIN'!$A$1:$O$85,15,0))</f>
        <v>20.34</v>
      </c>
      <c r="W161" s="4">
        <f>IF(ISERROR(VLOOKUP($T$161,'TAR FIN'!$A$1:$O$85,15,0)),0,VLOOKUP($T$161,'TAR FIN'!$A$1:$O$85,15,0))</f>
        <v>0</v>
      </c>
      <c r="X161" s="4">
        <f>IF(ISERROR(VLOOKUP($U$161,'TAR FIN'!$A$1:$O$85,15,0)),0,VLOOKUP($U$161,'TAR FIN'!$A$1:$O$85,15,0))</f>
        <v>0</v>
      </c>
      <c r="Y161" s="4">
        <f ca="1">('TUSD BE'!$AM$10+'TUSD BF'!$AM$10+'TUSD CVA'!$AM$10)*1</f>
        <v>23.236586763614469</v>
      </c>
      <c r="Z161" s="4"/>
      <c r="AA161" s="4"/>
      <c r="AB161" s="4">
        <f>$K$161*$V$161</f>
        <v>9295.3799999999992</v>
      </c>
      <c r="AC161" s="4">
        <f>$M$161*$W$161</f>
        <v>0</v>
      </c>
      <c r="AD161" s="4">
        <f>$O$161*$X$161</f>
        <v>0</v>
      </c>
      <c r="AE161" s="4">
        <f ca="1">$K$161*$Y$161</f>
        <v>10619.120150971812</v>
      </c>
      <c r="AF161" s="4">
        <f>$M$161*$Z$161</f>
        <v>0</v>
      </c>
      <c r="AG161" s="4">
        <f>$O$161*$AA$161</f>
        <v>0</v>
      </c>
    </row>
    <row r="162" spans="1:33" ht="11.25" customHeight="1" x14ac:dyDescent="0.3">
      <c r="A162" s="3" t="s">
        <v>21</v>
      </c>
      <c r="B162" s="3" t="s">
        <v>34</v>
      </c>
      <c r="C162" s="3" t="s">
        <v>38</v>
      </c>
      <c r="D162" s="3" t="s">
        <v>33</v>
      </c>
      <c r="E162" s="3" t="s">
        <v>25</v>
      </c>
      <c r="F162" s="3" t="s">
        <v>25</v>
      </c>
      <c r="G162" s="3" t="s">
        <v>25</v>
      </c>
      <c r="H162" s="3" t="s">
        <v>25</v>
      </c>
      <c r="I162" s="6">
        <v>44682</v>
      </c>
      <c r="J162" s="4">
        <v>3209</v>
      </c>
      <c r="K162" s="4">
        <v>3209</v>
      </c>
      <c r="L162" s="4">
        <v>0</v>
      </c>
      <c r="M162" s="4">
        <v>0</v>
      </c>
      <c r="N162" s="4">
        <v>0</v>
      </c>
      <c r="O162" s="4">
        <v>0</v>
      </c>
      <c r="P162" s="4">
        <v>20</v>
      </c>
      <c r="Q162" s="3" t="s">
        <v>26</v>
      </c>
      <c r="R162" s="3">
        <v>0</v>
      </c>
      <c r="S162" s="4">
        <v>5</v>
      </c>
      <c r="T162" s="4">
        <v>0</v>
      </c>
      <c r="U162" s="4">
        <v>0</v>
      </c>
      <c r="V162" s="4">
        <f>IF(ISERROR(VLOOKUP($S$162,'TAR FIN'!$A$1:$O$85,15,0)),0,VLOOKUP($S$162,'TAR FIN'!$A$1:$O$85,15,0))</f>
        <v>20.34</v>
      </c>
      <c r="W162" s="4">
        <f>IF(ISERROR(VLOOKUP($T$162,'TAR FIN'!$A$1:$O$85,15,0)),0,VLOOKUP($T$162,'TAR FIN'!$A$1:$O$85,15,0))</f>
        <v>0</v>
      </c>
      <c r="X162" s="4">
        <f>IF(ISERROR(VLOOKUP($U$162,'TAR FIN'!$A$1:$O$85,15,0)),0,VLOOKUP($U$162,'TAR FIN'!$A$1:$O$85,15,0))</f>
        <v>0</v>
      </c>
      <c r="Y162" s="4">
        <f ca="1">('TUSD BE'!$AM$10+'TUSD BF'!$AM$10+'TUSD CVA'!$AM$10)*1</f>
        <v>23.236586763614469</v>
      </c>
      <c r="Z162" s="4"/>
      <c r="AA162" s="4"/>
      <c r="AB162" s="4">
        <f>$K$162*$V$162</f>
        <v>65271.06</v>
      </c>
      <c r="AC162" s="4">
        <f>$M$162*$W$162</f>
        <v>0</v>
      </c>
      <c r="AD162" s="4">
        <f>$O$162*$X$162</f>
        <v>0</v>
      </c>
      <c r="AE162" s="4">
        <f ca="1">$K$162*$Y$162</f>
        <v>74566.206924438826</v>
      </c>
      <c r="AF162" s="4">
        <f>$M$162*$Z$162</f>
        <v>0</v>
      </c>
      <c r="AG162" s="4">
        <f>$O$162*$AA$162</f>
        <v>0</v>
      </c>
    </row>
    <row r="163" spans="1:33" ht="11.25" customHeight="1" x14ac:dyDescent="0.3">
      <c r="A163" s="3" t="s">
        <v>27</v>
      </c>
      <c r="B163" s="3" t="s">
        <v>34</v>
      </c>
      <c r="C163" s="3" t="s">
        <v>38</v>
      </c>
      <c r="D163" s="3" t="s">
        <v>33</v>
      </c>
      <c r="E163" s="3" t="s">
        <v>25</v>
      </c>
      <c r="F163" s="3" t="s">
        <v>25</v>
      </c>
      <c r="G163" s="3" t="s">
        <v>25</v>
      </c>
      <c r="H163" s="3" t="s">
        <v>25</v>
      </c>
      <c r="I163" s="6">
        <v>44682</v>
      </c>
      <c r="J163" s="4">
        <v>449</v>
      </c>
      <c r="K163" s="4">
        <v>449</v>
      </c>
      <c r="L163" s="4">
        <v>0</v>
      </c>
      <c r="M163" s="4">
        <v>0</v>
      </c>
      <c r="N163" s="4">
        <v>0</v>
      </c>
      <c r="O163" s="4">
        <v>0</v>
      </c>
      <c r="P163" s="4">
        <v>3</v>
      </c>
      <c r="Q163" s="3" t="s">
        <v>26</v>
      </c>
      <c r="R163" s="3">
        <v>0</v>
      </c>
      <c r="S163" s="4">
        <v>5</v>
      </c>
      <c r="T163" s="4">
        <v>0</v>
      </c>
      <c r="U163" s="4">
        <v>0</v>
      </c>
      <c r="V163" s="4">
        <f>IF(ISERROR(VLOOKUP($S$163,'TAR FIN'!$A$1:$O$85,15,0)),0,VLOOKUP($S$163,'TAR FIN'!$A$1:$O$85,15,0))</f>
        <v>20.34</v>
      </c>
      <c r="W163" s="4">
        <f>IF(ISERROR(VLOOKUP($T$163,'TAR FIN'!$A$1:$O$85,15,0)),0,VLOOKUP($T$163,'TAR FIN'!$A$1:$O$85,15,0))</f>
        <v>0</v>
      </c>
      <c r="X163" s="4">
        <f>IF(ISERROR(VLOOKUP($U$163,'TAR FIN'!$A$1:$O$85,15,0)),0,VLOOKUP($U$163,'TAR FIN'!$A$1:$O$85,15,0))</f>
        <v>0</v>
      </c>
      <c r="Y163" s="4">
        <f ca="1">('TUSD BE'!$AM$10+'TUSD BF'!$AM$10+'TUSD CVA'!$AM$10)*1</f>
        <v>23.236586763614469</v>
      </c>
      <c r="Z163" s="4"/>
      <c r="AA163" s="4"/>
      <c r="AB163" s="4">
        <f>$K$163*$V$163</f>
        <v>9132.66</v>
      </c>
      <c r="AC163" s="4">
        <f>$M$163*$W$163</f>
        <v>0</v>
      </c>
      <c r="AD163" s="4">
        <f>$O$163*$X$163</f>
        <v>0</v>
      </c>
      <c r="AE163" s="4">
        <f ca="1">$K$163*$Y$163</f>
        <v>10433.227456862896</v>
      </c>
      <c r="AF163" s="4">
        <f>$M$163*$Z$163</f>
        <v>0</v>
      </c>
      <c r="AG163" s="4">
        <f>$O$163*$AA$163</f>
        <v>0</v>
      </c>
    </row>
    <row r="164" spans="1:33" ht="11.25" customHeight="1" x14ac:dyDescent="0.3">
      <c r="A164" s="3" t="s">
        <v>21</v>
      </c>
      <c r="B164" s="3" t="s">
        <v>34</v>
      </c>
      <c r="C164" s="3" t="s">
        <v>38</v>
      </c>
      <c r="D164" s="3" t="s">
        <v>33</v>
      </c>
      <c r="E164" s="3" t="s">
        <v>25</v>
      </c>
      <c r="F164" s="3" t="s">
        <v>25</v>
      </c>
      <c r="G164" s="3" t="s">
        <v>25</v>
      </c>
      <c r="H164" s="3" t="s">
        <v>25</v>
      </c>
      <c r="I164" s="6">
        <v>44713</v>
      </c>
      <c r="J164" s="4">
        <v>3197</v>
      </c>
      <c r="K164" s="4">
        <v>3197</v>
      </c>
      <c r="L164" s="4">
        <v>0</v>
      </c>
      <c r="M164" s="4">
        <v>0</v>
      </c>
      <c r="N164" s="4">
        <v>0</v>
      </c>
      <c r="O164" s="4">
        <v>0</v>
      </c>
      <c r="P164" s="4">
        <v>20</v>
      </c>
      <c r="Q164" s="3" t="s">
        <v>26</v>
      </c>
      <c r="R164" s="3">
        <v>0</v>
      </c>
      <c r="S164" s="4">
        <v>5</v>
      </c>
      <c r="T164" s="4">
        <v>0</v>
      </c>
      <c r="U164" s="4">
        <v>0</v>
      </c>
      <c r="V164" s="4">
        <f>IF(ISERROR(VLOOKUP($S$164,'TAR FIN'!$A$1:$O$85,15,0)),0,VLOOKUP($S$164,'TAR FIN'!$A$1:$O$85,15,0))</f>
        <v>20.34</v>
      </c>
      <c r="W164" s="4">
        <f>IF(ISERROR(VLOOKUP($T$164,'TAR FIN'!$A$1:$O$85,15,0)),0,VLOOKUP($T$164,'TAR FIN'!$A$1:$O$85,15,0))</f>
        <v>0</v>
      </c>
      <c r="X164" s="4">
        <f>IF(ISERROR(VLOOKUP($U$164,'TAR FIN'!$A$1:$O$85,15,0)),0,VLOOKUP($U$164,'TAR FIN'!$A$1:$O$85,15,0))</f>
        <v>0</v>
      </c>
      <c r="Y164" s="4">
        <f ca="1">('TUSD BE'!$AM$10+'TUSD BF'!$AM$10+'TUSD CVA'!$AM$10)*1</f>
        <v>23.236586763614469</v>
      </c>
      <c r="Z164" s="4"/>
      <c r="AA164" s="4"/>
      <c r="AB164" s="4">
        <f>$K$164*$V$164</f>
        <v>65026.979999999996</v>
      </c>
      <c r="AC164" s="4">
        <f>$M$164*$W$164</f>
        <v>0</v>
      </c>
      <c r="AD164" s="4">
        <f>$O$164*$X$164</f>
        <v>0</v>
      </c>
      <c r="AE164" s="4">
        <f ca="1">$K$164*$Y$164</f>
        <v>74287.367883275452</v>
      </c>
      <c r="AF164" s="4">
        <f>$M$164*$Z$164</f>
        <v>0</v>
      </c>
      <c r="AG164" s="4">
        <f>$O$164*$AA$164</f>
        <v>0</v>
      </c>
    </row>
    <row r="165" spans="1:33" ht="11.25" customHeight="1" x14ac:dyDescent="0.3">
      <c r="A165" s="3" t="s">
        <v>27</v>
      </c>
      <c r="B165" s="3" t="s">
        <v>34</v>
      </c>
      <c r="C165" s="3" t="s">
        <v>38</v>
      </c>
      <c r="D165" s="3" t="s">
        <v>33</v>
      </c>
      <c r="E165" s="3" t="s">
        <v>25</v>
      </c>
      <c r="F165" s="3" t="s">
        <v>25</v>
      </c>
      <c r="G165" s="3" t="s">
        <v>25</v>
      </c>
      <c r="H165" s="3" t="s">
        <v>25</v>
      </c>
      <c r="I165" s="6">
        <v>44713</v>
      </c>
      <c r="J165" s="4">
        <v>473</v>
      </c>
      <c r="K165" s="4">
        <v>473</v>
      </c>
      <c r="L165" s="4">
        <v>0</v>
      </c>
      <c r="M165" s="4">
        <v>0</v>
      </c>
      <c r="N165" s="4">
        <v>0</v>
      </c>
      <c r="O165" s="4">
        <v>0</v>
      </c>
      <c r="P165" s="4">
        <v>3</v>
      </c>
      <c r="Q165" s="3" t="s">
        <v>26</v>
      </c>
      <c r="R165" s="3">
        <v>0</v>
      </c>
      <c r="S165" s="4">
        <v>5</v>
      </c>
      <c r="T165" s="4">
        <v>0</v>
      </c>
      <c r="U165" s="4">
        <v>0</v>
      </c>
      <c r="V165" s="4">
        <f>IF(ISERROR(VLOOKUP($S$165,'TAR FIN'!$A$1:$O$85,15,0)),0,VLOOKUP($S$165,'TAR FIN'!$A$1:$O$85,15,0))</f>
        <v>20.34</v>
      </c>
      <c r="W165" s="4">
        <f>IF(ISERROR(VLOOKUP($T$165,'TAR FIN'!$A$1:$O$85,15,0)),0,VLOOKUP($T$165,'TAR FIN'!$A$1:$O$85,15,0))</f>
        <v>0</v>
      </c>
      <c r="X165" s="4">
        <f>IF(ISERROR(VLOOKUP($U$165,'TAR FIN'!$A$1:$O$85,15,0)),0,VLOOKUP($U$165,'TAR FIN'!$A$1:$O$85,15,0))</f>
        <v>0</v>
      </c>
      <c r="Y165" s="4">
        <f ca="1">('TUSD BE'!$AM$10+'TUSD BF'!$AM$10+'TUSD CVA'!$AM$10)*1</f>
        <v>23.236586763614469</v>
      </c>
      <c r="Z165" s="4"/>
      <c r="AA165" s="4"/>
      <c r="AB165" s="4">
        <f>$K$165*$V$165</f>
        <v>9620.82</v>
      </c>
      <c r="AC165" s="4">
        <f>$M$165*$W$165</f>
        <v>0</v>
      </c>
      <c r="AD165" s="4">
        <f>$O$165*$X$165</f>
        <v>0</v>
      </c>
      <c r="AE165" s="4">
        <f ca="1">$K$165*$Y$165</f>
        <v>10990.905539189644</v>
      </c>
      <c r="AF165" s="4">
        <f>$M$165*$Z$165</f>
        <v>0</v>
      </c>
      <c r="AG165" s="4">
        <f>$O$165*$AA$165</f>
        <v>0</v>
      </c>
    </row>
    <row r="166" spans="1:33" ht="11.25" customHeight="1" x14ac:dyDescent="0.3">
      <c r="A166" s="3" t="s">
        <v>21</v>
      </c>
      <c r="B166" s="3" t="s">
        <v>34</v>
      </c>
      <c r="C166" s="3" t="s">
        <v>38</v>
      </c>
      <c r="D166" s="3" t="s">
        <v>33</v>
      </c>
      <c r="E166" s="3" t="s">
        <v>25</v>
      </c>
      <c r="F166" s="3" t="s">
        <v>25</v>
      </c>
      <c r="G166" s="3" t="s">
        <v>25</v>
      </c>
      <c r="H166" s="3" t="s">
        <v>25</v>
      </c>
      <c r="I166" s="6">
        <v>44743</v>
      </c>
      <c r="J166" s="4">
        <v>3018</v>
      </c>
      <c r="K166" s="4">
        <v>3018</v>
      </c>
      <c r="L166" s="4">
        <v>0</v>
      </c>
      <c r="M166" s="4">
        <v>0</v>
      </c>
      <c r="N166" s="4">
        <v>0</v>
      </c>
      <c r="O166" s="4">
        <v>0</v>
      </c>
      <c r="P166" s="4">
        <v>20</v>
      </c>
      <c r="Q166" s="3" t="s">
        <v>26</v>
      </c>
      <c r="R166" s="3">
        <v>0</v>
      </c>
      <c r="S166" s="4">
        <v>5</v>
      </c>
      <c r="T166" s="4">
        <v>0</v>
      </c>
      <c r="U166" s="4">
        <v>0</v>
      </c>
      <c r="V166" s="4">
        <f>IF(ISERROR(VLOOKUP($S$166,'TAR FIN'!$A$1:$O$85,15,0)),0,VLOOKUP($S$166,'TAR FIN'!$A$1:$O$85,15,0))</f>
        <v>20.34</v>
      </c>
      <c r="W166" s="4">
        <f>IF(ISERROR(VLOOKUP($T$166,'TAR FIN'!$A$1:$O$85,15,0)),0,VLOOKUP($T$166,'TAR FIN'!$A$1:$O$85,15,0))</f>
        <v>0</v>
      </c>
      <c r="X166" s="4">
        <f>IF(ISERROR(VLOOKUP($U$166,'TAR FIN'!$A$1:$O$85,15,0)),0,VLOOKUP($U$166,'TAR FIN'!$A$1:$O$85,15,0))</f>
        <v>0</v>
      </c>
      <c r="Y166" s="4">
        <f ca="1">('TUSD BE'!$AM$10+'TUSD BF'!$AM$10+'TUSD CVA'!$AM$10)*1</f>
        <v>23.236586763614469</v>
      </c>
      <c r="Z166" s="4"/>
      <c r="AA166" s="4"/>
      <c r="AB166" s="4">
        <f>$K$166*$V$166</f>
        <v>61386.12</v>
      </c>
      <c r="AC166" s="4">
        <f>$M$166*$W$166</f>
        <v>0</v>
      </c>
      <c r="AD166" s="4">
        <f>$O$166*$X$166</f>
        <v>0</v>
      </c>
      <c r="AE166" s="4">
        <f ca="1">$K$166*$Y$166</f>
        <v>70128.018852588459</v>
      </c>
      <c r="AF166" s="4">
        <f>$M$166*$Z$166</f>
        <v>0</v>
      </c>
      <c r="AG166" s="4">
        <f>$O$166*$AA$166</f>
        <v>0</v>
      </c>
    </row>
    <row r="167" spans="1:33" ht="11.25" customHeight="1" x14ac:dyDescent="0.3">
      <c r="A167" s="3" t="s">
        <v>27</v>
      </c>
      <c r="B167" s="3" t="s">
        <v>34</v>
      </c>
      <c r="C167" s="3" t="s">
        <v>38</v>
      </c>
      <c r="D167" s="3" t="s">
        <v>33</v>
      </c>
      <c r="E167" s="3" t="s">
        <v>25</v>
      </c>
      <c r="F167" s="3" t="s">
        <v>25</v>
      </c>
      <c r="G167" s="3" t="s">
        <v>25</v>
      </c>
      <c r="H167" s="3" t="s">
        <v>25</v>
      </c>
      <c r="I167" s="6">
        <v>44743</v>
      </c>
      <c r="J167" s="4">
        <v>470</v>
      </c>
      <c r="K167" s="4">
        <v>470</v>
      </c>
      <c r="L167" s="4">
        <v>0</v>
      </c>
      <c r="M167" s="4">
        <v>0</v>
      </c>
      <c r="N167" s="4">
        <v>0</v>
      </c>
      <c r="O167" s="4">
        <v>0</v>
      </c>
      <c r="P167" s="4">
        <v>3</v>
      </c>
      <c r="Q167" s="3" t="s">
        <v>26</v>
      </c>
      <c r="R167" s="3">
        <v>0</v>
      </c>
      <c r="S167" s="4">
        <v>5</v>
      </c>
      <c r="T167" s="4">
        <v>0</v>
      </c>
      <c r="U167" s="4">
        <v>0</v>
      </c>
      <c r="V167" s="4">
        <f>IF(ISERROR(VLOOKUP($S$167,'TAR FIN'!$A$1:$O$85,15,0)),0,VLOOKUP($S$167,'TAR FIN'!$A$1:$O$85,15,0))</f>
        <v>20.34</v>
      </c>
      <c r="W167" s="4">
        <f>IF(ISERROR(VLOOKUP($T$167,'TAR FIN'!$A$1:$O$85,15,0)),0,VLOOKUP($T$167,'TAR FIN'!$A$1:$O$85,15,0))</f>
        <v>0</v>
      </c>
      <c r="X167" s="4">
        <f>IF(ISERROR(VLOOKUP($U$167,'TAR FIN'!$A$1:$O$85,15,0)),0,VLOOKUP($U$167,'TAR FIN'!$A$1:$O$85,15,0))</f>
        <v>0</v>
      </c>
      <c r="Y167" s="4">
        <f ca="1">('TUSD BE'!$AM$10+'TUSD BF'!$AM$10+'TUSD CVA'!$AM$10)*1</f>
        <v>23.236586763614469</v>
      </c>
      <c r="Z167" s="4"/>
      <c r="AA167" s="4"/>
      <c r="AB167" s="4">
        <f>$K$167*$V$167</f>
        <v>9559.7999999999993</v>
      </c>
      <c r="AC167" s="4">
        <f>$M$167*$W$167</f>
        <v>0</v>
      </c>
      <c r="AD167" s="4">
        <f>$O$167*$X$167</f>
        <v>0</v>
      </c>
      <c r="AE167" s="4">
        <f ca="1">$K$167*$Y$167</f>
        <v>10921.1957788988</v>
      </c>
      <c r="AF167" s="4">
        <f>$M$167*$Z$167</f>
        <v>0</v>
      </c>
      <c r="AG167" s="4">
        <f>$O$167*$AA$167</f>
        <v>0</v>
      </c>
    </row>
    <row r="168" spans="1:33" ht="11.25" customHeight="1" x14ac:dyDescent="0.3">
      <c r="A168" s="3" t="s">
        <v>53</v>
      </c>
      <c r="B168" s="3" t="s">
        <v>34</v>
      </c>
      <c r="C168" s="3" t="s">
        <v>38</v>
      </c>
      <c r="D168" s="3" t="s">
        <v>33</v>
      </c>
      <c r="E168" s="3" t="s">
        <v>25</v>
      </c>
      <c r="F168" s="3" t="s">
        <v>25</v>
      </c>
      <c r="G168" s="3" t="s">
        <v>25</v>
      </c>
      <c r="H168" s="3" t="s">
        <v>25</v>
      </c>
      <c r="I168" s="6">
        <v>44774</v>
      </c>
      <c r="J168" s="4">
        <v>3018</v>
      </c>
      <c r="K168" s="4">
        <v>3018</v>
      </c>
      <c r="L168" s="4">
        <v>0</v>
      </c>
      <c r="M168" s="4">
        <v>0</v>
      </c>
      <c r="N168" s="4">
        <v>0</v>
      </c>
      <c r="O168" s="4">
        <v>0</v>
      </c>
      <c r="P168" s="4">
        <v>20</v>
      </c>
      <c r="Q168" s="3" t="s">
        <v>26</v>
      </c>
      <c r="R168" s="3">
        <v>0</v>
      </c>
      <c r="S168" s="4">
        <v>5</v>
      </c>
      <c r="T168" s="4">
        <v>0</v>
      </c>
      <c r="U168" s="4">
        <v>0</v>
      </c>
      <c r="V168" s="4">
        <f>IF(ISERROR(VLOOKUP($S$168,'TAR FIN'!$A$1:$O$85,15,0)),0,VLOOKUP($S$168,'TAR FIN'!$A$1:$O$85,15,0))</f>
        <v>20.34</v>
      </c>
      <c r="W168" s="4">
        <f>IF(ISERROR(VLOOKUP($T$168,'TAR FIN'!$A$1:$O$85,15,0)),0,VLOOKUP($T$168,'TAR FIN'!$A$1:$O$85,15,0))</f>
        <v>0</v>
      </c>
      <c r="X168" s="4">
        <f>IF(ISERROR(VLOOKUP($U$168,'TAR FIN'!$A$1:$O$85,15,0)),0,VLOOKUP($U$168,'TAR FIN'!$A$1:$O$85,15,0))</f>
        <v>0</v>
      </c>
      <c r="Y168" s="4">
        <f ca="1">('TUSD BE'!$AM$10+'TUSD BF'!$AM$10+'TUSD CVA'!$AM$10)*1</f>
        <v>23.236586763614469</v>
      </c>
      <c r="Z168" s="4"/>
      <c r="AA168" s="4"/>
      <c r="AB168" s="4">
        <f>$K$168*$V$168</f>
        <v>61386.12</v>
      </c>
      <c r="AC168" s="4">
        <f>$M$168*$W$168</f>
        <v>0</v>
      </c>
      <c r="AD168" s="4">
        <f>$O$168*$X$168</f>
        <v>0</v>
      </c>
      <c r="AE168" s="4">
        <f ca="1">$K$168*$Y$168</f>
        <v>70128.018852588459</v>
      </c>
      <c r="AF168" s="4">
        <f>$M$168*$Z$168</f>
        <v>0</v>
      </c>
      <c r="AG168" s="4">
        <f>$O$168*$AA$168</f>
        <v>0</v>
      </c>
    </row>
    <row r="169" spans="1:33" ht="11.25" customHeight="1" x14ac:dyDescent="0.3">
      <c r="A169" s="3" t="s">
        <v>53</v>
      </c>
      <c r="B169" s="3" t="s">
        <v>34</v>
      </c>
      <c r="C169" s="3" t="s">
        <v>38</v>
      </c>
      <c r="D169" s="3" t="s">
        <v>33</v>
      </c>
      <c r="E169" s="3" t="s">
        <v>25</v>
      </c>
      <c r="F169" s="3" t="s">
        <v>25</v>
      </c>
      <c r="G169" s="3" t="s">
        <v>25</v>
      </c>
      <c r="H169" s="3" t="s">
        <v>25</v>
      </c>
      <c r="I169" s="6">
        <v>44774</v>
      </c>
      <c r="J169" s="4">
        <v>470</v>
      </c>
      <c r="K169" s="4">
        <v>470</v>
      </c>
      <c r="L169" s="4">
        <v>0</v>
      </c>
      <c r="M169" s="4">
        <v>0</v>
      </c>
      <c r="N169" s="4">
        <v>0</v>
      </c>
      <c r="O169" s="4">
        <v>0</v>
      </c>
      <c r="P169" s="4">
        <v>3</v>
      </c>
      <c r="Q169" s="3" t="s">
        <v>26</v>
      </c>
      <c r="R169" s="3">
        <v>0</v>
      </c>
      <c r="S169" s="4">
        <v>5</v>
      </c>
      <c r="T169" s="4">
        <v>0</v>
      </c>
      <c r="U169" s="4">
        <v>0</v>
      </c>
      <c r="V169" s="4">
        <f>IF(ISERROR(VLOOKUP($S$169,'TAR FIN'!$A$1:$O$85,15,0)),0,VLOOKUP($S$169,'TAR FIN'!$A$1:$O$85,15,0))</f>
        <v>20.34</v>
      </c>
      <c r="W169" s="4">
        <f>IF(ISERROR(VLOOKUP($T$169,'TAR FIN'!$A$1:$O$85,15,0)),0,VLOOKUP($T$169,'TAR FIN'!$A$1:$O$85,15,0))</f>
        <v>0</v>
      </c>
      <c r="X169" s="4">
        <f>IF(ISERROR(VLOOKUP($U$169,'TAR FIN'!$A$1:$O$85,15,0)),0,VLOOKUP($U$169,'TAR FIN'!$A$1:$O$85,15,0))</f>
        <v>0</v>
      </c>
      <c r="Y169" s="4">
        <f ca="1">('TUSD BE'!$AM$10+'TUSD BF'!$AM$10+'TUSD CVA'!$AM$10)*1</f>
        <v>23.236586763614469</v>
      </c>
      <c r="Z169" s="4"/>
      <c r="AA169" s="4"/>
      <c r="AB169" s="4">
        <f>$K$169*$V$169</f>
        <v>9559.7999999999993</v>
      </c>
      <c r="AC169" s="4">
        <f>$M$169*$W$169</f>
        <v>0</v>
      </c>
      <c r="AD169" s="4">
        <f>$O$169*$X$169</f>
        <v>0</v>
      </c>
      <c r="AE169" s="4">
        <f ca="1">$K$169*$Y$169</f>
        <v>10921.1957788988</v>
      </c>
      <c r="AF169" s="4">
        <f>$M$169*$Z$169</f>
        <v>0</v>
      </c>
      <c r="AG169" s="4">
        <f>$O$169*$AA$169</f>
        <v>0</v>
      </c>
    </row>
    <row r="170" spans="1:33" ht="11.25" customHeight="1" x14ac:dyDescent="0.3">
      <c r="A170" s="3" t="s">
        <v>21</v>
      </c>
      <c r="B170" s="3" t="s">
        <v>34</v>
      </c>
      <c r="C170" s="3" t="s">
        <v>38</v>
      </c>
      <c r="D170" s="3" t="s">
        <v>33</v>
      </c>
      <c r="E170" s="3" t="s">
        <v>25</v>
      </c>
      <c r="F170" s="3" t="s">
        <v>25</v>
      </c>
      <c r="G170" s="3" t="s">
        <v>25</v>
      </c>
      <c r="H170" s="3" t="s">
        <v>36</v>
      </c>
      <c r="I170" s="6">
        <v>44440</v>
      </c>
      <c r="J170" s="4">
        <v>0</v>
      </c>
      <c r="K170" s="4">
        <v>0</v>
      </c>
      <c r="L170" s="4">
        <v>18.285</v>
      </c>
      <c r="M170" s="4">
        <v>18.285</v>
      </c>
      <c r="N170" s="4">
        <v>18.285</v>
      </c>
      <c r="O170" s="4">
        <v>18.285</v>
      </c>
      <c r="P170" s="4">
        <v>0</v>
      </c>
      <c r="Q170" s="3" t="s">
        <v>26</v>
      </c>
      <c r="R170" s="3">
        <v>0</v>
      </c>
      <c r="S170" s="4">
        <v>0</v>
      </c>
      <c r="T170" s="4">
        <v>13</v>
      </c>
      <c r="U170" s="4">
        <v>22</v>
      </c>
      <c r="V170" s="4">
        <f>IF(ISERROR(VLOOKUP($S$170,'TAR FIN'!$A$1:$O$85,15,0)),0,VLOOKUP($S$170,'TAR FIN'!$A$1:$O$85,15,0))</f>
        <v>0</v>
      </c>
      <c r="W170" s="4">
        <f>IF(ISERROR(VLOOKUP($T$170,'TAR FIN'!$A$1:$O$85,15,0)),0,VLOOKUP($T$170,'TAR FIN'!$A$1:$O$85,15,0))</f>
        <v>1624.27</v>
      </c>
      <c r="X170" s="4">
        <f>IF(ISERROR(VLOOKUP($U$170,'TAR FIN'!$A$1:$O$85,15,0)),0,VLOOKUP($U$170,'TAR FIN'!$A$1:$O$85,15,0))</f>
        <v>291.85000000000002</v>
      </c>
      <c r="Y170" s="4"/>
      <c r="Z170" s="4">
        <f ca="1">('TUSD BE'!$AM$11+'TUSD BF'!$AM$11+'TUSD CVA'!$AM$11)*1</f>
        <v>1640.7086985348694</v>
      </c>
      <c r="AA170" s="4">
        <f>('TE BE'!$AB$5+'TE BF'!$AB$5+'TE CVA'!$AB$5)*1</f>
        <v>213.77329191067864</v>
      </c>
      <c r="AB170" s="4">
        <f>$K$170*$V$170</f>
        <v>0</v>
      </c>
      <c r="AC170" s="4">
        <f>$M$170*$W$170</f>
        <v>29699.776949999999</v>
      </c>
      <c r="AD170" s="4">
        <f>$O$170*$X$170</f>
        <v>5336.4772500000008</v>
      </c>
      <c r="AE170" s="4">
        <f>$K$170*$Y$170</f>
        <v>0</v>
      </c>
      <c r="AF170" s="4">
        <f ca="1">$M$170*$Z$170</f>
        <v>30000.358552710088</v>
      </c>
      <c r="AG170" s="4">
        <f>$O$170*$AA$170</f>
        <v>3908.8446425867587</v>
      </c>
    </row>
    <row r="171" spans="1:33" ht="11.25" customHeight="1" x14ac:dyDescent="0.3">
      <c r="A171" s="3" t="s">
        <v>27</v>
      </c>
      <c r="B171" s="3" t="s">
        <v>34</v>
      </c>
      <c r="C171" s="3" t="s">
        <v>38</v>
      </c>
      <c r="D171" s="3" t="s">
        <v>33</v>
      </c>
      <c r="E171" s="3" t="s">
        <v>25</v>
      </c>
      <c r="F171" s="3" t="s">
        <v>25</v>
      </c>
      <c r="G171" s="3" t="s">
        <v>25</v>
      </c>
      <c r="H171" s="3" t="s">
        <v>36</v>
      </c>
      <c r="I171" s="6">
        <v>44440</v>
      </c>
      <c r="J171" s="4">
        <v>0</v>
      </c>
      <c r="K171" s="4">
        <v>0</v>
      </c>
      <c r="L171" s="4">
        <v>0.46100000000000002</v>
      </c>
      <c r="M171" s="4">
        <v>0.46100000000000002</v>
      </c>
      <c r="N171" s="4">
        <v>0.46100000000000002</v>
      </c>
      <c r="O171" s="4">
        <v>0.46100000000000002</v>
      </c>
      <c r="P171" s="4">
        <v>0</v>
      </c>
      <c r="Q171" s="3" t="s">
        <v>26</v>
      </c>
      <c r="R171" s="3">
        <v>0</v>
      </c>
      <c r="S171" s="4">
        <v>0</v>
      </c>
      <c r="T171" s="4">
        <v>13</v>
      </c>
      <c r="U171" s="4">
        <v>22</v>
      </c>
      <c r="V171" s="4">
        <f>IF(ISERROR(VLOOKUP($S$171,'TAR FIN'!$A$1:$O$85,15,0)),0,VLOOKUP($S$171,'TAR FIN'!$A$1:$O$85,15,0))</f>
        <v>0</v>
      </c>
      <c r="W171" s="4">
        <f>IF(ISERROR(VLOOKUP($T$171,'TAR FIN'!$A$1:$O$85,15,0)),0,VLOOKUP($T$171,'TAR FIN'!$A$1:$O$85,15,0))</f>
        <v>1624.27</v>
      </c>
      <c r="X171" s="4">
        <f>IF(ISERROR(VLOOKUP($U$171,'TAR FIN'!$A$1:$O$85,15,0)),0,VLOOKUP($U$171,'TAR FIN'!$A$1:$O$85,15,0))</f>
        <v>291.85000000000002</v>
      </c>
      <c r="Y171" s="4"/>
      <c r="Z171" s="4">
        <f ca="1">('TUSD BE'!$AM$11+'TUSD BF'!$AM$11+'TUSD CVA'!$AM$11)*1</f>
        <v>1640.7086985348694</v>
      </c>
      <c r="AA171" s="4">
        <f>('TE BE'!$AB$5+'TE BF'!$AB$5+'TE CVA'!$AB$5)*1</f>
        <v>213.77329191067864</v>
      </c>
      <c r="AB171" s="4">
        <f>$K$171*$V$171</f>
        <v>0</v>
      </c>
      <c r="AC171" s="4">
        <f>$M$171*$W$171</f>
        <v>748.78847000000007</v>
      </c>
      <c r="AD171" s="4">
        <f>$O$171*$X$171</f>
        <v>134.54285000000002</v>
      </c>
      <c r="AE171" s="4">
        <f>$K$171*$Y$171</f>
        <v>0</v>
      </c>
      <c r="AF171" s="4">
        <f ca="1">$M$171*$Z$171</f>
        <v>756.36671002457479</v>
      </c>
      <c r="AG171" s="4">
        <f>$O$171*$AA$171</f>
        <v>98.549487570822862</v>
      </c>
    </row>
    <row r="172" spans="1:33" ht="11.25" customHeight="1" x14ac:dyDescent="0.3">
      <c r="A172" s="3" t="s">
        <v>21</v>
      </c>
      <c r="B172" s="3" t="s">
        <v>34</v>
      </c>
      <c r="C172" s="3" t="s">
        <v>38</v>
      </c>
      <c r="D172" s="3" t="s">
        <v>33</v>
      </c>
      <c r="E172" s="3" t="s">
        <v>25</v>
      </c>
      <c r="F172" s="3" t="s">
        <v>25</v>
      </c>
      <c r="G172" s="3" t="s">
        <v>25</v>
      </c>
      <c r="H172" s="3" t="s">
        <v>36</v>
      </c>
      <c r="I172" s="6">
        <v>44470</v>
      </c>
      <c r="J172" s="4">
        <v>0</v>
      </c>
      <c r="K172" s="4">
        <v>0</v>
      </c>
      <c r="L172" s="4">
        <v>18.222999999999999</v>
      </c>
      <c r="M172" s="4">
        <v>18.222999999999999</v>
      </c>
      <c r="N172" s="4">
        <v>18.222999999999999</v>
      </c>
      <c r="O172" s="4">
        <v>18.222999999999999</v>
      </c>
      <c r="P172" s="4">
        <v>0</v>
      </c>
      <c r="Q172" s="3" t="s">
        <v>26</v>
      </c>
      <c r="R172" s="3">
        <v>0</v>
      </c>
      <c r="S172" s="4">
        <v>0</v>
      </c>
      <c r="T172" s="4">
        <v>13</v>
      </c>
      <c r="U172" s="4">
        <v>22</v>
      </c>
      <c r="V172" s="4">
        <f>IF(ISERROR(VLOOKUP($S$172,'TAR FIN'!$A$1:$O$85,15,0)),0,VLOOKUP($S$172,'TAR FIN'!$A$1:$O$85,15,0))</f>
        <v>0</v>
      </c>
      <c r="W172" s="4">
        <f>IF(ISERROR(VLOOKUP($T$172,'TAR FIN'!$A$1:$O$85,15,0)),0,VLOOKUP($T$172,'TAR FIN'!$A$1:$O$85,15,0))</f>
        <v>1624.27</v>
      </c>
      <c r="X172" s="4">
        <f>IF(ISERROR(VLOOKUP($U$172,'TAR FIN'!$A$1:$O$85,15,0)),0,VLOOKUP($U$172,'TAR FIN'!$A$1:$O$85,15,0))</f>
        <v>291.85000000000002</v>
      </c>
      <c r="Y172" s="4"/>
      <c r="Z172" s="4">
        <f ca="1">('TUSD BE'!$AM$11+'TUSD BF'!$AM$11+'TUSD CVA'!$AM$11)*1</f>
        <v>1640.7086985348694</v>
      </c>
      <c r="AA172" s="4">
        <f>('TE BE'!$AB$5+'TE BF'!$AB$5+'TE CVA'!$AB$5)*1</f>
        <v>213.77329191067864</v>
      </c>
      <c r="AB172" s="4">
        <f>$K$172*$V$172</f>
        <v>0</v>
      </c>
      <c r="AC172" s="4">
        <f>$M$172*$W$172</f>
        <v>29599.072209999998</v>
      </c>
      <c r="AD172" s="4">
        <f>$O$172*$X$172</f>
        <v>5318.3825500000003</v>
      </c>
      <c r="AE172" s="4">
        <f>$K$172*$Y$172</f>
        <v>0</v>
      </c>
      <c r="AF172" s="4">
        <f ca="1">$M$172*$Z$172</f>
        <v>29898.634613400925</v>
      </c>
      <c r="AG172" s="4">
        <f>$O$172*$AA$172</f>
        <v>3895.5906984882968</v>
      </c>
    </row>
    <row r="173" spans="1:33" ht="11.25" customHeight="1" x14ac:dyDescent="0.3">
      <c r="A173" s="3" t="s">
        <v>27</v>
      </c>
      <c r="B173" s="3" t="s">
        <v>34</v>
      </c>
      <c r="C173" s="3" t="s">
        <v>38</v>
      </c>
      <c r="D173" s="3" t="s">
        <v>33</v>
      </c>
      <c r="E173" s="3" t="s">
        <v>25</v>
      </c>
      <c r="F173" s="3" t="s">
        <v>25</v>
      </c>
      <c r="G173" s="3" t="s">
        <v>25</v>
      </c>
      <c r="H173" s="3" t="s">
        <v>36</v>
      </c>
      <c r="I173" s="6">
        <v>44470</v>
      </c>
      <c r="J173" s="4">
        <v>0</v>
      </c>
      <c r="K173" s="4">
        <v>0</v>
      </c>
      <c r="L173" s="4">
        <v>0.41399999999999998</v>
      </c>
      <c r="M173" s="4">
        <v>0.41399999999999998</v>
      </c>
      <c r="N173" s="4">
        <v>0.41399999999999998</v>
      </c>
      <c r="O173" s="4">
        <v>0.41399999999999998</v>
      </c>
      <c r="P173" s="4">
        <v>0</v>
      </c>
      <c r="Q173" s="3" t="s">
        <v>26</v>
      </c>
      <c r="R173" s="3">
        <v>0</v>
      </c>
      <c r="S173" s="4">
        <v>0</v>
      </c>
      <c r="T173" s="4">
        <v>13</v>
      </c>
      <c r="U173" s="4">
        <v>22</v>
      </c>
      <c r="V173" s="4">
        <f>IF(ISERROR(VLOOKUP($S$173,'TAR FIN'!$A$1:$O$85,15,0)),0,VLOOKUP($S$173,'TAR FIN'!$A$1:$O$85,15,0))</f>
        <v>0</v>
      </c>
      <c r="W173" s="4">
        <f>IF(ISERROR(VLOOKUP($T$173,'TAR FIN'!$A$1:$O$85,15,0)),0,VLOOKUP($T$173,'TAR FIN'!$A$1:$O$85,15,0))</f>
        <v>1624.27</v>
      </c>
      <c r="X173" s="4">
        <f>IF(ISERROR(VLOOKUP($U$173,'TAR FIN'!$A$1:$O$85,15,0)),0,VLOOKUP($U$173,'TAR FIN'!$A$1:$O$85,15,0))</f>
        <v>291.85000000000002</v>
      </c>
      <c r="Y173" s="4"/>
      <c r="Z173" s="4">
        <f ca="1">('TUSD BE'!$AM$11+'TUSD BF'!$AM$11+'TUSD CVA'!$AM$11)*1</f>
        <v>1640.7086985348694</v>
      </c>
      <c r="AA173" s="4">
        <f>('TE BE'!$AB$5+'TE BF'!$AB$5+'TE CVA'!$AB$5)*1</f>
        <v>213.77329191067864</v>
      </c>
      <c r="AB173" s="4">
        <f>$K$173*$V$173</f>
        <v>0</v>
      </c>
      <c r="AC173" s="4">
        <f>$M$173*$W$173</f>
        <v>672.44777999999997</v>
      </c>
      <c r="AD173" s="4">
        <f>$O$173*$X$173</f>
        <v>120.8259</v>
      </c>
      <c r="AE173" s="4">
        <f>$K$173*$Y$173</f>
        <v>0</v>
      </c>
      <c r="AF173" s="4">
        <f ca="1">$M$173*$Z$173</f>
        <v>679.25340119343593</v>
      </c>
      <c r="AG173" s="4">
        <f>$O$173*$AA$173</f>
        <v>88.502142851020949</v>
      </c>
    </row>
    <row r="174" spans="1:33" ht="11.25" customHeight="1" x14ac:dyDescent="0.3">
      <c r="A174" s="3" t="s">
        <v>21</v>
      </c>
      <c r="B174" s="3" t="s">
        <v>34</v>
      </c>
      <c r="C174" s="3" t="s">
        <v>38</v>
      </c>
      <c r="D174" s="3" t="s">
        <v>33</v>
      </c>
      <c r="E174" s="3" t="s">
        <v>25</v>
      </c>
      <c r="F174" s="3" t="s">
        <v>25</v>
      </c>
      <c r="G174" s="3" t="s">
        <v>25</v>
      </c>
      <c r="H174" s="3" t="s">
        <v>36</v>
      </c>
      <c r="I174" s="6">
        <v>44501</v>
      </c>
      <c r="J174" s="4">
        <v>0</v>
      </c>
      <c r="K174" s="4">
        <v>0</v>
      </c>
      <c r="L174" s="4">
        <v>17.599</v>
      </c>
      <c r="M174" s="4">
        <v>17.599</v>
      </c>
      <c r="N174" s="4">
        <v>17.599</v>
      </c>
      <c r="O174" s="4">
        <v>17.599</v>
      </c>
      <c r="P174" s="4">
        <v>0</v>
      </c>
      <c r="Q174" s="3" t="s">
        <v>26</v>
      </c>
      <c r="R174" s="3">
        <v>0</v>
      </c>
      <c r="S174" s="4">
        <v>0</v>
      </c>
      <c r="T174" s="4">
        <v>13</v>
      </c>
      <c r="U174" s="4">
        <v>22</v>
      </c>
      <c r="V174" s="4">
        <f>IF(ISERROR(VLOOKUP($S$174,'TAR FIN'!$A$1:$O$85,15,0)),0,VLOOKUP($S$174,'TAR FIN'!$A$1:$O$85,15,0))</f>
        <v>0</v>
      </c>
      <c r="W174" s="4">
        <f>IF(ISERROR(VLOOKUP($T$174,'TAR FIN'!$A$1:$O$85,15,0)),0,VLOOKUP($T$174,'TAR FIN'!$A$1:$O$85,15,0))</f>
        <v>1624.27</v>
      </c>
      <c r="X174" s="4">
        <f>IF(ISERROR(VLOOKUP($U$174,'TAR FIN'!$A$1:$O$85,15,0)),0,VLOOKUP($U$174,'TAR FIN'!$A$1:$O$85,15,0))</f>
        <v>291.85000000000002</v>
      </c>
      <c r="Y174" s="4"/>
      <c r="Z174" s="4">
        <f ca="1">('TUSD BE'!$AM$11+'TUSD BF'!$AM$11+'TUSD CVA'!$AM$11)*1</f>
        <v>1640.7086985348694</v>
      </c>
      <c r="AA174" s="4">
        <f>('TE BE'!$AB$5+'TE BF'!$AB$5+'TE CVA'!$AB$5)*1</f>
        <v>213.77329191067864</v>
      </c>
      <c r="AB174" s="4">
        <f>$K$174*$V$174</f>
        <v>0</v>
      </c>
      <c r="AC174" s="4">
        <f>$M$174*$W$174</f>
        <v>28585.527730000002</v>
      </c>
      <c r="AD174" s="4">
        <f>$O$174*$X$174</f>
        <v>5136.2681500000008</v>
      </c>
      <c r="AE174" s="4">
        <f>$K$174*$Y$174</f>
        <v>0</v>
      </c>
      <c r="AF174" s="4">
        <f ca="1">$M$174*$Z$174</f>
        <v>28874.832385515168</v>
      </c>
      <c r="AG174" s="4">
        <f>$O$174*$AA$174</f>
        <v>3762.1961643360332</v>
      </c>
    </row>
    <row r="175" spans="1:33" ht="11.25" customHeight="1" x14ac:dyDescent="0.3">
      <c r="A175" s="3" t="s">
        <v>27</v>
      </c>
      <c r="B175" s="3" t="s">
        <v>34</v>
      </c>
      <c r="C175" s="3" t="s">
        <v>38</v>
      </c>
      <c r="D175" s="3" t="s">
        <v>33</v>
      </c>
      <c r="E175" s="3" t="s">
        <v>25</v>
      </c>
      <c r="F175" s="3" t="s">
        <v>25</v>
      </c>
      <c r="G175" s="3" t="s">
        <v>25</v>
      </c>
      <c r="H175" s="3" t="s">
        <v>36</v>
      </c>
      <c r="I175" s="6">
        <v>44501</v>
      </c>
      <c r="J175" s="4">
        <v>0</v>
      </c>
      <c r="K175" s="4">
        <v>0</v>
      </c>
      <c r="L175" s="4">
        <v>8.9999999999999993E-3</v>
      </c>
      <c r="M175" s="4">
        <v>8.9999999999999993E-3</v>
      </c>
      <c r="N175" s="4">
        <v>8.9999999999999993E-3</v>
      </c>
      <c r="O175" s="4">
        <v>8.9999999999999993E-3</v>
      </c>
      <c r="P175" s="4">
        <v>0</v>
      </c>
      <c r="Q175" s="3" t="s">
        <v>26</v>
      </c>
      <c r="R175" s="3">
        <v>0</v>
      </c>
      <c r="S175" s="4">
        <v>0</v>
      </c>
      <c r="T175" s="4">
        <v>13</v>
      </c>
      <c r="U175" s="4">
        <v>22</v>
      </c>
      <c r="V175" s="4">
        <f>IF(ISERROR(VLOOKUP($S$175,'TAR FIN'!$A$1:$O$85,15,0)),0,VLOOKUP($S$175,'TAR FIN'!$A$1:$O$85,15,0))</f>
        <v>0</v>
      </c>
      <c r="W175" s="4">
        <f>IF(ISERROR(VLOOKUP($T$175,'TAR FIN'!$A$1:$O$85,15,0)),0,VLOOKUP($T$175,'TAR FIN'!$A$1:$O$85,15,0))</f>
        <v>1624.27</v>
      </c>
      <c r="X175" s="4">
        <f>IF(ISERROR(VLOOKUP($U$175,'TAR FIN'!$A$1:$O$85,15,0)),0,VLOOKUP($U$175,'TAR FIN'!$A$1:$O$85,15,0))</f>
        <v>291.85000000000002</v>
      </c>
      <c r="Y175" s="4"/>
      <c r="Z175" s="4">
        <f ca="1">('TUSD BE'!$AM$11+'TUSD BF'!$AM$11+'TUSD CVA'!$AM$11)*1</f>
        <v>1640.7086985348694</v>
      </c>
      <c r="AA175" s="4">
        <f>('TE BE'!$AB$5+'TE BF'!$AB$5+'TE CVA'!$AB$5)*1</f>
        <v>213.77329191067864</v>
      </c>
      <c r="AB175" s="4">
        <f>$K$175*$V$175</f>
        <v>0</v>
      </c>
      <c r="AC175" s="4">
        <f>$M$175*$W$175</f>
        <v>14.618429999999998</v>
      </c>
      <c r="AD175" s="4">
        <f>$O$175*$X$175</f>
        <v>2.6266500000000002</v>
      </c>
      <c r="AE175" s="4">
        <f>$K$175*$Y$175</f>
        <v>0</v>
      </c>
      <c r="AF175" s="4">
        <f ca="1">$M$175*$Z$175</f>
        <v>14.766378286813824</v>
      </c>
      <c r="AG175" s="4">
        <f>$O$175*$AA$175</f>
        <v>1.9239596271961077</v>
      </c>
    </row>
    <row r="176" spans="1:33" ht="11.25" customHeight="1" x14ac:dyDescent="0.3">
      <c r="A176" s="3" t="s">
        <v>21</v>
      </c>
      <c r="B176" s="3" t="s">
        <v>34</v>
      </c>
      <c r="C176" s="3" t="s">
        <v>38</v>
      </c>
      <c r="D176" s="3" t="s">
        <v>33</v>
      </c>
      <c r="E176" s="3" t="s">
        <v>25</v>
      </c>
      <c r="F176" s="3" t="s">
        <v>25</v>
      </c>
      <c r="G176" s="3" t="s">
        <v>25</v>
      </c>
      <c r="H176" s="3" t="s">
        <v>36</v>
      </c>
      <c r="I176" s="6">
        <v>44531</v>
      </c>
      <c r="J176" s="4">
        <v>0</v>
      </c>
      <c r="K176" s="4">
        <v>0</v>
      </c>
      <c r="L176" s="4">
        <v>18.041</v>
      </c>
      <c r="M176" s="4">
        <v>18.041</v>
      </c>
      <c r="N176" s="4">
        <v>18.041</v>
      </c>
      <c r="O176" s="4">
        <v>18.041</v>
      </c>
      <c r="P176" s="4">
        <v>0</v>
      </c>
      <c r="Q176" s="3" t="s">
        <v>26</v>
      </c>
      <c r="R176" s="3">
        <v>0</v>
      </c>
      <c r="S176" s="4">
        <v>0</v>
      </c>
      <c r="T176" s="4">
        <v>13</v>
      </c>
      <c r="U176" s="4">
        <v>22</v>
      </c>
      <c r="V176" s="4">
        <f>IF(ISERROR(VLOOKUP($S$176,'TAR FIN'!$A$1:$O$85,15,0)),0,VLOOKUP($S$176,'TAR FIN'!$A$1:$O$85,15,0))</f>
        <v>0</v>
      </c>
      <c r="W176" s="4">
        <f>IF(ISERROR(VLOOKUP($T$176,'TAR FIN'!$A$1:$O$85,15,0)),0,VLOOKUP($T$176,'TAR FIN'!$A$1:$O$85,15,0))</f>
        <v>1624.27</v>
      </c>
      <c r="X176" s="4">
        <f>IF(ISERROR(VLOOKUP($U$176,'TAR FIN'!$A$1:$O$85,15,0)),0,VLOOKUP($U$176,'TAR FIN'!$A$1:$O$85,15,0))</f>
        <v>291.85000000000002</v>
      </c>
      <c r="Y176" s="4"/>
      <c r="Z176" s="4">
        <f ca="1">('TUSD BE'!$AM$11+'TUSD BF'!$AM$11+'TUSD CVA'!$AM$11)*1</f>
        <v>1640.7086985348694</v>
      </c>
      <c r="AA176" s="4">
        <f>('TE BE'!$AB$5+'TE BF'!$AB$5+'TE CVA'!$AB$5)*1</f>
        <v>213.77329191067864</v>
      </c>
      <c r="AB176" s="4">
        <f>$K$176*$V$176</f>
        <v>0</v>
      </c>
      <c r="AC176" s="4">
        <f>$M$176*$W$176</f>
        <v>29303.45507</v>
      </c>
      <c r="AD176" s="4">
        <f>$O$176*$X$176</f>
        <v>5265.2658500000007</v>
      </c>
      <c r="AE176" s="4">
        <f>$K$176*$Y$176</f>
        <v>0</v>
      </c>
      <c r="AF176" s="4">
        <f ca="1">$M$176*$Z$176</f>
        <v>29600.025630267581</v>
      </c>
      <c r="AG176" s="4">
        <f>$O$176*$AA$176</f>
        <v>3856.6839593605532</v>
      </c>
    </row>
    <row r="177" spans="1:33" ht="11.25" customHeight="1" x14ac:dyDescent="0.3">
      <c r="A177" s="3" t="s">
        <v>27</v>
      </c>
      <c r="B177" s="3" t="s">
        <v>34</v>
      </c>
      <c r="C177" s="3" t="s">
        <v>38</v>
      </c>
      <c r="D177" s="3" t="s">
        <v>33</v>
      </c>
      <c r="E177" s="3" t="s">
        <v>25</v>
      </c>
      <c r="F177" s="3" t="s">
        <v>25</v>
      </c>
      <c r="G177" s="3" t="s">
        <v>25</v>
      </c>
      <c r="H177" s="3" t="s">
        <v>36</v>
      </c>
      <c r="I177" s="6">
        <v>44531</v>
      </c>
      <c r="J177" s="4">
        <v>0</v>
      </c>
      <c r="K177" s="4">
        <v>0</v>
      </c>
      <c r="L177" s="4">
        <v>0.66</v>
      </c>
      <c r="M177" s="4">
        <v>0.66</v>
      </c>
      <c r="N177" s="4">
        <v>0.66</v>
      </c>
      <c r="O177" s="4">
        <v>0.66</v>
      </c>
      <c r="P177" s="4">
        <v>0</v>
      </c>
      <c r="Q177" s="3" t="s">
        <v>26</v>
      </c>
      <c r="R177" s="3">
        <v>0</v>
      </c>
      <c r="S177" s="4">
        <v>0</v>
      </c>
      <c r="T177" s="4">
        <v>13</v>
      </c>
      <c r="U177" s="4">
        <v>22</v>
      </c>
      <c r="V177" s="4">
        <f>IF(ISERROR(VLOOKUP($S$177,'TAR FIN'!$A$1:$O$85,15,0)),0,VLOOKUP($S$177,'TAR FIN'!$A$1:$O$85,15,0))</f>
        <v>0</v>
      </c>
      <c r="W177" s="4">
        <f>IF(ISERROR(VLOOKUP($T$177,'TAR FIN'!$A$1:$O$85,15,0)),0,VLOOKUP($T$177,'TAR FIN'!$A$1:$O$85,15,0))</f>
        <v>1624.27</v>
      </c>
      <c r="X177" s="4">
        <f>IF(ISERROR(VLOOKUP($U$177,'TAR FIN'!$A$1:$O$85,15,0)),0,VLOOKUP($U$177,'TAR FIN'!$A$1:$O$85,15,0))</f>
        <v>291.85000000000002</v>
      </c>
      <c r="Y177" s="4"/>
      <c r="Z177" s="4">
        <f ca="1">('TUSD BE'!$AM$11+'TUSD BF'!$AM$11+'TUSD CVA'!$AM$11)*1</f>
        <v>1640.7086985348694</v>
      </c>
      <c r="AA177" s="4">
        <f>('TE BE'!$AB$5+'TE BF'!$AB$5+'TE CVA'!$AB$5)*1</f>
        <v>213.77329191067864</v>
      </c>
      <c r="AB177" s="4">
        <f>$K$177*$V$177</f>
        <v>0</v>
      </c>
      <c r="AC177" s="4">
        <f>$M$177*$W$177</f>
        <v>1072.0182</v>
      </c>
      <c r="AD177" s="4">
        <f>$O$177*$X$177</f>
        <v>192.62100000000004</v>
      </c>
      <c r="AE177" s="4">
        <f>$K$177*$Y$177</f>
        <v>0</v>
      </c>
      <c r="AF177" s="4">
        <f ca="1">$M$177*$Z$177</f>
        <v>1082.8677410330138</v>
      </c>
      <c r="AG177" s="4">
        <f>$O$177*$AA$177</f>
        <v>141.09037266104789</v>
      </c>
    </row>
    <row r="178" spans="1:33" ht="11.25" customHeight="1" x14ac:dyDescent="0.3">
      <c r="A178" s="3" t="s">
        <v>21</v>
      </c>
      <c r="B178" s="3" t="s">
        <v>34</v>
      </c>
      <c r="C178" s="3" t="s">
        <v>38</v>
      </c>
      <c r="D178" s="3" t="s">
        <v>33</v>
      </c>
      <c r="E178" s="3" t="s">
        <v>25</v>
      </c>
      <c r="F178" s="3" t="s">
        <v>25</v>
      </c>
      <c r="G178" s="3" t="s">
        <v>25</v>
      </c>
      <c r="H178" s="3" t="s">
        <v>36</v>
      </c>
      <c r="I178" s="6">
        <v>44562</v>
      </c>
      <c r="J178" s="4">
        <v>0</v>
      </c>
      <c r="K178" s="4">
        <v>0</v>
      </c>
      <c r="L178" s="4">
        <v>21.481000000000002</v>
      </c>
      <c r="M178" s="4">
        <v>21.481000000000002</v>
      </c>
      <c r="N178" s="4">
        <v>21.481000000000002</v>
      </c>
      <c r="O178" s="4">
        <v>21.481000000000002</v>
      </c>
      <c r="P178" s="4">
        <v>0</v>
      </c>
      <c r="Q178" s="3" t="s">
        <v>26</v>
      </c>
      <c r="R178" s="3">
        <v>0</v>
      </c>
      <c r="S178" s="4">
        <v>0</v>
      </c>
      <c r="T178" s="4">
        <v>13</v>
      </c>
      <c r="U178" s="4">
        <v>22</v>
      </c>
      <c r="V178" s="4">
        <f>IF(ISERROR(VLOOKUP($S$178,'TAR FIN'!$A$1:$O$85,15,0)),0,VLOOKUP($S$178,'TAR FIN'!$A$1:$O$85,15,0))</f>
        <v>0</v>
      </c>
      <c r="W178" s="4">
        <f>IF(ISERROR(VLOOKUP($T$178,'TAR FIN'!$A$1:$O$85,15,0)),0,VLOOKUP($T$178,'TAR FIN'!$A$1:$O$85,15,0))</f>
        <v>1624.27</v>
      </c>
      <c r="X178" s="4">
        <f>IF(ISERROR(VLOOKUP($U$178,'TAR FIN'!$A$1:$O$85,15,0)),0,VLOOKUP($U$178,'TAR FIN'!$A$1:$O$85,15,0))</f>
        <v>291.85000000000002</v>
      </c>
      <c r="Y178" s="4"/>
      <c r="Z178" s="4">
        <f ca="1">('TUSD BE'!$AM$11+'TUSD BF'!$AM$11+'TUSD CVA'!$AM$11)*1</f>
        <v>1640.7086985348694</v>
      </c>
      <c r="AA178" s="4">
        <f>('TE BE'!$AB$5+'TE BF'!$AB$5+'TE CVA'!$AB$5)*1</f>
        <v>213.77329191067864</v>
      </c>
      <c r="AB178" s="4">
        <f>$K$178*$V$178</f>
        <v>0</v>
      </c>
      <c r="AC178" s="4">
        <f>$M$178*$W$178</f>
        <v>34890.943870000003</v>
      </c>
      <c r="AD178" s="4">
        <f>$O$178*$X$178</f>
        <v>6269.2298500000006</v>
      </c>
      <c r="AE178" s="4">
        <f>$K$178*$Y$178</f>
        <v>0</v>
      </c>
      <c r="AF178" s="4">
        <f ca="1">$M$178*$Z$178</f>
        <v>35244.063553227534</v>
      </c>
      <c r="AG178" s="4">
        <f>$O$178*$AA$178</f>
        <v>4592.0640835332879</v>
      </c>
    </row>
    <row r="179" spans="1:33" ht="11.25" customHeight="1" x14ac:dyDescent="0.3">
      <c r="A179" s="3" t="s">
        <v>27</v>
      </c>
      <c r="B179" s="3" t="s">
        <v>34</v>
      </c>
      <c r="C179" s="3" t="s">
        <v>38</v>
      </c>
      <c r="D179" s="3" t="s">
        <v>33</v>
      </c>
      <c r="E179" s="3" t="s">
        <v>25</v>
      </c>
      <c r="F179" s="3" t="s">
        <v>25</v>
      </c>
      <c r="G179" s="3" t="s">
        <v>25</v>
      </c>
      <c r="H179" s="3" t="s">
        <v>36</v>
      </c>
      <c r="I179" s="6">
        <v>44562</v>
      </c>
      <c r="J179" s="4">
        <v>0</v>
      </c>
      <c r="K179" s="4">
        <v>0</v>
      </c>
      <c r="L179" s="4">
        <v>0.108</v>
      </c>
      <c r="M179" s="4">
        <v>0.108</v>
      </c>
      <c r="N179" s="4">
        <v>0.108</v>
      </c>
      <c r="O179" s="4">
        <v>0.108</v>
      </c>
      <c r="P179" s="4">
        <v>0</v>
      </c>
      <c r="Q179" s="3" t="s">
        <v>26</v>
      </c>
      <c r="R179" s="3">
        <v>0</v>
      </c>
      <c r="S179" s="4">
        <v>0</v>
      </c>
      <c r="T179" s="4">
        <v>13</v>
      </c>
      <c r="U179" s="4">
        <v>22</v>
      </c>
      <c r="V179" s="4">
        <f>IF(ISERROR(VLOOKUP($S$179,'TAR FIN'!$A$1:$O$85,15,0)),0,VLOOKUP($S$179,'TAR FIN'!$A$1:$O$85,15,0))</f>
        <v>0</v>
      </c>
      <c r="W179" s="4">
        <f>IF(ISERROR(VLOOKUP($T$179,'TAR FIN'!$A$1:$O$85,15,0)),0,VLOOKUP($T$179,'TAR FIN'!$A$1:$O$85,15,0))</f>
        <v>1624.27</v>
      </c>
      <c r="X179" s="4">
        <f>IF(ISERROR(VLOOKUP($U$179,'TAR FIN'!$A$1:$O$85,15,0)),0,VLOOKUP($U$179,'TAR FIN'!$A$1:$O$85,15,0))</f>
        <v>291.85000000000002</v>
      </c>
      <c r="Y179" s="4"/>
      <c r="Z179" s="4">
        <f ca="1">('TUSD BE'!$AM$11+'TUSD BF'!$AM$11+'TUSD CVA'!$AM$11)*1</f>
        <v>1640.7086985348694</v>
      </c>
      <c r="AA179" s="4">
        <f>('TE BE'!$AB$5+'TE BF'!$AB$5+'TE CVA'!$AB$5)*1</f>
        <v>213.77329191067864</v>
      </c>
      <c r="AB179" s="4">
        <f>$K$179*$V$179</f>
        <v>0</v>
      </c>
      <c r="AC179" s="4">
        <f>$M$179*$W$179</f>
        <v>175.42115999999999</v>
      </c>
      <c r="AD179" s="4">
        <f>$O$179*$X$179</f>
        <v>31.519800000000004</v>
      </c>
      <c r="AE179" s="4">
        <f>$K$179*$Y$179</f>
        <v>0</v>
      </c>
      <c r="AF179" s="4">
        <f ca="1">$M$179*$Z$179</f>
        <v>177.19653944176591</v>
      </c>
      <c r="AG179" s="4">
        <f>$O$179*$AA$179</f>
        <v>23.087515526353293</v>
      </c>
    </row>
    <row r="180" spans="1:33" ht="11.25" customHeight="1" x14ac:dyDescent="0.3">
      <c r="A180" s="3" t="s">
        <v>21</v>
      </c>
      <c r="B180" s="3" t="s">
        <v>34</v>
      </c>
      <c r="C180" s="3" t="s">
        <v>38</v>
      </c>
      <c r="D180" s="3" t="s">
        <v>33</v>
      </c>
      <c r="E180" s="3" t="s">
        <v>25</v>
      </c>
      <c r="F180" s="3" t="s">
        <v>25</v>
      </c>
      <c r="G180" s="3" t="s">
        <v>25</v>
      </c>
      <c r="H180" s="3" t="s">
        <v>36</v>
      </c>
      <c r="I180" s="6">
        <v>44593</v>
      </c>
      <c r="J180" s="4">
        <v>0</v>
      </c>
      <c r="K180" s="4">
        <v>0</v>
      </c>
      <c r="L180" s="4">
        <v>19.751999999999999</v>
      </c>
      <c r="M180" s="4">
        <v>19.751999999999999</v>
      </c>
      <c r="N180" s="4">
        <v>19.751999999999999</v>
      </c>
      <c r="O180" s="4">
        <v>19.751999999999999</v>
      </c>
      <c r="P180" s="4">
        <v>0</v>
      </c>
      <c r="Q180" s="3" t="s">
        <v>26</v>
      </c>
      <c r="R180" s="3">
        <v>0</v>
      </c>
      <c r="S180" s="4">
        <v>0</v>
      </c>
      <c r="T180" s="4">
        <v>13</v>
      </c>
      <c r="U180" s="4">
        <v>22</v>
      </c>
      <c r="V180" s="4">
        <f>IF(ISERROR(VLOOKUP($S$180,'TAR FIN'!$A$1:$O$85,15,0)),0,VLOOKUP($S$180,'TAR FIN'!$A$1:$O$85,15,0))</f>
        <v>0</v>
      </c>
      <c r="W180" s="4">
        <f>IF(ISERROR(VLOOKUP($T$180,'TAR FIN'!$A$1:$O$85,15,0)),0,VLOOKUP($T$180,'TAR FIN'!$A$1:$O$85,15,0))</f>
        <v>1624.27</v>
      </c>
      <c r="X180" s="4">
        <f>IF(ISERROR(VLOOKUP($U$180,'TAR FIN'!$A$1:$O$85,15,0)),0,VLOOKUP($U$180,'TAR FIN'!$A$1:$O$85,15,0))</f>
        <v>291.85000000000002</v>
      </c>
      <c r="Y180" s="4"/>
      <c r="Z180" s="4">
        <f ca="1">('TUSD BE'!$AM$11+'TUSD BF'!$AM$11+'TUSD CVA'!$AM$11)*1</f>
        <v>1640.7086985348694</v>
      </c>
      <c r="AA180" s="4">
        <f>('TE BE'!$AB$5+'TE BF'!$AB$5+'TE CVA'!$AB$5)*1</f>
        <v>213.77329191067864</v>
      </c>
      <c r="AB180" s="4">
        <f>$K$180*$V$180</f>
        <v>0</v>
      </c>
      <c r="AC180" s="4">
        <f>$M$180*$W$180</f>
        <v>32082.581039999997</v>
      </c>
      <c r="AD180" s="4">
        <f>$O$180*$X$180</f>
        <v>5764.6212000000005</v>
      </c>
      <c r="AE180" s="4">
        <f>$K$180*$Y$180</f>
        <v>0</v>
      </c>
      <c r="AF180" s="4">
        <f ca="1">$M$180*$Z$180</f>
        <v>32407.278213460741</v>
      </c>
      <c r="AG180" s="4">
        <f>$O$180*$AA$180</f>
        <v>4222.4500618197244</v>
      </c>
    </row>
    <row r="181" spans="1:33" ht="11.25" customHeight="1" x14ac:dyDescent="0.3">
      <c r="A181" s="3" t="s">
        <v>27</v>
      </c>
      <c r="B181" s="3" t="s">
        <v>34</v>
      </c>
      <c r="C181" s="3" t="s">
        <v>38</v>
      </c>
      <c r="D181" s="3" t="s">
        <v>33</v>
      </c>
      <c r="E181" s="3" t="s">
        <v>25</v>
      </c>
      <c r="F181" s="3" t="s">
        <v>25</v>
      </c>
      <c r="G181" s="3" t="s">
        <v>25</v>
      </c>
      <c r="H181" s="3" t="s">
        <v>36</v>
      </c>
      <c r="I181" s="6">
        <v>44593</v>
      </c>
      <c r="J181" s="4">
        <v>0</v>
      </c>
      <c r="K181" s="4">
        <v>0</v>
      </c>
      <c r="L181" s="4">
        <v>6.0000000000000001E-3</v>
      </c>
      <c r="M181" s="4">
        <v>6.0000000000000001E-3</v>
      </c>
      <c r="N181" s="4">
        <v>6.0000000000000001E-3</v>
      </c>
      <c r="O181" s="4">
        <v>6.0000000000000001E-3</v>
      </c>
      <c r="P181" s="4">
        <v>0</v>
      </c>
      <c r="Q181" s="3" t="s">
        <v>26</v>
      </c>
      <c r="R181" s="3">
        <v>0</v>
      </c>
      <c r="S181" s="4">
        <v>0</v>
      </c>
      <c r="T181" s="4">
        <v>13</v>
      </c>
      <c r="U181" s="4">
        <v>22</v>
      </c>
      <c r="V181" s="4">
        <f>IF(ISERROR(VLOOKUP($S$181,'TAR FIN'!$A$1:$O$85,15,0)),0,VLOOKUP($S$181,'TAR FIN'!$A$1:$O$85,15,0))</f>
        <v>0</v>
      </c>
      <c r="W181" s="4">
        <f>IF(ISERROR(VLOOKUP($T$181,'TAR FIN'!$A$1:$O$85,15,0)),0,VLOOKUP($T$181,'TAR FIN'!$A$1:$O$85,15,0))</f>
        <v>1624.27</v>
      </c>
      <c r="X181" s="4">
        <f>IF(ISERROR(VLOOKUP($U$181,'TAR FIN'!$A$1:$O$85,15,0)),0,VLOOKUP($U$181,'TAR FIN'!$A$1:$O$85,15,0))</f>
        <v>291.85000000000002</v>
      </c>
      <c r="Y181" s="4"/>
      <c r="Z181" s="4">
        <f ca="1">('TUSD BE'!$AM$11+'TUSD BF'!$AM$11+'TUSD CVA'!$AM$11)*1</f>
        <v>1640.7086985348694</v>
      </c>
      <c r="AA181" s="4">
        <f>('TE BE'!$AB$5+'TE BF'!$AB$5+'TE CVA'!$AB$5)*1</f>
        <v>213.77329191067864</v>
      </c>
      <c r="AB181" s="4">
        <f>$K$181*$V$181</f>
        <v>0</v>
      </c>
      <c r="AC181" s="4">
        <f>$M$181*$W$181</f>
        <v>9.7456200000000006</v>
      </c>
      <c r="AD181" s="4">
        <f>$O$181*$X$181</f>
        <v>1.7511000000000001</v>
      </c>
      <c r="AE181" s="4">
        <f>$K$181*$Y$181</f>
        <v>0</v>
      </c>
      <c r="AF181" s="4">
        <f ca="1">$M$181*$Z$181</f>
        <v>9.8442521912092165</v>
      </c>
      <c r="AG181" s="4">
        <f>$O$181*$AA$181</f>
        <v>1.2826397514640719</v>
      </c>
    </row>
    <row r="182" spans="1:33" ht="11.25" customHeight="1" x14ac:dyDescent="0.3">
      <c r="A182" s="3" t="s">
        <v>21</v>
      </c>
      <c r="B182" s="3" t="s">
        <v>34</v>
      </c>
      <c r="C182" s="3" t="s">
        <v>38</v>
      </c>
      <c r="D182" s="3" t="s">
        <v>33</v>
      </c>
      <c r="E182" s="3" t="s">
        <v>25</v>
      </c>
      <c r="F182" s="3" t="s">
        <v>25</v>
      </c>
      <c r="G182" s="3" t="s">
        <v>25</v>
      </c>
      <c r="H182" s="3" t="s">
        <v>36</v>
      </c>
      <c r="I182" s="6">
        <v>44621</v>
      </c>
      <c r="J182" s="4">
        <v>0</v>
      </c>
      <c r="K182" s="4">
        <v>0</v>
      </c>
      <c r="L182" s="4">
        <v>52.637999999999998</v>
      </c>
      <c r="M182" s="4">
        <v>52.637999999999998</v>
      </c>
      <c r="N182" s="4">
        <v>52.637999999999998</v>
      </c>
      <c r="O182" s="4">
        <v>52.637999999999998</v>
      </c>
      <c r="P182" s="4">
        <v>0</v>
      </c>
      <c r="Q182" s="3" t="s">
        <v>26</v>
      </c>
      <c r="R182" s="3">
        <v>0</v>
      </c>
      <c r="S182" s="4">
        <v>0</v>
      </c>
      <c r="T182" s="4">
        <v>13</v>
      </c>
      <c r="U182" s="4">
        <v>22</v>
      </c>
      <c r="V182" s="4">
        <f>IF(ISERROR(VLOOKUP($S$182,'TAR FIN'!$A$1:$O$85,15,0)),0,VLOOKUP($S$182,'TAR FIN'!$A$1:$O$85,15,0))</f>
        <v>0</v>
      </c>
      <c r="W182" s="4">
        <f>IF(ISERROR(VLOOKUP($T$182,'TAR FIN'!$A$1:$O$85,15,0)),0,VLOOKUP($T$182,'TAR FIN'!$A$1:$O$85,15,0))</f>
        <v>1624.27</v>
      </c>
      <c r="X182" s="4">
        <f>IF(ISERROR(VLOOKUP($U$182,'TAR FIN'!$A$1:$O$85,15,0)),0,VLOOKUP($U$182,'TAR FIN'!$A$1:$O$85,15,0))</f>
        <v>291.85000000000002</v>
      </c>
      <c r="Y182" s="4"/>
      <c r="Z182" s="4">
        <f ca="1">('TUSD BE'!$AM$11+'TUSD BF'!$AM$11+'TUSD CVA'!$AM$11)*1</f>
        <v>1640.7086985348694</v>
      </c>
      <c r="AA182" s="4">
        <f>('TE BE'!$AB$5+'TE BF'!$AB$5+'TE CVA'!$AB$5)*1</f>
        <v>213.77329191067864</v>
      </c>
      <c r="AB182" s="4">
        <f>$K$182*$V$182</f>
        <v>0</v>
      </c>
      <c r="AC182" s="4">
        <f>$M$182*$W$182</f>
        <v>85498.324259999994</v>
      </c>
      <c r="AD182" s="4">
        <f>$O$182*$X$182</f>
        <v>15362.400300000001</v>
      </c>
      <c r="AE182" s="4">
        <f>$K$182*$Y$182</f>
        <v>0</v>
      </c>
      <c r="AF182" s="4">
        <f ca="1">$M$182*$Z$182</f>
        <v>86363.624473478456</v>
      </c>
      <c r="AG182" s="4">
        <f>$O$182*$AA$182</f>
        <v>11252.598539594303</v>
      </c>
    </row>
    <row r="183" spans="1:33" ht="11.25" customHeight="1" x14ac:dyDescent="0.3">
      <c r="A183" s="3" t="s">
        <v>27</v>
      </c>
      <c r="B183" s="3" t="s">
        <v>34</v>
      </c>
      <c r="C183" s="3" t="s">
        <v>38</v>
      </c>
      <c r="D183" s="3" t="s">
        <v>33</v>
      </c>
      <c r="E183" s="3" t="s">
        <v>25</v>
      </c>
      <c r="F183" s="3" t="s">
        <v>25</v>
      </c>
      <c r="G183" s="3" t="s">
        <v>25</v>
      </c>
      <c r="H183" s="3" t="s">
        <v>36</v>
      </c>
      <c r="I183" s="6">
        <v>44621</v>
      </c>
      <c r="J183" s="4">
        <v>0</v>
      </c>
      <c r="K183" s="4">
        <v>0</v>
      </c>
      <c r="L183" s="4">
        <v>2.5999999999999999E-2</v>
      </c>
      <c r="M183" s="4">
        <v>2.5999999999999999E-2</v>
      </c>
      <c r="N183" s="4">
        <v>2.5999999999999999E-2</v>
      </c>
      <c r="O183" s="4">
        <v>2.5999999999999999E-2</v>
      </c>
      <c r="P183" s="4">
        <v>0</v>
      </c>
      <c r="Q183" s="3" t="s">
        <v>26</v>
      </c>
      <c r="R183" s="3">
        <v>0</v>
      </c>
      <c r="S183" s="4">
        <v>0</v>
      </c>
      <c r="T183" s="4">
        <v>13</v>
      </c>
      <c r="U183" s="4">
        <v>22</v>
      </c>
      <c r="V183" s="4">
        <f>IF(ISERROR(VLOOKUP($S$183,'TAR FIN'!$A$1:$O$85,15,0)),0,VLOOKUP($S$183,'TAR FIN'!$A$1:$O$85,15,0))</f>
        <v>0</v>
      </c>
      <c r="W183" s="4">
        <f>IF(ISERROR(VLOOKUP($T$183,'TAR FIN'!$A$1:$O$85,15,0)),0,VLOOKUP($T$183,'TAR FIN'!$A$1:$O$85,15,0))</f>
        <v>1624.27</v>
      </c>
      <c r="X183" s="4">
        <f>IF(ISERROR(VLOOKUP($U$183,'TAR FIN'!$A$1:$O$85,15,0)),0,VLOOKUP($U$183,'TAR FIN'!$A$1:$O$85,15,0))</f>
        <v>291.85000000000002</v>
      </c>
      <c r="Y183" s="4"/>
      <c r="Z183" s="4">
        <f ca="1">('TUSD BE'!$AM$11+'TUSD BF'!$AM$11+'TUSD CVA'!$AM$11)*1</f>
        <v>1640.7086985348694</v>
      </c>
      <c r="AA183" s="4">
        <f>('TE BE'!$AB$5+'TE BF'!$AB$5+'TE CVA'!$AB$5)*1</f>
        <v>213.77329191067864</v>
      </c>
      <c r="AB183" s="4">
        <f>$K$183*$V$183</f>
        <v>0</v>
      </c>
      <c r="AC183" s="4">
        <f>$M$183*$W$183</f>
        <v>42.231020000000001</v>
      </c>
      <c r="AD183" s="4">
        <f>$O$183*$X$183</f>
        <v>7.5880999999999998</v>
      </c>
      <c r="AE183" s="4">
        <f>$K$183*$Y$183</f>
        <v>0</v>
      </c>
      <c r="AF183" s="4">
        <f ca="1">$M$183*$Z$183</f>
        <v>42.658426161906604</v>
      </c>
      <c r="AG183" s="4">
        <f>$O$183*$AA$183</f>
        <v>5.5581055896776439</v>
      </c>
    </row>
    <row r="184" spans="1:33" ht="11.25" customHeight="1" x14ac:dyDescent="0.3">
      <c r="A184" s="3" t="s">
        <v>21</v>
      </c>
      <c r="B184" s="3" t="s">
        <v>34</v>
      </c>
      <c r="C184" s="3" t="s">
        <v>38</v>
      </c>
      <c r="D184" s="3" t="s">
        <v>33</v>
      </c>
      <c r="E184" s="3" t="s">
        <v>25</v>
      </c>
      <c r="F184" s="3" t="s">
        <v>25</v>
      </c>
      <c r="G184" s="3" t="s">
        <v>25</v>
      </c>
      <c r="H184" s="3" t="s">
        <v>36</v>
      </c>
      <c r="I184" s="6">
        <v>44652</v>
      </c>
      <c r="J184" s="4">
        <v>0</v>
      </c>
      <c r="K184" s="4">
        <v>0</v>
      </c>
      <c r="L184" s="4">
        <v>40.677</v>
      </c>
      <c r="M184" s="4">
        <v>40.677</v>
      </c>
      <c r="N184" s="4">
        <v>40.677</v>
      </c>
      <c r="O184" s="4">
        <v>40.677</v>
      </c>
      <c r="P184" s="4">
        <v>0</v>
      </c>
      <c r="Q184" s="3" t="s">
        <v>26</v>
      </c>
      <c r="R184" s="3">
        <v>0</v>
      </c>
      <c r="S184" s="4">
        <v>0</v>
      </c>
      <c r="T184" s="4">
        <v>13</v>
      </c>
      <c r="U184" s="4">
        <v>22</v>
      </c>
      <c r="V184" s="4">
        <f>IF(ISERROR(VLOOKUP($S$184,'TAR FIN'!$A$1:$O$85,15,0)),0,VLOOKUP($S$184,'TAR FIN'!$A$1:$O$85,15,0))</f>
        <v>0</v>
      </c>
      <c r="W184" s="4">
        <f>IF(ISERROR(VLOOKUP($T$184,'TAR FIN'!$A$1:$O$85,15,0)),0,VLOOKUP($T$184,'TAR FIN'!$A$1:$O$85,15,0))</f>
        <v>1624.27</v>
      </c>
      <c r="X184" s="4">
        <f>IF(ISERROR(VLOOKUP($U$184,'TAR FIN'!$A$1:$O$85,15,0)),0,VLOOKUP($U$184,'TAR FIN'!$A$1:$O$85,15,0))</f>
        <v>291.85000000000002</v>
      </c>
      <c r="Y184" s="4"/>
      <c r="Z184" s="4">
        <f ca="1">('TUSD BE'!$AM$11+'TUSD BF'!$AM$11+'TUSD CVA'!$AM$11)*1</f>
        <v>1640.7086985348694</v>
      </c>
      <c r="AA184" s="4">
        <f>('TE BE'!$AB$5+'TE BF'!$AB$5+'TE CVA'!$AB$5)*1</f>
        <v>213.77329191067864</v>
      </c>
      <c r="AB184" s="4">
        <f>$K$184*$V$184</f>
        <v>0</v>
      </c>
      <c r="AC184" s="4">
        <f>$M$184*$W$184</f>
        <v>66070.430789999999</v>
      </c>
      <c r="AD184" s="4">
        <f>$O$184*$X$184</f>
        <v>11871.582450000002</v>
      </c>
      <c r="AE184" s="4">
        <f>$K$184*$Y$184</f>
        <v>0</v>
      </c>
      <c r="AF184" s="4">
        <f ca="1">$M$184*$Z$184</f>
        <v>66739.107730302887</v>
      </c>
      <c r="AG184" s="4">
        <f>$O$184*$AA$184</f>
        <v>8695.6561950506748</v>
      </c>
    </row>
    <row r="185" spans="1:33" ht="11.25" customHeight="1" x14ac:dyDescent="0.3">
      <c r="A185" s="3" t="s">
        <v>27</v>
      </c>
      <c r="B185" s="3" t="s">
        <v>34</v>
      </c>
      <c r="C185" s="3" t="s">
        <v>38</v>
      </c>
      <c r="D185" s="3" t="s">
        <v>33</v>
      </c>
      <c r="E185" s="3" t="s">
        <v>25</v>
      </c>
      <c r="F185" s="3" t="s">
        <v>25</v>
      </c>
      <c r="G185" s="3" t="s">
        <v>25</v>
      </c>
      <c r="H185" s="3" t="s">
        <v>36</v>
      </c>
      <c r="I185" s="6">
        <v>44652</v>
      </c>
      <c r="J185" s="4">
        <v>0</v>
      </c>
      <c r="K185" s="4">
        <v>0</v>
      </c>
      <c r="L185" s="4">
        <v>0.151</v>
      </c>
      <c r="M185" s="4">
        <v>0.151</v>
      </c>
      <c r="N185" s="4">
        <v>0.151</v>
      </c>
      <c r="O185" s="4">
        <v>0.151</v>
      </c>
      <c r="P185" s="4">
        <v>0</v>
      </c>
      <c r="Q185" s="3" t="s">
        <v>26</v>
      </c>
      <c r="R185" s="3">
        <v>0</v>
      </c>
      <c r="S185" s="4">
        <v>0</v>
      </c>
      <c r="T185" s="4">
        <v>13</v>
      </c>
      <c r="U185" s="4">
        <v>22</v>
      </c>
      <c r="V185" s="4">
        <f>IF(ISERROR(VLOOKUP($S$185,'TAR FIN'!$A$1:$O$85,15,0)),0,VLOOKUP($S$185,'TAR FIN'!$A$1:$O$85,15,0))</f>
        <v>0</v>
      </c>
      <c r="W185" s="4">
        <f>IF(ISERROR(VLOOKUP($T$185,'TAR FIN'!$A$1:$O$85,15,0)),0,VLOOKUP($T$185,'TAR FIN'!$A$1:$O$85,15,0))</f>
        <v>1624.27</v>
      </c>
      <c r="X185" s="4">
        <f>IF(ISERROR(VLOOKUP($U$185,'TAR FIN'!$A$1:$O$85,15,0)),0,VLOOKUP($U$185,'TAR FIN'!$A$1:$O$85,15,0))</f>
        <v>291.85000000000002</v>
      </c>
      <c r="Y185" s="4"/>
      <c r="Z185" s="4">
        <f ca="1">('TUSD BE'!$AM$11+'TUSD BF'!$AM$11+'TUSD CVA'!$AM$11)*1</f>
        <v>1640.7086985348694</v>
      </c>
      <c r="AA185" s="4">
        <f>('TE BE'!$AB$5+'TE BF'!$AB$5+'TE CVA'!$AB$5)*1</f>
        <v>213.77329191067864</v>
      </c>
      <c r="AB185" s="4">
        <f>$K$185*$V$185</f>
        <v>0</v>
      </c>
      <c r="AC185" s="4">
        <f>$M$185*$W$185</f>
        <v>245.26477</v>
      </c>
      <c r="AD185" s="4">
        <f>$O$185*$X$185</f>
        <v>44.06935</v>
      </c>
      <c r="AE185" s="4">
        <f>$K$185*$Y$185</f>
        <v>0</v>
      </c>
      <c r="AF185" s="4">
        <f ca="1">$M$185*$Z$185</f>
        <v>247.74701347876527</v>
      </c>
      <c r="AG185" s="4">
        <f>$O$185*$AA$185</f>
        <v>32.279767078512471</v>
      </c>
    </row>
    <row r="186" spans="1:33" ht="11.25" customHeight="1" x14ac:dyDescent="0.3">
      <c r="A186" s="3" t="s">
        <v>21</v>
      </c>
      <c r="B186" s="3" t="s">
        <v>34</v>
      </c>
      <c r="C186" s="3" t="s">
        <v>38</v>
      </c>
      <c r="D186" s="3" t="s">
        <v>33</v>
      </c>
      <c r="E186" s="3" t="s">
        <v>25</v>
      </c>
      <c r="F186" s="3" t="s">
        <v>25</v>
      </c>
      <c r="G186" s="3" t="s">
        <v>25</v>
      </c>
      <c r="H186" s="3" t="s">
        <v>36</v>
      </c>
      <c r="I186" s="6">
        <v>44682</v>
      </c>
      <c r="J186" s="4">
        <v>0</v>
      </c>
      <c r="K186" s="4">
        <v>0</v>
      </c>
      <c r="L186" s="4">
        <v>16.521000000000001</v>
      </c>
      <c r="M186" s="4">
        <v>16.521000000000001</v>
      </c>
      <c r="N186" s="4">
        <v>16.521000000000001</v>
      </c>
      <c r="O186" s="4">
        <v>16.521000000000001</v>
      </c>
      <c r="P186" s="4">
        <v>0</v>
      </c>
      <c r="Q186" s="3" t="s">
        <v>26</v>
      </c>
      <c r="R186" s="3">
        <v>0</v>
      </c>
      <c r="S186" s="4">
        <v>0</v>
      </c>
      <c r="T186" s="4">
        <v>13</v>
      </c>
      <c r="U186" s="4">
        <v>22</v>
      </c>
      <c r="V186" s="4">
        <f>IF(ISERROR(VLOOKUP($S$186,'TAR FIN'!$A$1:$O$85,15,0)),0,VLOOKUP($S$186,'TAR FIN'!$A$1:$O$85,15,0))</f>
        <v>0</v>
      </c>
      <c r="W186" s="4">
        <f>IF(ISERROR(VLOOKUP($T$186,'TAR FIN'!$A$1:$O$85,15,0)),0,VLOOKUP($T$186,'TAR FIN'!$A$1:$O$85,15,0))</f>
        <v>1624.27</v>
      </c>
      <c r="X186" s="4">
        <f>IF(ISERROR(VLOOKUP($U$186,'TAR FIN'!$A$1:$O$85,15,0)),0,VLOOKUP($U$186,'TAR FIN'!$A$1:$O$85,15,0))</f>
        <v>291.85000000000002</v>
      </c>
      <c r="Y186" s="4"/>
      <c r="Z186" s="4">
        <f ca="1">('TUSD BE'!$AM$11+'TUSD BF'!$AM$11+'TUSD CVA'!$AM$11)*1</f>
        <v>1640.7086985348694</v>
      </c>
      <c r="AA186" s="4">
        <f>('TE BE'!$AB$5+'TE BF'!$AB$5+'TE CVA'!$AB$5)*1</f>
        <v>213.77329191067864</v>
      </c>
      <c r="AB186" s="4">
        <f>$K$186*$V$186</f>
        <v>0</v>
      </c>
      <c r="AC186" s="4">
        <f>$M$186*$W$186</f>
        <v>26834.56467</v>
      </c>
      <c r="AD186" s="4">
        <f>$O$186*$X$186</f>
        <v>4821.6538500000006</v>
      </c>
      <c r="AE186" s="4">
        <f>$K$186*$Y$186</f>
        <v>0</v>
      </c>
      <c r="AF186" s="4">
        <f ca="1">$M$186*$Z$186</f>
        <v>27106.148408494581</v>
      </c>
      <c r="AG186" s="4">
        <f>$O$186*$AA$186</f>
        <v>3531.748555656322</v>
      </c>
    </row>
    <row r="187" spans="1:33" ht="11.25" customHeight="1" x14ac:dyDescent="0.3">
      <c r="A187" s="3" t="s">
        <v>27</v>
      </c>
      <c r="B187" s="3" t="s">
        <v>34</v>
      </c>
      <c r="C187" s="3" t="s">
        <v>38</v>
      </c>
      <c r="D187" s="3" t="s">
        <v>33</v>
      </c>
      <c r="E187" s="3" t="s">
        <v>25</v>
      </c>
      <c r="F187" s="3" t="s">
        <v>25</v>
      </c>
      <c r="G187" s="3" t="s">
        <v>25</v>
      </c>
      <c r="H187" s="3" t="s">
        <v>36</v>
      </c>
      <c r="I187" s="6">
        <v>44682</v>
      </c>
      <c r="J187" s="4">
        <v>0</v>
      </c>
      <c r="K187" s="4">
        <v>0</v>
      </c>
      <c r="L187" s="4">
        <v>0.109</v>
      </c>
      <c r="M187" s="4">
        <v>0.109</v>
      </c>
      <c r="N187" s="4">
        <v>0.109</v>
      </c>
      <c r="O187" s="4">
        <v>0.109</v>
      </c>
      <c r="P187" s="4">
        <v>0</v>
      </c>
      <c r="Q187" s="3" t="s">
        <v>26</v>
      </c>
      <c r="R187" s="3">
        <v>0</v>
      </c>
      <c r="S187" s="4">
        <v>0</v>
      </c>
      <c r="T187" s="4">
        <v>13</v>
      </c>
      <c r="U187" s="4">
        <v>22</v>
      </c>
      <c r="V187" s="4">
        <f>IF(ISERROR(VLOOKUP($S$187,'TAR FIN'!$A$1:$O$85,15,0)),0,VLOOKUP($S$187,'TAR FIN'!$A$1:$O$85,15,0))</f>
        <v>0</v>
      </c>
      <c r="W187" s="4">
        <f>IF(ISERROR(VLOOKUP($T$187,'TAR FIN'!$A$1:$O$85,15,0)),0,VLOOKUP($T$187,'TAR FIN'!$A$1:$O$85,15,0))</f>
        <v>1624.27</v>
      </c>
      <c r="X187" s="4">
        <f>IF(ISERROR(VLOOKUP($U$187,'TAR FIN'!$A$1:$O$85,15,0)),0,VLOOKUP($U$187,'TAR FIN'!$A$1:$O$85,15,0))</f>
        <v>291.85000000000002</v>
      </c>
      <c r="Y187" s="4"/>
      <c r="Z187" s="4">
        <f ca="1">('TUSD BE'!$AM$11+'TUSD BF'!$AM$11+'TUSD CVA'!$AM$11)*1</f>
        <v>1640.7086985348694</v>
      </c>
      <c r="AA187" s="4">
        <f>('TE BE'!$AB$5+'TE BF'!$AB$5+'TE CVA'!$AB$5)*1</f>
        <v>213.77329191067864</v>
      </c>
      <c r="AB187" s="4">
        <f>$K$187*$V$187</f>
        <v>0</v>
      </c>
      <c r="AC187" s="4">
        <f>$M$187*$W$187</f>
        <v>177.04543000000001</v>
      </c>
      <c r="AD187" s="4">
        <f>$O$187*$X$187</f>
        <v>31.811650000000004</v>
      </c>
      <c r="AE187" s="4">
        <f>$K$187*$Y$187</f>
        <v>0</v>
      </c>
      <c r="AF187" s="4">
        <f ca="1">$M$187*$Z$187</f>
        <v>178.83724814030077</v>
      </c>
      <c r="AG187" s="4">
        <f>$O$187*$AA$187</f>
        <v>23.30128881826397</v>
      </c>
    </row>
    <row r="188" spans="1:33" ht="11.25" customHeight="1" x14ac:dyDescent="0.3">
      <c r="A188" s="3" t="s">
        <v>21</v>
      </c>
      <c r="B188" s="3" t="s">
        <v>34</v>
      </c>
      <c r="C188" s="3" t="s">
        <v>38</v>
      </c>
      <c r="D188" s="3" t="s">
        <v>33</v>
      </c>
      <c r="E188" s="3" t="s">
        <v>25</v>
      </c>
      <c r="F188" s="3" t="s">
        <v>25</v>
      </c>
      <c r="G188" s="3" t="s">
        <v>25</v>
      </c>
      <c r="H188" s="3" t="s">
        <v>36</v>
      </c>
      <c r="I188" s="6">
        <v>44713</v>
      </c>
      <c r="J188" s="4">
        <v>0</v>
      </c>
      <c r="K188" s="4">
        <v>0</v>
      </c>
      <c r="L188" s="4">
        <v>18.593</v>
      </c>
      <c r="M188" s="4">
        <v>18.593</v>
      </c>
      <c r="N188" s="4">
        <v>18.593</v>
      </c>
      <c r="O188" s="4">
        <v>18.593</v>
      </c>
      <c r="P188" s="4">
        <v>0</v>
      </c>
      <c r="Q188" s="3" t="s">
        <v>26</v>
      </c>
      <c r="R188" s="3">
        <v>0</v>
      </c>
      <c r="S188" s="4">
        <v>0</v>
      </c>
      <c r="T188" s="4">
        <v>13</v>
      </c>
      <c r="U188" s="4">
        <v>22</v>
      </c>
      <c r="V188" s="4">
        <f>IF(ISERROR(VLOOKUP($S$188,'TAR FIN'!$A$1:$O$85,15,0)),0,VLOOKUP($S$188,'TAR FIN'!$A$1:$O$85,15,0))</f>
        <v>0</v>
      </c>
      <c r="W188" s="4">
        <f>IF(ISERROR(VLOOKUP($T$188,'TAR FIN'!$A$1:$O$85,15,0)),0,VLOOKUP($T$188,'TAR FIN'!$A$1:$O$85,15,0))</f>
        <v>1624.27</v>
      </c>
      <c r="X188" s="4">
        <f>IF(ISERROR(VLOOKUP($U$188,'TAR FIN'!$A$1:$O$85,15,0)),0,VLOOKUP($U$188,'TAR FIN'!$A$1:$O$85,15,0))</f>
        <v>291.85000000000002</v>
      </c>
      <c r="Y188" s="4"/>
      <c r="Z188" s="4">
        <f ca="1">('TUSD BE'!$AM$11+'TUSD BF'!$AM$11+'TUSD CVA'!$AM$11)*1</f>
        <v>1640.7086985348694</v>
      </c>
      <c r="AA188" s="4">
        <f>('TE BE'!$AB$5+'TE BF'!$AB$5+'TE CVA'!$AB$5)*1</f>
        <v>213.77329191067864</v>
      </c>
      <c r="AB188" s="4">
        <f>$K$188*$V$188</f>
        <v>0</v>
      </c>
      <c r="AC188" s="4">
        <f>$M$188*$W$188</f>
        <v>30200.052110000001</v>
      </c>
      <c r="AD188" s="4">
        <f>$O$188*$X$188</f>
        <v>5426.3670500000007</v>
      </c>
      <c r="AE188" s="4">
        <f>$K$188*$Y$188</f>
        <v>0</v>
      </c>
      <c r="AF188" s="4">
        <f ca="1">$M$188*$Z$188</f>
        <v>30505.696831858826</v>
      </c>
      <c r="AG188" s="4">
        <f>$O$188*$AA$188</f>
        <v>3974.686816495248</v>
      </c>
    </row>
    <row r="189" spans="1:33" ht="11.25" customHeight="1" x14ac:dyDescent="0.3">
      <c r="A189" s="3" t="s">
        <v>27</v>
      </c>
      <c r="B189" s="3" t="s">
        <v>34</v>
      </c>
      <c r="C189" s="3" t="s">
        <v>38</v>
      </c>
      <c r="D189" s="3" t="s">
        <v>33</v>
      </c>
      <c r="E189" s="3" t="s">
        <v>25</v>
      </c>
      <c r="F189" s="3" t="s">
        <v>25</v>
      </c>
      <c r="G189" s="3" t="s">
        <v>25</v>
      </c>
      <c r="H189" s="3" t="s">
        <v>36</v>
      </c>
      <c r="I189" s="6">
        <v>44713</v>
      </c>
      <c r="J189" s="4">
        <v>0</v>
      </c>
      <c r="K189" s="4">
        <v>0</v>
      </c>
      <c r="L189" s="4">
        <v>1.546</v>
      </c>
      <c r="M189" s="4">
        <v>1.546</v>
      </c>
      <c r="N189" s="4">
        <v>1.546</v>
      </c>
      <c r="O189" s="4">
        <v>1.546</v>
      </c>
      <c r="P189" s="4">
        <v>0</v>
      </c>
      <c r="Q189" s="3" t="s">
        <v>26</v>
      </c>
      <c r="R189" s="3">
        <v>0</v>
      </c>
      <c r="S189" s="4">
        <v>0</v>
      </c>
      <c r="T189" s="4">
        <v>13</v>
      </c>
      <c r="U189" s="4">
        <v>22</v>
      </c>
      <c r="V189" s="4">
        <f>IF(ISERROR(VLOOKUP($S$189,'TAR FIN'!$A$1:$O$85,15,0)),0,VLOOKUP($S$189,'TAR FIN'!$A$1:$O$85,15,0))</f>
        <v>0</v>
      </c>
      <c r="W189" s="4">
        <f>IF(ISERROR(VLOOKUP($T$189,'TAR FIN'!$A$1:$O$85,15,0)),0,VLOOKUP($T$189,'TAR FIN'!$A$1:$O$85,15,0))</f>
        <v>1624.27</v>
      </c>
      <c r="X189" s="4">
        <f>IF(ISERROR(VLOOKUP($U$189,'TAR FIN'!$A$1:$O$85,15,0)),0,VLOOKUP($U$189,'TAR FIN'!$A$1:$O$85,15,0))</f>
        <v>291.85000000000002</v>
      </c>
      <c r="Y189" s="4"/>
      <c r="Z189" s="4">
        <f ca="1">('TUSD BE'!$AM$11+'TUSD BF'!$AM$11+'TUSD CVA'!$AM$11)*1</f>
        <v>1640.7086985348694</v>
      </c>
      <c r="AA189" s="4">
        <f>('TE BE'!$AB$5+'TE BF'!$AB$5+'TE CVA'!$AB$5)*1</f>
        <v>213.77329191067864</v>
      </c>
      <c r="AB189" s="4">
        <f>$K$189*$V$189</f>
        <v>0</v>
      </c>
      <c r="AC189" s="4">
        <f>$M$189*$W$189</f>
        <v>2511.1214199999999</v>
      </c>
      <c r="AD189" s="4">
        <f>$O$189*$X$189</f>
        <v>451.20010000000002</v>
      </c>
      <c r="AE189" s="4">
        <f>$K$189*$Y$189</f>
        <v>0</v>
      </c>
      <c r="AF189" s="4">
        <f ca="1">$M$189*$Z$189</f>
        <v>2536.5356479349084</v>
      </c>
      <c r="AG189" s="4">
        <f>$O$189*$AA$189</f>
        <v>330.4935092939092</v>
      </c>
    </row>
    <row r="190" spans="1:33" ht="11.25" customHeight="1" x14ac:dyDescent="0.3">
      <c r="A190" s="3" t="s">
        <v>21</v>
      </c>
      <c r="B190" s="3" t="s">
        <v>34</v>
      </c>
      <c r="C190" s="3" t="s">
        <v>38</v>
      </c>
      <c r="D190" s="3" t="s">
        <v>33</v>
      </c>
      <c r="E190" s="3" t="s">
        <v>25</v>
      </c>
      <c r="F190" s="3" t="s">
        <v>25</v>
      </c>
      <c r="G190" s="3" t="s">
        <v>25</v>
      </c>
      <c r="H190" s="3" t="s">
        <v>36</v>
      </c>
      <c r="I190" s="6">
        <v>44743</v>
      </c>
      <c r="J190" s="4">
        <v>0</v>
      </c>
      <c r="K190" s="4">
        <v>0</v>
      </c>
      <c r="L190" s="4">
        <v>21.867000000000001</v>
      </c>
      <c r="M190" s="4">
        <v>21.867000000000001</v>
      </c>
      <c r="N190" s="4">
        <v>21.867000000000001</v>
      </c>
      <c r="O190" s="4">
        <v>21.867000000000001</v>
      </c>
      <c r="P190" s="4">
        <v>0</v>
      </c>
      <c r="Q190" s="3" t="s">
        <v>26</v>
      </c>
      <c r="R190" s="3">
        <v>0</v>
      </c>
      <c r="S190" s="4">
        <v>0</v>
      </c>
      <c r="T190" s="4">
        <v>13</v>
      </c>
      <c r="U190" s="4">
        <v>22</v>
      </c>
      <c r="V190" s="4">
        <f>IF(ISERROR(VLOOKUP($S$190,'TAR FIN'!$A$1:$O$85,15,0)),0,VLOOKUP($S$190,'TAR FIN'!$A$1:$O$85,15,0))</f>
        <v>0</v>
      </c>
      <c r="W190" s="4">
        <f>IF(ISERROR(VLOOKUP($T$190,'TAR FIN'!$A$1:$O$85,15,0)),0,VLOOKUP($T$190,'TAR FIN'!$A$1:$O$85,15,0))</f>
        <v>1624.27</v>
      </c>
      <c r="X190" s="4">
        <f>IF(ISERROR(VLOOKUP($U$190,'TAR FIN'!$A$1:$O$85,15,0)),0,VLOOKUP($U$190,'TAR FIN'!$A$1:$O$85,15,0))</f>
        <v>291.85000000000002</v>
      </c>
      <c r="Y190" s="4"/>
      <c r="Z190" s="4">
        <f ca="1">('TUSD BE'!$AM$11+'TUSD BF'!$AM$11+'TUSD CVA'!$AM$11)*1</f>
        <v>1640.7086985348694</v>
      </c>
      <c r="AA190" s="4">
        <f>('TE BE'!$AB$5+'TE BF'!$AB$5+'TE CVA'!$AB$5)*1</f>
        <v>213.77329191067864</v>
      </c>
      <c r="AB190" s="4">
        <f>$K$190*$V$190</f>
        <v>0</v>
      </c>
      <c r="AC190" s="4">
        <f>$M$190*$W$190</f>
        <v>35517.912089999998</v>
      </c>
      <c r="AD190" s="4">
        <f>$O$190*$X$190</f>
        <v>6381.8839500000004</v>
      </c>
      <c r="AE190" s="4">
        <f>$K$190*$Y$190</f>
        <v>0</v>
      </c>
      <c r="AF190" s="4">
        <f ca="1">$M$190*$Z$190</f>
        <v>35877.377110861991</v>
      </c>
      <c r="AG190" s="4">
        <f>$O$190*$AA$190</f>
        <v>4674.5805742108096</v>
      </c>
    </row>
    <row r="191" spans="1:33" ht="11.25" customHeight="1" x14ac:dyDescent="0.3">
      <c r="A191" s="3" t="s">
        <v>27</v>
      </c>
      <c r="B191" s="3" t="s">
        <v>34</v>
      </c>
      <c r="C191" s="3" t="s">
        <v>38</v>
      </c>
      <c r="D191" s="3" t="s">
        <v>33</v>
      </c>
      <c r="E191" s="3" t="s">
        <v>25</v>
      </c>
      <c r="F191" s="3" t="s">
        <v>25</v>
      </c>
      <c r="G191" s="3" t="s">
        <v>25</v>
      </c>
      <c r="H191" s="3" t="s">
        <v>36</v>
      </c>
      <c r="I191" s="6">
        <v>44743</v>
      </c>
      <c r="J191" s="4">
        <v>0</v>
      </c>
      <c r="K191" s="4">
        <v>0</v>
      </c>
      <c r="L191" s="4">
        <v>1.397</v>
      </c>
      <c r="M191" s="4">
        <v>1.397</v>
      </c>
      <c r="N191" s="4">
        <v>1.397</v>
      </c>
      <c r="O191" s="4">
        <v>1.397</v>
      </c>
      <c r="P191" s="4">
        <v>0</v>
      </c>
      <c r="Q191" s="3" t="s">
        <v>26</v>
      </c>
      <c r="R191" s="3">
        <v>0</v>
      </c>
      <c r="S191" s="4">
        <v>0</v>
      </c>
      <c r="T191" s="4">
        <v>13</v>
      </c>
      <c r="U191" s="4">
        <v>22</v>
      </c>
      <c r="V191" s="4">
        <f>IF(ISERROR(VLOOKUP($S$191,'TAR FIN'!$A$1:$O$85,15,0)),0,VLOOKUP($S$191,'TAR FIN'!$A$1:$O$85,15,0))</f>
        <v>0</v>
      </c>
      <c r="W191" s="4">
        <f>IF(ISERROR(VLOOKUP($T$191,'TAR FIN'!$A$1:$O$85,15,0)),0,VLOOKUP($T$191,'TAR FIN'!$A$1:$O$85,15,0))</f>
        <v>1624.27</v>
      </c>
      <c r="X191" s="4">
        <f>IF(ISERROR(VLOOKUP($U$191,'TAR FIN'!$A$1:$O$85,15,0)),0,VLOOKUP($U$191,'TAR FIN'!$A$1:$O$85,15,0))</f>
        <v>291.85000000000002</v>
      </c>
      <c r="Y191" s="4"/>
      <c r="Z191" s="4">
        <f ca="1">('TUSD BE'!$AM$11+'TUSD BF'!$AM$11+'TUSD CVA'!$AM$11)*1</f>
        <v>1640.7086985348694</v>
      </c>
      <c r="AA191" s="4">
        <f>('TE BE'!$AB$5+'TE BF'!$AB$5+'TE CVA'!$AB$5)*1</f>
        <v>213.77329191067864</v>
      </c>
      <c r="AB191" s="4">
        <f>$K$191*$V$191</f>
        <v>0</v>
      </c>
      <c r="AC191" s="4">
        <f>$M$191*$W$191</f>
        <v>2269.1051900000002</v>
      </c>
      <c r="AD191" s="4">
        <f>$O$191*$X$191</f>
        <v>407.71445000000006</v>
      </c>
      <c r="AE191" s="4">
        <f>$K$191*$Y$191</f>
        <v>0</v>
      </c>
      <c r="AF191" s="4">
        <f ca="1">$M$191*$Z$191</f>
        <v>2292.0700518532126</v>
      </c>
      <c r="AG191" s="4">
        <f>$O$191*$AA$191</f>
        <v>298.64128879921805</v>
      </c>
    </row>
    <row r="192" spans="1:33" ht="11.25" customHeight="1" x14ac:dyDescent="0.3">
      <c r="A192" s="3" t="s">
        <v>53</v>
      </c>
      <c r="B192" s="3" t="s">
        <v>34</v>
      </c>
      <c r="C192" s="3" t="s">
        <v>38</v>
      </c>
      <c r="D192" s="3" t="s">
        <v>33</v>
      </c>
      <c r="E192" s="3" t="s">
        <v>25</v>
      </c>
      <c r="F192" s="3" t="s">
        <v>25</v>
      </c>
      <c r="G192" s="3" t="s">
        <v>25</v>
      </c>
      <c r="H192" s="3" t="s">
        <v>36</v>
      </c>
      <c r="I192" s="6">
        <v>44774</v>
      </c>
      <c r="J192" s="4">
        <v>0</v>
      </c>
      <c r="K192" s="4">
        <v>0</v>
      </c>
      <c r="L192" s="4">
        <v>21.867000000000001</v>
      </c>
      <c r="M192" s="4">
        <v>21.867000000000001</v>
      </c>
      <c r="N192" s="4">
        <v>21.867000000000001</v>
      </c>
      <c r="O192" s="4">
        <v>21.867000000000001</v>
      </c>
      <c r="P192" s="4">
        <v>0</v>
      </c>
      <c r="Q192" s="3" t="s">
        <v>26</v>
      </c>
      <c r="R192" s="3">
        <v>0</v>
      </c>
      <c r="S192" s="4">
        <v>0</v>
      </c>
      <c r="T192" s="4">
        <v>13</v>
      </c>
      <c r="U192" s="4">
        <v>22</v>
      </c>
      <c r="V192" s="4">
        <f>IF(ISERROR(VLOOKUP($S$192,'TAR FIN'!$A$1:$O$85,15,0)),0,VLOOKUP($S$192,'TAR FIN'!$A$1:$O$85,15,0))</f>
        <v>0</v>
      </c>
      <c r="W192" s="4">
        <f>IF(ISERROR(VLOOKUP($T$192,'TAR FIN'!$A$1:$O$85,15,0)),0,VLOOKUP($T$192,'TAR FIN'!$A$1:$O$85,15,0))</f>
        <v>1624.27</v>
      </c>
      <c r="X192" s="4">
        <f>IF(ISERROR(VLOOKUP($U$192,'TAR FIN'!$A$1:$O$85,15,0)),0,VLOOKUP($U$192,'TAR FIN'!$A$1:$O$85,15,0))</f>
        <v>291.85000000000002</v>
      </c>
      <c r="Y192" s="4"/>
      <c r="Z192" s="4">
        <f ca="1">('TUSD BE'!$AM$11+'TUSD BF'!$AM$11+'TUSD CVA'!$AM$11)*1</f>
        <v>1640.7086985348694</v>
      </c>
      <c r="AA192" s="4">
        <f>('TE BE'!$AB$5+'TE BF'!$AB$5+'TE CVA'!$AB$5)*1</f>
        <v>213.77329191067864</v>
      </c>
      <c r="AB192" s="4">
        <f>$K$192*$V$192</f>
        <v>0</v>
      </c>
      <c r="AC192" s="4">
        <f>$M$192*$W$192</f>
        <v>35517.912089999998</v>
      </c>
      <c r="AD192" s="4">
        <f>$O$192*$X$192</f>
        <v>6381.8839500000004</v>
      </c>
      <c r="AE192" s="4">
        <f>$K$192*$Y$192</f>
        <v>0</v>
      </c>
      <c r="AF192" s="4">
        <f ca="1">$M$192*$Z$192</f>
        <v>35877.377110861991</v>
      </c>
      <c r="AG192" s="4">
        <f>$O$192*$AA$192</f>
        <v>4674.5805742108096</v>
      </c>
    </row>
    <row r="193" spans="1:33" ht="11.25" customHeight="1" x14ac:dyDescent="0.3">
      <c r="A193" s="3" t="s">
        <v>53</v>
      </c>
      <c r="B193" s="3" t="s">
        <v>34</v>
      </c>
      <c r="C193" s="3" t="s">
        <v>38</v>
      </c>
      <c r="D193" s="3" t="s">
        <v>33</v>
      </c>
      <c r="E193" s="3" t="s">
        <v>25</v>
      </c>
      <c r="F193" s="3" t="s">
        <v>25</v>
      </c>
      <c r="G193" s="3" t="s">
        <v>25</v>
      </c>
      <c r="H193" s="3" t="s">
        <v>36</v>
      </c>
      <c r="I193" s="6">
        <v>44774</v>
      </c>
      <c r="J193" s="4">
        <v>0</v>
      </c>
      <c r="K193" s="4">
        <v>0</v>
      </c>
      <c r="L193" s="4">
        <v>1.397</v>
      </c>
      <c r="M193" s="4">
        <v>1.397</v>
      </c>
      <c r="N193" s="4">
        <v>1.397</v>
      </c>
      <c r="O193" s="4">
        <v>1.397</v>
      </c>
      <c r="P193" s="4">
        <v>0</v>
      </c>
      <c r="Q193" s="3" t="s">
        <v>26</v>
      </c>
      <c r="R193" s="3">
        <v>0</v>
      </c>
      <c r="S193" s="4">
        <v>0</v>
      </c>
      <c r="T193" s="4">
        <v>13</v>
      </c>
      <c r="U193" s="4">
        <v>22</v>
      </c>
      <c r="V193" s="4">
        <f>IF(ISERROR(VLOOKUP($S$193,'TAR FIN'!$A$1:$O$85,15,0)),0,VLOOKUP($S$193,'TAR FIN'!$A$1:$O$85,15,0))</f>
        <v>0</v>
      </c>
      <c r="W193" s="4">
        <f>IF(ISERROR(VLOOKUP($T$193,'TAR FIN'!$A$1:$O$85,15,0)),0,VLOOKUP($T$193,'TAR FIN'!$A$1:$O$85,15,0))</f>
        <v>1624.27</v>
      </c>
      <c r="X193" s="4">
        <f>IF(ISERROR(VLOOKUP($U$193,'TAR FIN'!$A$1:$O$85,15,0)),0,VLOOKUP($U$193,'TAR FIN'!$A$1:$O$85,15,0))</f>
        <v>291.85000000000002</v>
      </c>
      <c r="Y193" s="4"/>
      <c r="Z193" s="4">
        <f ca="1">('TUSD BE'!$AM$11+'TUSD BF'!$AM$11+'TUSD CVA'!$AM$11)*1</f>
        <v>1640.7086985348694</v>
      </c>
      <c r="AA193" s="4">
        <f>('TE BE'!$AB$5+'TE BF'!$AB$5+'TE CVA'!$AB$5)*1</f>
        <v>213.77329191067864</v>
      </c>
      <c r="AB193" s="4">
        <f>$K$193*$V$193</f>
        <v>0</v>
      </c>
      <c r="AC193" s="4">
        <f>$M$193*$W$193</f>
        <v>2269.1051900000002</v>
      </c>
      <c r="AD193" s="4">
        <f>$O$193*$X$193</f>
        <v>407.71445000000006</v>
      </c>
      <c r="AE193" s="4">
        <f>$K$193*$Y$193</f>
        <v>0</v>
      </c>
      <c r="AF193" s="4">
        <f ca="1">$M$193*$Z$193</f>
        <v>2292.0700518532126</v>
      </c>
      <c r="AG193" s="4">
        <f>$O$193*$AA$193</f>
        <v>298.64128879921805</v>
      </c>
    </row>
    <row r="194" spans="1:33" ht="11.25" customHeight="1" x14ac:dyDescent="0.3">
      <c r="A194" s="3" t="s">
        <v>27</v>
      </c>
      <c r="B194" s="3" t="s">
        <v>34</v>
      </c>
      <c r="C194" s="3" t="s">
        <v>38</v>
      </c>
      <c r="D194" s="3" t="s">
        <v>41</v>
      </c>
      <c r="E194" s="3" t="s">
        <v>25</v>
      </c>
      <c r="F194" s="3" t="s">
        <v>25</v>
      </c>
      <c r="G194" s="3" t="s">
        <v>25</v>
      </c>
      <c r="H194" s="3" t="s">
        <v>37</v>
      </c>
      <c r="I194" s="6">
        <v>44501</v>
      </c>
      <c r="J194" s="4">
        <v>0</v>
      </c>
      <c r="K194" s="52">
        <v>0</v>
      </c>
      <c r="L194" s="4">
        <v>2.306</v>
      </c>
      <c r="M194" s="52">
        <v>2.306</v>
      </c>
      <c r="N194" s="4">
        <v>2.306</v>
      </c>
      <c r="O194" s="52">
        <v>2.306</v>
      </c>
      <c r="P194" s="4">
        <v>0</v>
      </c>
      <c r="Q194" s="3" t="s">
        <v>26</v>
      </c>
      <c r="R194" s="3">
        <v>0</v>
      </c>
      <c r="S194" s="4">
        <v>0</v>
      </c>
      <c r="T194" s="4">
        <v>3</v>
      </c>
      <c r="U194" s="4">
        <v>62</v>
      </c>
      <c r="V194" s="52">
        <f>IF(ISERROR(VLOOKUP($S$194,'TAR FIN'!$A$1:$O$85,15,0)),0,VLOOKUP($S$194,'TAR FIN'!$A$1:$O$85,15,0))</f>
        <v>0</v>
      </c>
      <c r="W194" s="52">
        <f>IF(ISERROR(VLOOKUP($T$194,'TAR FIN'!$A$1:$O$85,15,0)),0,VLOOKUP($T$194,'TAR FIN'!$A$1:$O$85,15,0))*(1-0.04)</f>
        <v>77.500799999999998</v>
      </c>
      <c r="X194" s="52">
        <f>IF(ISERROR(VLOOKUP($U$194,'TAR FIN'!$A$1:$O$85,15,0)),0,VLOOKUP($U$194,'TAR FIN'!$A$1:$O$85,15,0))*(1-0.04)</f>
        <v>280.17599999999999</v>
      </c>
      <c r="Y194" s="52"/>
      <c r="Z194" s="52">
        <f ca="1">('TUSD BE'!$AM$12+'TUSD BF'!$AM$12+'TUSD CVA'!$AM$12)*1*(1-0.02)</f>
        <v>109.5106570584947</v>
      </c>
      <c r="AA194" s="52">
        <f>('TE BE'!$AB$6+'TE BF'!$AB$6+'TE CVA'!$AB$6)*1*(1-0.02)</f>
        <v>209.49782607246507</v>
      </c>
      <c r="AB194" s="4">
        <f>$K$194*$V$194</f>
        <v>0</v>
      </c>
      <c r="AC194" s="4">
        <f>$M$194*$W$194</f>
        <v>178.71684479999999</v>
      </c>
      <c r="AD194" s="4">
        <f>$O$194*$X$194</f>
        <v>646.08585600000004</v>
      </c>
      <c r="AE194" s="4">
        <f>$K$194*$Y$194</f>
        <v>0</v>
      </c>
      <c r="AF194" s="4">
        <f ca="1">$M$194*$Z$194</f>
        <v>252.53157517688879</v>
      </c>
      <c r="AG194" s="4">
        <f>$O$194*$AA$194</f>
        <v>483.10198692310445</v>
      </c>
    </row>
    <row r="195" spans="1:33" ht="11.25" customHeight="1" x14ac:dyDescent="0.3">
      <c r="A195" s="3" t="s">
        <v>27</v>
      </c>
      <c r="B195" s="3" t="s">
        <v>34</v>
      </c>
      <c r="C195" s="3" t="s">
        <v>38</v>
      </c>
      <c r="D195" s="3" t="s">
        <v>41</v>
      </c>
      <c r="E195" s="3" t="s">
        <v>25</v>
      </c>
      <c r="F195" s="3" t="s">
        <v>25</v>
      </c>
      <c r="G195" s="3" t="s">
        <v>25</v>
      </c>
      <c r="H195" s="3" t="s">
        <v>37</v>
      </c>
      <c r="I195" s="6">
        <v>44531</v>
      </c>
      <c r="J195" s="4">
        <v>0</v>
      </c>
      <c r="K195" s="52">
        <v>0</v>
      </c>
      <c r="L195" s="4">
        <v>7.25</v>
      </c>
      <c r="M195" s="52">
        <v>7.25</v>
      </c>
      <c r="N195" s="4">
        <v>7.25</v>
      </c>
      <c r="O195" s="52">
        <v>7.25</v>
      </c>
      <c r="P195" s="4">
        <v>0</v>
      </c>
      <c r="Q195" s="3" t="s">
        <v>26</v>
      </c>
      <c r="R195" s="3">
        <v>0</v>
      </c>
      <c r="S195" s="4">
        <v>0</v>
      </c>
      <c r="T195" s="4">
        <v>3</v>
      </c>
      <c r="U195" s="4">
        <v>62</v>
      </c>
      <c r="V195" s="52">
        <f>IF(ISERROR(VLOOKUP($S$195,'TAR FIN'!$A$1:$O$85,15,0)),0,VLOOKUP($S$195,'TAR FIN'!$A$1:$O$85,15,0))</f>
        <v>0</v>
      </c>
      <c r="W195" s="52">
        <f>IF(ISERROR(VLOOKUP($T$195,'TAR FIN'!$A$1:$O$85,15,0)),0,VLOOKUP($T$195,'TAR FIN'!$A$1:$O$85,15,0))*(1-0.04)</f>
        <v>77.500799999999998</v>
      </c>
      <c r="X195" s="52">
        <f>IF(ISERROR(VLOOKUP($U$195,'TAR FIN'!$A$1:$O$85,15,0)),0,VLOOKUP($U$195,'TAR FIN'!$A$1:$O$85,15,0))*(1-0.04)</f>
        <v>280.17599999999999</v>
      </c>
      <c r="Y195" s="52"/>
      <c r="Z195" s="52">
        <f ca="1">('TUSD BE'!$AM$12+'TUSD BF'!$AM$12+'TUSD CVA'!$AM$12)*1*(1-0.02)</f>
        <v>109.5106570584947</v>
      </c>
      <c r="AA195" s="52">
        <f>('TE BE'!$AB$6+'TE BF'!$AB$6+'TE CVA'!$AB$6)*1*(1-0.02)</f>
        <v>209.49782607246507</v>
      </c>
      <c r="AB195" s="4">
        <f>$K$195*$V$195</f>
        <v>0</v>
      </c>
      <c r="AC195" s="4">
        <f>$M$195*$W$195</f>
        <v>561.88080000000002</v>
      </c>
      <c r="AD195" s="4">
        <f>$O$195*$X$195</f>
        <v>2031.2759999999998</v>
      </c>
      <c r="AE195" s="4">
        <f>$K$195*$Y$195</f>
        <v>0</v>
      </c>
      <c r="AF195" s="4">
        <f ca="1">$M$195*$Z$195</f>
        <v>793.95226367408657</v>
      </c>
      <c r="AG195" s="4">
        <f>$O$195*$AA$195</f>
        <v>1518.8592390253718</v>
      </c>
    </row>
    <row r="196" spans="1:33" ht="11.25" customHeight="1" x14ac:dyDescent="0.3">
      <c r="A196" s="3" t="s">
        <v>27</v>
      </c>
      <c r="B196" s="3" t="s">
        <v>34</v>
      </c>
      <c r="C196" s="3" t="s">
        <v>38</v>
      </c>
      <c r="D196" s="3" t="s">
        <v>41</v>
      </c>
      <c r="E196" s="3" t="s">
        <v>25</v>
      </c>
      <c r="F196" s="3" t="s">
        <v>25</v>
      </c>
      <c r="G196" s="3" t="s">
        <v>25</v>
      </c>
      <c r="H196" s="3" t="s">
        <v>37</v>
      </c>
      <c r="I196" s="6">
        <v>44562</v>
      </c>
      <c r="J196" s="4">
        <v>0</v>
      </c>
      <c r="K196" s="52">
        <v>0</v>
      </c>
      <c r="L196" s="4">
        <v>12.491</v>
      </c>
      <c r="M196" s="52">
        <v>12.491</v>
      </c>
      <c r="N196" s="4">
        <v>12.491</v>
      </c>
      <c r="O196" s="52">
        <v>12.491</v>
      </c>
      <c r="P196" s="4">
        <v>0</v>
      </c>
      <c r="Q196" s="3" t="s">
        <v>26</v>
      </c>
      <c r="R196" s="3">
        <v>0</v>
      </c>
      <c r="S196" s="4">
        <v>0</v>
      </c>
      <c r="T196" s="4">
        <v>3</v>
      </c>
      <c r="U196" s="4">
        <v>62</v>
      </c>
      <c r="V196" s="52">
        <f>IF(ISERROR(VLOOKUP($S$196,'TAR FIN'!$A$1:$O$85,15,0)),0,VLOOKUP($S$196,'TAR FIN'!$A$1:$O$85,15,0))</f>
        <v>0</v>
      </c>
      <c r="W196" s="52">
        <f>IF(ISERROR(VLOOKUP($T$196,'TAR FIN'!$A$1:$O$85,15,0)),0,VLOOKUP($T$196,'TAR FIN'!$A$1:$O$85,15,0))*(1-0.04)</f>
        <v>77.500799999999998</v>
      </c>
      <c r="X196" s="52">
        <f>IF(ISERROR(VLOOKUP($U$196,'TAR FIN'!$A$1:$O$85,15,0)),0,VLOOKUP($U$196,'TAR FIN'!$A$1:$O$85,15,0))*(1-0.04)</f>
        <v>280.17599999999999</v>
      </c>
      <c r="Y196" s="52"/>
      <c r="Z196" s="52">
        <f ca="1">('TUSD BE'!$AM$12+'TUSD BF'!$AM$12+'TUSD CVA'!$AM$12)*1*(1-0.02)</f>
        <v>109.5106570584947</v>
      </c>
      <c r="AA196" s="52">
        <f>('TE BE'!$AB$6+'TE BF'!$AB$6+'TE CVA'!$AB$6)*1*(1-0.02)</f>
        <v>209.49782607246507</v>
      </c>
      <c r="AB196" s="4">
        <f>$K$196*$V$196</f>
        <v>0</v>
      </c>
      <c r="AC196" s="4">
        <f>$M$196*$W$196</f>
        <v>968.06249279999997</v>
      </c>
      <c r="AD196" s="4">
        <f>$O$196*$X$196</f>
        <v>3499.6784159999997</v>
      </c>
      <c r="AE196" s="4">
        <f>$K$196*$Y$196</f>
        <v>0</v>
      </c>
      <c r="AF196" s="4">
        <f ca="1">$M$196*$Z$196</f>
        <v>1367.8976173176573</v>
      </c>
      <c r="AG196" s="4">
        <f>$O$196*$AA$196</f>
        <v>2616.8373454711614</v>
      </c>
    </row>
    <row r="197" spans="1:33" ht="11.25" customHeight="1" x14ac:dyDescent="0.3">
      <c r="A197" s="3" t="s">
        <v>27</v>
      </c>
      <c r="B197" s="3" t="s">
        <v>34</v>
      </c>
      <c r="C197" s="3" t="s">
        <v>38</v>
      </c>
      <c r="D197" s="3" t="s">
        <v>41</v>
      </c>
      <c r="E197" s="3" t="s">
        <v>25</v>
      </c>
      <c r="F197" s="3" t="s">
        <v>25</v>
      </c>
      <c r="G197" s="3" t="s">
        <v>25</v>
      </c>
      <c r="H197" s="3" t="s">
        <v>37</v>
      </c>
      <c r="I197" s="6">
        <v>44593</v>
      </c>
      <c r="J197" s="4">
        <v>0</v>
      </c>
      <c r="K197" s="52">
        <v>0</v>
      </c>
      <c r="L197" s="4">
        <v>8.8330000000000002</v>
      </c>
      <c r="M197" s="52">
        <v>8.8330000000000002</v>
      </c>
      <c r="N197" s="4">
        <v>8.8330000000000002</v>
      </c>
      <c r="O197" s="52">
        <v>8.8330000000000002</v>
      </c>
      <c r="P197" s="4">
        <v>0</v>
      </c>
      <c r="Q197" s="3" t="s">
        <v>26</v>
      </c>
      <c r="R197" s="3">
        <v>0</v>
      </c>
      <c r="S197" s="4">
        <v>0</v>
      </c>
      <c r="T197" s="4">
        <v>3</v>
      </c>
      <c r="U197" s="4">
        <v>62</v>
      </c>
      <c r="V197" s="52">
        <f>IF(ISERROR(VLOOKUP($S$197,'TAR FIN'!$A$1:$O$85,15,0)),0,VLOOKUP($S$197,'TAR FIN'!$A$1:$O$85,15,0))</f>
        <v>0</v>
      </c>
      <c r="W197" s="52">
        <f>IF(ISERROR(VLOOKUP($T$197,'TAR FIN'!$A$1:$O$85,15,0)),0,VLOOKUP($T$197,'TAR FIN'!$A$1:$O$85,15,0))*(1-0.04)</f>
        <v>77.500799999999998</v>
      </c>
      <c r="X197" s="52">
        <f>IF(ISERROR(VLOOKUP($U$197,'TAR FIN'!$A$1:$O$85,15,0)),0,VLOOKUP($U$197,'TAR FIN'!$A$1:$O$85,15,0))*(1-0.04)</f>
        <v>280.17599999999999</v>
      </c>
      <c r="Y197" s="52"/>
      <c r="Z197" s="52">
        <f ca="1">('TUSD BE'!$AM$12+'TUSD BF'!$AM$12+'TUSD CVA'!$AM$12)*1*(1-0.02)</f>
        <v>109.5106570584947</v>
      </c>
      <c r="AA197" s="52">
        <f>('TE BE'!$AB$6+'TE BF'!$AB$6+'TE CVA'!$AB$6)*1*(1-0.02)</f>
        <v>209.49782607246507</v>
      </c>
      <c r="AB197" s="4">
        <f>$K$197*$V$197</f>
        <v>0</v>
      </c>
      <c r="AC197" s="4">
        <f>$M$197*$W$197</f>
        <v>684.56456639999999</v>
      </c>
      <c r="AD197" s="4">
        <f>$O$197*$X$197</f>
        <v>2474.7946080000002</v>
      </c>
      <c r="AE197" s="4">
        <f>$K$197*$Y$197</f>
        <v>0</v>
      </c>
      <c r="AF197" s="4">
        <f ca="1">$M$197*$Z$197</f>
        <v>967.30763379768371</v>
      </c>
      <c r="AG197" s="4">
        <f>$O$197*$AA$197</f>
        <v>1850.494297698084</v>
      </c>
    </row>
    <row r="198" spans="1:33" ht="11.25" customHeight="1" x14ac:dyDescent="0.3">
      <c r="A198" s="3" t="s">
        <v>27</v>
      </c>
      <c r="B198" s="3" t="s">
        <v>34</v>
      </c>
      <c r="C198" s="3" t="s">
        <v>38</v>
      </c>
      <c r="D198" s="3" t="s">
        <v>41</v>
      </c>
      <c r="E198" s="3" t="s">
        <v>25</v>
      </c>
      <c r="F198" s="3" t="s">
        <v>25</v>
      </c>
      <c r="G198" s="3" t="s">
        <v>25</v>
      </c>
      <c r="H198" s="3" t="s">
        <v>37</v>
      </c>
      <c r="I198" s="6">
        <v>44621</v>
      </c>
      <c r="J198" s="4">
        <v>0</v>
      </c>
      <c r="K198" s="52">
        <v>0</v>
      </c>
      <c r="L198" s="4">
        <v>12.132999999999999</v>
      </c>
      <c r="M198" s="52">
        <v>12.132999999999999</v>
      </c>
      <c r="N198" s="4">
        <v>12.132999999999999</v>
      </c>
      <c r="O198" s="52">
        <v>12.132999999999999</v>
      </c>
      <c r="P198" s="4">
        <v>0</v>
      </c>
      <c r="Q198" s="3" t="s">
        <v>26</v>
      </c>
      <c r="R198" s="3">
        <v>0</v>
      </c>
      <c r="S198" s="4">
        <v>0</v>
      </c>
      <c r="T198" s="4">
        <v>3</v>
      </c>
      <c r="U198" s="4">
        <v>62</v>
      </c>
      <c r="V198" s="52">
        <f>IF(ISERROR(VLOOKUP($S$198,'TAR FIN'!$A$1:$O$85,15,0)),0,VLOOKUP($S$198,'TAR FIN'!$A$1:$O$85,15,0))</f>
        <v>0</v>
      </c>
      <c r="W198" s="52">
        <f>IF(ISERROR(VLOOKUP($T$198,'TAR FIN'!$A$1:$O$85,15,0)),0,VLOOKUP($T$198,'TAR FIN'!$A$1:$O$85,15,0))*(1-0.04)</f>
        <v>77.500799999999998</v>
      </c>
      <c r="X198" s="52">
        <f>IF(ISERROR(VLOOKUP($U$198,'TAR FIN'!$A$1:$O$85,15,0)),0,VLOOKUP($U$198,'TAR FIN'!$A$1:$O$85,15,0))*(1-0.04)</f>
        <v>280.17599999999999</v>
      </c>
      <c r="Y198" s="52"/>
      <c r="Z198" s="52">
        <f ca="1">('TUSD BE'!$AM$12+'TUSD BF'!$AM$12+'TUSD CVA'!$AM$12)*1*(1-0.02)</f>
        <v>109.5106570584947</v>
      </c>
      <c r="AA198" s="52">
        <f>('TE BE'!$AB$6+'TE BF'!$AB$6+'TE CVA'!$AB$6)*1*(1-0.02)</f>
        <v>209.49782607246507</v>
      </c>
      <c r="AB198" s="4">
        <f>$K$198*$V$198</f>
        <v>0</v>
      </c>
      <c r="AC198" s="4">
        <f>$M$198*$W$198</f>
        <v>940.31720639999992</v>
      </c>
      <c r="AD198" s="4">
        <f>$O$198*$X$198</f>
        <v>3399.3754079999994</v>
      </c>
      <c r="AE198" s="4">
        <f>$K$198*$Y$198</f>
        <v>0</v>
      </c>
      <c r="AF198" s="4">
        <f ca="1">$M$198*$Z$198</f>
        <v>1328.6928020907162</v>
      </c>
      <c r="AG198" s="4">
        <f>$O$198*$AA$198</f>
        <v>2541.8371237372185</v>
      </c>
    </row>
    <row r="199" spans="1:33" ht="11.25" customHeight="1" x14ac:dyDescent="0.3">
      <c r="A199" s="3" t="s">
        <v>27</v>
      </c>
      <c r="B199" s="3" t="s">
        <v>34</v>
      </c>
      <c r="C199" s="3" t="s">
        <v>38</v>
      </c>
      <c r="D199" s="3" t="s">
        <v>41</v>
      </c>
      <c r="E199" s="3" t="s">
        <v>25</v>
      </c>
      <c r="F199" s="3" t="s">
        <v>25</v>
      </c>
      <c r="G199" s="3" t="s">
        <v>25</v>
      </c>
      <c r="H199" s="3" t="s">
        <v>37</v>
      </c>
      <c r="I199" s="6">
        <v>44652</v>
      </c>
      <c r="J199" s="4">
        <v>0</v>
      </c>
      <c r="K199" s="52">
        <v>0</v>
      </c>
      <c r="L199" s="4">
        <v>9.8719999999999999</v>
      </c>
      <c r="M199" s="52">
        <v>9.8719999999999999</v>
      </c>
      <c r="N199" s="4">
        <v>9.8719999999999999</v>
      </c>
      <c r="O199" s="52">
        <v>9.8719999999999999</v>
      </c>
      <c r="P199" s="4">
        <v>0</v>
      </c>
      <c r="Q199" s="3" t="s">
        <v>26</v>
      </c>
      <c r="R199" s="3">
        <v>0</v>
      </c>
      <c r="S199" s="4">
        <v>0</v>
      </c>
      <c r="T199" s="4">
        <v>3</v>
      </c>
      <c r="U199" s="4">
        <v>62</v>
      </c>
      <c r="V199" s="52">
        <f>IF(ISERROR(VLOOKUP($S$199,'TAR FIN'!$A$1:$O$85,15,0)),0,VLOOKUP($S$199,'TAR FIN'!$A$1:$O$85,15,0))</f>
        <v>0</v>
      </c>
      <c r="W199" s="52">
        <f>IF(ISERROR(VLOOKUP($T$199,'TAR FIN'!$A$1:$O$85,15,0)),0,VLOOKUP($T$199,'TAR FIN'!$A$1:$O$85,15,0))*(1-0.04)</f>
        <v>77.500799999999998</v>
      </c>
      <c r="X199" s="52">
        <f>IF(ISERROR(VLOOKUP($U$199,'TAR FIN'!$A$1:$O$85,15,0)),0,VLOOKUP($U$199,'TAR FIN'!$A$1:$O$85,15,0))*(1-0.04)</f>
        <v>280.17599999999999</v>
      </c>
      <c r="Y199" s="52"/>
      <c r="Z199" s="52">
        <f ca="1">('TUSD BE'!$AM$12+'TUSD BF'!$AM$12+'TUSD CVA'!$AM$12)*1*(1-0.02)</f>
        <v>109.5106570584947</v>
      </c>
      <c r="AA199" s="52">
        <f>('TE BE'!$AB$6+'TE BF'!$AB$6+'TE CVA'!$AB$6)*1*(1-0.02)</f>
        <v>209.49782607246507</v>
      </c>
      <c r="AB199" s="4">
        <f>$K$199*$V$199</f>
        <v>0</v>
      </c>
      <c r="AC199" s="4">
        <f>$M$199*$W$199</f>
        <v>765.08789760000002</v>
      </c>
      <c r="AD199" s="4">
        <f>$O$199*$X$199</f>
        <v>2765.8974719999997</v>
      </c>
      <c r="AE199" s="4">
        <f>$K$199*$Y$199</f>
        <v>0</v>
      </c>
      <c r="AF199" s="4">
        <f ca="1">$M$199*$Z$199</f>
        <v>1081.0892064814598</v>
      </c>
      <c r="AG199" s="4">
        <f>$O$199*$AA$199</f>
        <v>2068.1625389873752</v>
      </c>
    </row>
    <row r="200" spans="1:33" ht="11.25" customHeight="1" x14ac:dyDescent="0.3">
      <c r="A200" s="3" t="s">
        <v>27</v>
      </c>
      <c r="B200" s="3" t="s">
        <v>34</v>
      </c>
      <c r="C200" s="3" t="s">
        <v>38</v>
      </c>
      <c r="D200" s="3" t="s">
        <v>41</v>
      </c>
      <c r="E200" s="3" t="s">
        <v>25</v>
      </c>
      <c r="F200" s="3" t="s">
        <v>25</v>
      </c>
      <c r="G200" s="3" t="s">
        <v>25</v>
      </c>
      <c r="H200" s="3" t="s">
        <v>37</v>
      </c>
      <c r="I200" s="6">
        <v>44682</v>
      </c>
      <c r="J200" s="4">
        <v>0</v>
      </c>
      <c r="K200" s="52">
        <v>0</v>
      </c>
      <c r="L200" s="4">
        <v>7.1609999999999996</v>
      </c>
      <c r="M200" s="52">
        <v>7.1609999999999996</v>
      </c>
      <c r="N200" s="4">
        <v>7.1609999999999996</v>
      </c>
      <c r="O200" s="52">
        <v>7.1609999999999996</v>
      </c>
      <c r="P200" s="4">
        <v>0</v>
      </c>
      <c r="Q200" s="3" t="s">
        <v>26</v>
      </c>
      <c r="R200" s="3">
        <v>0</v>
      </c>
      <c r="S200" s="4">
        <v>0</v>
      </c>
      <c r="T200" s="4">
        <v>3</v>
      </c>
      <c r="U200" s="4">
        <v>62</v>
      </c>
      <c r="V200" s="52">
        <f>IF(ISERROR(VLOOKUP($S$200,'TAR FIN'!$A$1:$O$85,15,0)),0,VLOOKUP($S$200,'TAR FIN'!$A$1:$O$85,15,0))</f>
        <v>0</v>
      </c>
      <c r="W200" s="52">
        <f>IF(ISERROR(VLOOKUP($T$200,'TAR FIN'!$A$1:$O$85,15,0)),0,VLOOKUP($T$200,'TAR FIN'!$A$1:$O$85,15,0))*(1-0.04)</f>
        <v>77.500799999999998</v>
      </c>
      <c r="X200" s="52">
        <f>IF(ISERROR(VLOOKUP($U$200,'TAR FIN'!$A$1:$O$85,15,0)),0,VLOOKUP($U$200,'TAR FIN'!$A$1:$O$85,15,0))*(1-0.04)</f>
        <v>280.17599999999999</v>
      </c>
      <c r="Y200" s="52"/>
      <c r="Z200" s="52">
        <f ca="1">('TUSD BE'!$AM$12+'TUSD BF'!$AM$12+'TUSD CVA'!$AM$12)*1*(1-0.02)</f>
        <v>109.5106570584947</v>
      </c>
      <c r="AA200" s="52">
        <f>('TE BE'!$AB$6+'TE BF'!$AB$6+'TE CVA'!$AB$6)*1*(1-0.02)</f>
        <v>209.49782607246507</v>
      </c>
      <c r="AB200" s="4">
        <f>$K$200*$V$200</f>
        <v>0</v>
      </c>
      <c r="AC200" s="4">
        <f>$M$200*$W$200</f>
        <v>554.98322880000001</v>
      </c>
      <c r="AD200" s="4">
        <f>$O$200*$X$200</f>
        <v>2006.3403359999998</v>
      </c>
      <c r="AE200" s="4">
        <f>$K$200*$Y$200</f>
        <v>0</v>
      </c>
      <c r="AF200" s="4">
        <f ca="1">$M$200*$Z$200</f>
        <v>784.20581519588052</v>
      </c>
      <c r="AG200" s="4">
        <f>$O$200*$AA$200</f>
        <v>1500.2139325049222</v>
      </c>
    </row>
    <row r="201" spans="1:33" ht="11.25" customHeight="1" x14ac:dyDescent="0.3">
      <c r="A201" s="3" t="s">
        <v>27</v>
      </c>
      <c r="B201" s="3" t="s">
        <v>34</v>
      </c>
      <c r="C201" s="3" t="s">
        <v>38</v>
      </c>
      <c r="D201" s="3" t="s">
        <v>41</v>
      </c>
      <c r="E201" s="3" t="s">
        <v>25</v>
      </c>
      <c r="F201" s="3" t="s">
        <v>25</v>
      </c>
      <c r="G201" s="3" t="s">
        <v>25</v>
      </c>
      <c r="H201" s="3" t="s">
        <v>37</v>
      </c>
      <c r="I201" s="6">
        <v>44713</v>
      </c>
      <c r="J201" s="4">
        <v>0</v>
      </c>
      <c r="K201" s="52">
        <v>0</v>
      </c>
      <c r="L201" s="4">
        <v>7.3840000000000003</v>
      </c>
      <c r="M201" s="52">
        <v>7.3840000000000003</v>
      </c>
      <c r="N201" s="4">
        <v>7.3840000000000003</v>
      </c>
      <c r="O201" s="52">
        <v>7.3840000000000003</v>
      </c>
      <c r="P201" s="4">
        <v>0</v>
      </c>
      <c r="Q201" s="3" t="s">
        <v>26</v>
      </c>
      <c r="R201" s="3">
        <v>0</v>
      </c>
      <c r="S201" s="4">
        <v>0</v>
      </c>
      <c r="T201" s="4">
        <v>3</v>
      </c>
      <c r="U201" s="4">
        <v>62</v>
      </c>
      <c r="V201" s="52">
        <f>IF(ISERROR(VLOOKUP($S$201,'TAR FIN'!$A$1:$O$85,15,0)),0,VLOOKUP($S$201,'TAR FIN'!$A$1:$O$85,15,0))</f>
        <v>0</v>
      </c>
      <c r="W201" s="52">
        <f>IF(ISERROR(VLOOKUP($T$201,'TAR FIN'!$A$1:$O$85,15,0)),0,VLOOKUP($T$201,'TAR FIN'!$A$1:$O$85,15,0))*(1-0.04)</f>
        <v>77.500799999999998</v>
      </c>
      <c r="X201" s="52">
        <f>IF(ISERROR(VLOOKUP($U$201,'TAR FIN'!$A$1:$O$85,15,0)),0,VLOOKUP($U$201,'TAR FIN'!$A$1:$O$85,15,0))*(1-0.04)</f>
        <v>280.17599999999999</v>
      </c>
      <c r="Y201" s="52"/>
      <c r="Z201" s="52">
        <f ca="1">('TUSD BE'!$AM$12+'TUSD BF'!$AM$12+'TUSD CVA'!$AM$12)*1*(1-0.02)</f>
        <v>109.5106570584947</v>
      </c>
      <c r="AA201" s="52">
        <f>('TE BE'!$AB$6+'TE BF'!$AB$6+'TE CVA'!$AB$6)*1*(1-0.02)</f>
        <v>209.49782607246507</v>
      </c>
      <c r="AB201" s="4">
        <f>$K$201*$V$201</f>
        <v>0</v>
      </c>
      <c r="AC201" s="4">
        <f>$M$201*$W$201</f>
        <v>572.26590720000002</v>
      </c>
      <c r="AD201" s="4">
        <f>$O$201*$X$201</f>
        <v>2068.8195839999998</v>
      </c>
      <c r="AE201" s="4">
        <f>$K$201*$Y$201</f>
        <v>0</v>
      </c>
      <c r="AF201" s="4">
        <f ca="1">$M$201*$Z$201</f>
        <v>808.62669171992491</v>
      </c>
      <c r="AG201" s="4">
        <f>$O$201*$AA$201</f>
        <v>1546.9319477190822</v>
      </c>
    </row>
    <row r="202" spans="1:33" ht="11.25" customHeight="1" x14ac:dyDescent="0.3">
      <c r="A202" s="3" t="s">
        <v>27</v>
      </c>
      <c r="B202" s="3" t="s">
        <v>34</v>
      </c>
      <c r="C202" s="3" t="s">
        <v>38</v>
      </c>
      <c r="D202" s="3" t="s">
        <v>41</v>
      </c>
      <c r="E202" s="3" t="s">
        <v>25</v>
      </c>
      <c r="F202" s="3" t="s">
        <v>25</v>
      </c>
      <c r="G202" s="3" t="s">
        <v>25</v>
      </c>
      <c r="H202" s="3" t="s">
        <v>37</v>
      </c>
      <c r="I202" s="6">
        <v>44743</v>
      </c>
      <c r="J202" s="4">
        <v>0</v>
      </c>
      <c r="K202" s="52">
        <v>0</v>
      </c>
      <c r="L202" s="4">
        <v>8.0359999999999996</v>
      </c>
      <c r="M202" s="52">
        <v>8.0359999999999996</v>
      </c>
      <c r="N202" s="4">
        <v>8.0359999999999996</v>
      </c>
      <c r="O202" s="52">
        <v>8.0359999999999996</v>
      </c>
      <c r="P202" s="4">
        <v>0</v>
      </c>
      <c r="Q202" s="3" t="s">
        <v>26</v>
      </c>
      <c r="R202" s="3">
        <v>0</v>
      </c>
      <c r="S202" s="4">
        <v>0</v>
      </c>
      <c r="T202" s="4">
        <v>3</v>
      </c>
      <c r="U202" s="4">
        <v>62</v>
      </c>
      <c r="V202" s="52">
        <f>IF(ISERROR(VLOOKUP($S$202,'TAR FIN'!$A$1:$O$85,15,0)),0,VLOOKUP($S$202,'TAR FIN'!$A$1:$O$85,15,0))</f>
        <v>0</v>
      </c>
      <c r="W202" s="52">
        <f>IF(ISERROR(VLOOKUP($T$202,'TAR FIN'!$A$1:$O$85,15,0)),0,VLOOKUP($T$202,'TAR FIN'!$A$1:$O$85,15,0))*(1-0.04)</f>
        <v>77.500799999999998</v>
      </c>
      <c r="X202" s="52">
        <f>IF(ISERROR(VLOOKUP($U$202,'TAR FIN'!$A$1:$O$85,15,0)),0,VLOOKUP($U$202,'TAR FIN'!$A$1:$O$85,15,0))*(1-0.04)</f>
        <v>280.17599999999999</v>
      </c>
      <c r="Y202" s="52"/>
      <c r="Z202" s="52">
        <f ca="1">('TUSD BE'!$AM$12+'TUSD BF'!$AM$12+'TUSD CVA'!$AM$12)*1*(1-0.02)</f>
        <v>109.5106570584947</v>
      </c>
      <c r="AA202" s="52">
        <f>('TE BE'!$AB$6+'TE BF'!$AB$6+'TE CVA'!$AB$6)*1*(1-0.02)</f>
        <v>209.49782607246507</v>
      </c>
      <c r="AB202" s="4">
        <f>$K$202*$V$202</f>
        <v>0</v>
      </c>
      <c r="AC202" s="4">
        <f>$M$202*$W$202</f>
        <v>622.79642879999994</v>
      </c>
      <c r="AD202" s="4">
        <f>$O$202*$X$202</f>
        <v>2251.4943359999997</v>
      </c>
      <c r="AE202" s="4">
        <f>$K$202*$Y$202</f>
        <v>0</v>
      </c>
      <c r="AF202" s="4">
        <f ca="1">$M$202*$Z$202</f>
        <v>880.02764012206342</v>
      </c>
      <c r="AG202" s="4">
        <f>$O$202*$AA$202</f>
        <v>1683.5245303183292</v>
      </c>
    </row>
    <row r="203" spans="1:33" ht="11.25" customHeight="1" x14ac:dyDescent="0.3">
      <c r="A203" s="3" t="s">
        <v>53</v>
      </c>
      <c r="B203" s="3" t="s">
        <v>34</v>
      </c>
      <c r="C203" s="3" t="s">
        <v>38</v>
      </c>
      <c r="D203" s="3" t="s">
        <v>41</v>
      </c>
      <c r="E203" s="3" t="s">
        <v>25</v>
      </c>
      <c r="F203" s="3" t="s">
        <v>25</v>
      </c>
      <c r="G203" s="3" t="s">
        <v>25</v>
      </c>
      <c r="H203" s="3" t="s">
        <v>37</v>
      </c>
      <c r="I203" s="6">
        <v>44774</v>
      </c>
      <c r="J203" s="4">
        <v>0</v>
      </c>
      <c r="K203" s="52">
        <v>0</v>
      </c>
      <c r="L203" s="4">
        <v>8.0359999999999996</v>
      </c>
      <c r="M203" s="52">
        <v>8.0359999999999996</v>
      </c>
      <c r="N203" s="4">
        <v>8.0359999999999996</v>
      </c>
      <c r="O203" s="52">
        <v>8.0359999999999996</v>
      </c>
      <c r="P203" s="4">
        <v>0</v>
      </c>
      <c r="Q203" s="3" t="s">
        <v>26</v>
      </c>
      <c r="R203" s="3">
        <v>0</v>
      </c>
      <c r="S203" s="4">
        <v>0</v>
      </c>
      <c r="T203" s="4">
        <v>3</v>
      </c>
      <c r="U203" s="4">
        <v>62</v>
      </c>
      <c r="V203" s="52">
        <f>IF(ISERROR(VLOOKUP($S$203,'TAR FIN'!$A$1:$O$85,15,0)),0,VLOOKUP($S$203,'TAR FIN'!$A$1:$O$85,15,0))</f>
        <v>0</v>
      </c>
      <c r="W203" s="52">
        <f>IF(ISERROR(VLOOKUP($T$203,'TAR FIN'!$A$1:$O$85,15,0)),0,VLOOKUP($T$203,'TAR FIN'!$A$1:$O$85,15,0))*(1-0.04)</f>
        <v>77.500799999999998</v>
      </c>
      <c r="X203" s="52">
        <f>IF(ISERROR(VLOOKUP($U$203,'TAR FIN'!$A$1:$O$85,15,0)),0,VLOOKUP($U$203,'TAR FIN'!$A$1:$O$85,15,0))*(1-0.04)</f>
        <v>280.17599999999999</v>
      </c>
      <c r="Y203" s="52"/>
      <c r="Z203" s="52">
        <f ca="1">('TUSD BE'!$AM$12+'TUSD BF'!$AM$12+'TUSD CVA'!$AM$12)*1*(1-0.02)</f>
        <v>109.5106570584947</v>
      </c>
      <c r="AA203" s="52">
        <f>('TE BE'!$AB$6+'TE BF'!$AB$6+'TE CVA'!$AB$6)*1*(1-0.02)</f>
        <v>209.49782607246507</v>
      </c>
      <c r="AB203" s="4">
        <f>$K$203*$V$203</f>
        <v>0</v>
      </c>
      <c r="AC203" s="4">
        <f>$M$203*$W$203</f>
        <v>622.79642879999994</v>
      </c>
      <c r="AD203" s="4">
        <f>$O$203*$X$203</f>
        <v>2251.4943359999997</v>
      </c>
      <c r="AE203" s="4">
        <f>$K$203*$Y$203</f>
        <v>0</v>
      </c>
      <c r="AF203" s="4">
        <f ca="1">$M$203*$Z$203</f>
        <v>880.02764012206342</v>
      </c>
      <c r="AG203" s="4">
        <f>$O$203*$AA$203</f>
        <v>1683.5245303183292</v>
      </c>
    </row>
    <row r="204" spans="1:33" ht="11.25" customHeight="1" x14ac:dyDescent="0.3">
      <c r="A204" s="3" t="s">
        <v>27</v>
      </c>
      <c r="B204" s="3" t="s">
        <v>34</v>
      </c>
      <c r="C204" s="3" t="s">
        <v>38</v>
      </c>
      <c r="D204" s="3" t="s">
        <v>41</v>
      </c>
      <c r="E204" s="3" t="s">
        <v>25</v>
      </c>
      <c r="F204" s="3" t="s">
        <v>25</v>
      </c>
      <c r="G204" s="3" t="s">
        <v>25</v>
      </c>
      <c r="H204" s="3" t="s">
        <v>25</v>
      </c>
      <c r="I204" s="6">
        <v>44501</v>
      </c>
      <c r="J204" s="4">
        <v>50</v>
      </c>
      <c r="K204" s="52">
        <v>50</v>
      </c>
      <c r="L204" s="4">
        <v>0</v>
      </c>
      <c r="M204" s="52">
        <v>0</v>
      </c>
      <c r="N204" s="4">
        <v>0</v>
      </c>
      <c r="O204" s="52">
        <v>0</v>
      </c>
      <c r="P204" s="4">
        <v>1</v>
      </c>
      <c r="Q204" s="3" t="s">
        <v>26</v>
      </c>
      <c r="R204" s="3">
        <v>0</v>
      </c>
      <c r="S204" s="4">
        <v>5</v>
      </c>
      <c r="T204" s="4">
        <v>0</v>
      </c>
      <c r="U204" s="4">
        <v>0</v>
      </c>
      <c r="V204" s="52">
        <f>IF(ISERROR(VLOOKUP($S$204,'TAR FIN'!$A$1:$O$85,15,0)),0,VLOOKUP($S$204,'TAR FIN'!$A$1:$O$85,15,0))*(1-0.04)</f>
        <v>19.526399999999999</v>
      </c>
      <c r="W204" s="52">
        <f>IF(ISERROR(VLOOKUP($T$204,'TAR FIN'!$A$1:$O$85,15,0)),0,VLOOKUP($T$204,'TAR FIN'!$A$1:$O$85,15,0))</f>
        <v>0</v>
      </c>
      <c r="X204" s="52">
        <f>IF(ISERROR(VLOOKUP($U$204,'TAR FIN'!$A$1:$O$85,15,0)),0,VLOOKUP($U$204,'TAR FIN'!$A$1:$O$85,15,0))</f>
        <v>0</v>
      </c>
      <c r="Y204" s="52">
        <f ca="1">('TUSD BE'!$AM$10+'TUSD BF'!$AM$10+'TUSD CVA'!$AM$10)*1*(1-0.02)</f>
        <v>22.771855028342177</v>
      </c>
      <c r="Z204" s="52"/>
      <c r="AA204" s="52"/>
      <c r="AB204" s="4">
        <f>$K$204*$V$204</f>
        <v>976.31999999999994</v>
      </c>
      <c r="AC204" s="4">
        <f>$M$204*$W$204</f>
        <v>0</v>
      </c>
      <c r="AD204" s="4">
        <f>$O$204*$X$204</f>
        <v>0</v>
      </c>
      <c r="AE204" s="4">
        <f ca="1">$K$204*$Y$204</f>
        <v>1138.592751417109</v>
      </c>
      <c r="AF204" s="4">
        <f>$M$204*$Z$204</f>
        <v>0</v>
      </c>
      <c r="AG204" s="4">
        <f>$O$204*$AA$204</f>
        <v>0</v>
      </c>
    </row>
    <row r="205" spans="1:33" ht="11.25" customHeight="1" x14ac:dyDescent="0.3">
      <c r="A205" s="3" t="s">
        <v>27</v>
      </c>
      <c r="B205" s="3" t="s">
        <v>34</v>
      </c>
      <c r="C205" s="3" t="s">
        <v>38</v>
      </c>
      <c r="D205" s="3" t="s">
        <v>41</v>
      </c>
      <c r="E205" s="3" t="s">
        <v>25</v>
      </c>
      <c r="F205" s="3" t="s">
        <v>25</v>
      </c>
      <c r="G205" s="3" t="s">
        <v>25</v>
      </c>
      <c r="H205" s="3" t="s">
        <v>25</v>
      </c>
      <c r="I205" s="6">
        <v>44531</v>
      </c>
      <c r="J205" s="4">
        <v>50</v>
      </c>
      <c r="K205" s="52">
        <v>50</v>
      </c>
      <c r="L205" s="4">
        <v>0</v>
      </c>
      <c r="M205" s="52">
        <v>0</v>
      </c>
      <c r="N205" s="4">
        <v>0</v>
      </c>
      <c r="O205" s="52">
        <v>0</v>
      </c>
      <c r="P205" s="4">
        <v>1</v>
      </c>
      <c r="Q205" s="3" t="s">
        <v>26</v>
      </c>
      <c r="R205" s="3">
        <v>0</v>
      </c>
      <c r="S205" s="4">
        <v>5</v>
      </c>
      <c r="T205" s="4">
        <v>0</v>
      </c>
      <c r="U205" s="4">
        <v>0</v>
      </c>
      <c r="V205" s="52">
        <f>IF(ISERROR(VLOOKUP($S$205,'TAR FIN'!$A$1:$O$85,15,0)),0,VLOOKUP($S$205,'TAR FIN'!$A$1:$O$85,15,0))*(1-0.04)</f>
        <v>19.526399999999999</v>
      </c>
      <c r="W205" s="52">
        <f>IF(ISERROR(VLOOKUP($T$205,'TAR FIN'!$A$1:$O$85,15,0)),0,VLOOKUP($T$205,'TAR FIN'!$A$1:$O$85,15,0))</f>
        <v>0</v>
      </c>
      <c r="X205" s="52">
        <f>IF(ISERROR(VLOOKUP($U$205,'TAR FIN'!$A$1:$O$85,15,0)),0,VLOOKUP($U$205,'TAR FIN'!$A$1:$O$85,15,0))</f>
        <v>0</v>
      </c>
      <c r="Y205" s="52">
        <f ca="1">('TUSD BE'!$AM$10+'TUSD BF'!$AM$10+'TUSD CVA'!$AM$10)*1*(1-0.02)</f>
        <v>22.771855028342177</v>
      </c>
      <c r="Z205" s="52"/>
      <c r="AA205" s="52"/>
      <c r="AB205" s="4">
        <f>$K$205*$V$205</f>
        <v>976.31999999999994</v>
      </c>
      <c r="AC205" s="4">
        <f>$M$205*$W$205</f>
        <v>0</v>
      </c>
      <c r="AD205" s="4">
        <f>$O$205*$X$205</f>
        <v>0</v>
      </c>
      <c r="AE205" s="4">
        <f ca="1">$K$205*$Y$205</f>
        <v>1138.592751417109</v>
      </c>
      <c r="AF205" s="4">
        <f>$M$205*$Z$205</f>
        <v>0</v>
      </c>
      <c r="AG205" s="4">
        <f>$O$205*$AA$205</f>
        <v>0</v>
      </c>
    </row>
    <row r="206" spans="1:33" ht="11.25" customHeight="1" x14ac:dyDescent="0.3">
      <c r="A206" s="3" t="s">
        <v>27</v>
      </c>
      <c r="B206" s="3" t="s">
        <v>34</v>
      </c>
      <c r="C206" s="3" t="s">
        <v>38</v>
      </c>
      <c r="D206" s="3" t="s">
        <v>41</v>
      </c>
      <c r="E206" s="3" t="s">
        <v>25</v>
      </c>
      <c r="F206" s="3" t="s">
        <v>25</v>
      </c>
      <c r="G206" s="3" t="s">
        <v>25</v>
      </c>
      <c r="H206" s="3" t="s">
        <v>25</v>
      </c>
      <c r="I206" s="6">
        <v>44562</v>
      </c>
      <c r="J206" s="4">
        <v>55</v>
      </c>
      <c r="K206" s="52">
        <v>55</v>
      </c>
      <c r="L206" s="4">
        <v>0</v>
      </c>
      <c r="M206" s="52">
        <v>0</v>
      </c>
      <c r="N206" s="4">
        <v>0</v>
      </c>
      <c r="O206" s="52">
        <v>0</v>
      </c>
      <c r="P206" s="4">
        <v>1</v>
      </c>
      <c r="Q206" s="3" t="s">
        <v>26</v>
      </c>
      <c r="R206" s="3">
        <v>0</v>
      </c>
      <c r="S206" s="4">
        <v>5</v>
      </c>
      <c r="T206" s="4">
        <v>0</v>
      </c>
      <c r="U206" s="4">
        <v>0</v>
      </c>
      <c r="V206" s="52">
        <f>IF(ISERROR(VLOOKUP($S$206,'TAR FIN'!$A$1:$O$85,15,0)),0,VLOOKUP($S$206,'TAR FIN'!$A$1:$O$85,15,0))*(1-0.04)</f>
        <v>19.526399999999999</v>
      </c>
      <c r="W206" s="52">
        <f>IF(ISERROR(VLOOKUP($T$206,'TAR FIN'!$A$1:$O$85,15,0)),0,VLOOKUP($T$206,'TAR FIN'!$A$1:$O$85,15,0))</f>
        <v>0</v>
      </c>
      <c r="X206" s="52">
        <f>IF(ISERROR(VLOOKUP($U$206,'TAR FIN'!$A$1:$O$85,15,0)),0,VLOOKUP($U$206,'TAR FIN'!$A$1:$O$85,15,0))</f>
        <v>0</v>
      </c>
      <c r="Y206" s="52">
        <f ca="1">('TUSD BE'!$AM$10+'TUSD BF'!$AM$10+'TUSD CVA'!$AM$10)*1*(1-0.02)</f>
        <v>22.771855028342177</v>
      </c>
      <c r="Z206" s="52"/>
      <c r="AA206" s="52"/>
      <c r="AB206" s="4">
        <f>$K$206*$V$206</f>
        <v>1073.952</v>
      </c>
      <c r="AC206" s="4">
        <f>$M$206*$W$206</f>
        <v>0</v>
      </c>
      <c r="AD206" s="4">
        <f>$O$206*$X$206</f>
        <v>0</v>
      </c>
      <c r="AE206" s="4">
        <f ca="1">$K$206*$Y$206</f>
        <v>1252.4520265588196</v>
      </c>
      <c r="AF206" s="4">
        <f>$M$206*$Z$206</f>
        <v>0</v>
      </c>
      <c r="AG206" s="4">
        <f>$O$206*$AA$206</f>
        <v>0</v>
      </c>
    </row>
    <row r="207" spans="1:33" ht="11.25" customHeight="1" x14ac:dyDescent="0.3">
      <c r="A207" s="3" t="s">
        <v>27</v>
      </c>
      <c r="B207" s="3" t="s">
        <v>34</v>
      </c>
      <c r="C207" s="3" t="s">
        <v>38</v>
      </c>
      <c r="D207" s="3" t="s">
        <v>41</v>
      </c>
      <c r="E207" s="3" t="s">
        <v>25</v>
      </c>
      <c r="F207" s="3" t="s">
        <v>25</v>
      </c>
      <c r="G207" s="3" t="s">
        <v>25</v>
      </c>
      <c r="H207" s="3" t="s">
        <v>25</v>
      </c>
      <c r="I207" s="6">
        <v>44593</v>
      </c>
      <c r="J207" s="4">
        <v>50</v>
      </c>
      <c r="K207" s="52">
        <v>50</v>
      </c>
      <c r="L207" s="4">
        <v>0</v>
      </c>
      <c r="M207" s="52">
        <v>0</v>
      </c>
      <c r="N207" s="4">
        <v>0</v>
      </c>
      <c r="O207" s="52">
        <v>0</v>
      </c>
      <c r="P207" s="4">
        <v>1</v>
      </c>
      <c r="Q207" s="3" t="s">
        <v>26</v>
      </c>
      <c r="R207" s="3">
        <v>0</v>
      </c>
      <c r="S207" s="4">
        <v>5</v>
      </c>
      <c r="T207" s="4">
        <v>0</v>
      </c>
      <c r="U207" s="4">
        <v>0</v>
      </c>
      <c r="V207" s="52">
        <f>IF(ISERROR(VLOOKUP($S$207,'TAR FIN'!$A$1:$O$85,15,0)),0,VLOOKUP($S$207,'TAR FIN'!$A$1:$O$85,15,0))*(1-0.04)</f>
        <v>19.526399999999999</v>
      </c>
      <c r="W207" s="52">
        <f>IF(ISERROR(VLOOKUP($T$207,'TAR FIN'!$A$1:$O$85,15,0)),0,VLOOKUP($T$207,'TAR FIN'!$A$1:$O$85,15,0))</f>
        <v>0</v>
      </c>
      <c r="X207" s="52">
        <f>IF(ISERROR(VLOOKUP($U$207,'TAR FIN'!$A$1:$O$85,15,0)),0,VLOOKUP($U$207,'TAR FIN'!$A$1:$O$85,15,0))</f>
        <v>0</v>
      </c>
      <c r="Y207" s="52">
        <f ca="1">('TUSD BE'!$AM$10+'TUSD BF'!$AM$10+'TUSD CVA'!$AM$10)*1*(1-0.02)</f>
        <v>22.771855028342177</v>
      </c>
      <c r="Z207" s="52"/>
      <c r="AA207" s="52"/>
      <c r="AB207" s="4">
        <f>$K$207*$V$207</f>
        <v>976.31999999999994</v>
      </c>
      <c r="AC207" s="4">
        <f>$M$207*$W$207</f>
        <v>0</v>
      </c>
      <c r="AD207" s="4">
        <f>$O$207*$X$207</f>
        <v>0</v>
      </c>
      <c r="AE207" s="4">
        <f ca="1">$K$207*$Y$207</f>
        <v>1138.592751417109</v>
      </c>
      <c r="AF207" s="4">
        <f>$M$207*$Z$207</f>
        <v>0</v>
      </c>
      <c r="AG207" s="4">
        <f>$O$207*$AA$207</f>
        <v>0</v>
      </c>
    </row>
    <row r="208" spans="1:33" ht="11.25" customHeight="1" x14ac:dyDescent="0.3">
      <c r="A208" s="3" t="s">
        <v>27</v>
      </c>
      <c r="B208" s="3" t="s">
        <v>34</v>
      </c>
      <c r="C208" s="3" t="s">
        <v>38</v>
      </c>
      <c r="D208" s="3" t="s">
        <v>41</v>
      </c>
      <c r="E208" s="3" t="s">
        <v>25</v>
      </c>
      <c r="F208" s="3" t="s">
        <v>25</v>
      </c>
      <c r="G208" s="3" t="s">
        <v>25</v>
      </c>
      <c r="H208" s="3" t="s">
        <v>25</v>
      </c>
      <c r="I208" s="6">
        <v>44621</v>
      </c>
      <c r="J208" s="4">
        <v>54</v>
      </c>
      <c r="K208" s="52">
        <v>54</v>
      </c>
      <c r="L208" s="4">
        <v>0</v>
      </c>
      <c r="M208" s="52">
        <v>0</v>
      </c>
      <c r="N208" s="4">
        <v>0</v>
      </c>
      <c r="O208" s="52">
        <v>0</v>
      </c>
      <c r="P208" s="4">
        <v>1</v>
      </c>
      <c r="Q208" s="3" t="s">
        <v>26</v>
      </c>
      <c r="R208" s="3">
        <v>0</v>
      </c>
      <c r="S208" s="4">
        <v>5</v>
      </c>
      <c r="T208" s="4">
        <v>0</v>
      </c>
      <c r="U208" s="4">
        <v>0</v>
      </c>
      <c r="V208" s="52">
        <f>IF(ISERROR(VLOOKUP($S$208,'TAR FIN'!$A$1:$O$85,15,0)),0,VLOOKUP($S$208,'TAR FIN'!$A$1:$O$85,15,0))*(1-0.04)</f>
        <v>19.526399999999999</v>
      </c>
      <c r="W208" s="52">
        <f>IF(ISERROR(VLOOKUP($T$208,'TAR FIN'!$A$1:$O$85,15,0)),0,VLOOKUP($T$208,'TAR FIN'!$A$1:$O$85,15,0))</f>
        <v>0</v>
      </c>
      <c r="X208" s="52">
        <f>IF(ISERROR(VLOOKUP($U$208,'TAR FIN'!$A$1:$O$85,15,0)),0,VLOOKUP($U$208,'TAR FIN'!$A$1:$O$85,15,0))</f>
        <v>0</v>
      </c>
      <c r="Y208" s="52">
        <f ca="1">('TUSD BE'!$AM$10+'TUSD BF'!$AM$10+'TUSD CVA'!$AM$10)*1*(1-0.02)</f>
        <v>22.771855028342177</v>
      </c>
      <c r="Z208" s="52"/>
      <c r="AA208" s="52"/>
      <c r="AB208" s="4">
        <f>$K$208*$V$208</f>
        <v>1054.4256</v>
      </c>
      <c r="AC208" s="4">
        <f>$M$208*$W$208</f>
        <v>0</v>
      </c>
      <c r="AD208" s="4">
        <f>$O$208*$X$208</f>
        <v>0</v>
      </c>
      <c r="AE208" s="4">
        <f ca="1">$K$208*$Y$208</f>
        <v>1229.6801715304775</v>
      </c>
      <c r="AF208" s="4">
        <f>$M$208*$Z$208</f>
        <v>0</v>
      </c>
      <c r="AG208" s="4">
        <f>$O$208*$AA$208</f>
        <v>0</v>
      </c>
    </row>
    <row r="209" spans="1:33" ht="11.25" customHeight="1" x14ac:dyDescent="0.3">
      <c r="A209" s="3" t="s">
        <v>27</v>
      </c>
      <c r="B209" s="3" t="s">
        <v>34</v>
      </c>
      <c r="C209" s="3" t="s">
        <v>38</v>
      </c>
      <c r="D209" s="3" t="s">
        <v>41</v>
      </c>
      <c r="E209" s="3" t="s">
        <v>25</v>
      </c>
      <c r="F209" s="3" t="s">
        <v>25</v>
      </c>
      <c r="G209" s="3" t="s">
        <v>25</v>
      </c>
      <c r="H209" s="3" t="s">
        <v>25</v>
      </c>
      <c r="I209" s="6">
        <v>44652</v>
      </c>
      <c r="J209" s="4">
        <v>52</v>
      </c>
      <c r="K209" s="52">
        <v>52</v>
      </c>
      <c r="L209" s="4">
        <v>0</v>
      </c>
      <c r="M209" s="52">
        <v>0</v>
      </c>
      <c r="N209" s="4">
        <v>0</v>
      </c>
      <c r="O209" s="52">
        <v>0</v>
      </c>
      <c r="P209" s="4">
        <v>1</v>
      </c>
      <c r="Q209" s="3" t="s">
        <v>26</v>
      </c>
      <c r="R209" s="3">
        <v>0</v>
      </c>
      <c r="S209" s="4">
        <v>5</v>
      </c>
      <c r="T209" s="4">
        <v>0</v>
      </c>
      <c r="U209" s="4">
        <v>0</v>
      </c>
      <c r="V209" s="52">
        <f>IF(ISERROR(VLOOKUP($S$209,'TAR FIN'!$A$1:$O$85,15,0)),0,VLOOKUP($S$209,'TAR FIN'!$A$1:$O$85,15,0))*(1-0.04)</f>
        <v>19.526399999999999</v>
      </c>
      <c r="W209" s="52">
        <f>IF(ISERROR(VLOOKUP($T$209,'TAR FIN'!$A$1:$O$85,15,0)),0,VLOOKUP($T$209,'TAR FIN'!$A$1:$O$85,15,0))</f>
        <v>0</v>
      </c>
      <c r="X209" s="52">
        <f>IF(ISERROR(VLOOKUP($U$209,'TAR FIN'!$A$1:$O$85,15,0)),0,VLOOKUP($U$209,'TAR FIN'!$A$1:$O$85,15,0))</f>
        <v>0</v>
      </c>
      <c r="Y209" s="52">
        <f ca="1">('TUSD BE'!$AM$10+'TUSD BF'!$AM$10+'TUSD CVA'!$AM$10)*1*(1-0.02)</f>
        <v>22.771855028342177</v>
      </c>
      <c r="Z209" s="52"/>
      <c r="AA209" s="52"/>
      <c r="AB209" s="4">
        <f>$K$209*$V$209</f>
        <v>1015.3728</v>
      </c>
      <c r="AC209" s="4">
        <f>$M$209*$W$209</f>
        <v>0</v>
      </c>
      <c r="AD209" s="4">
        <f>$O$209*$X$209</f>
        <v>0</v>
      </c>
      <c r="AE209" s="4">
        <f ca="1">$K$209*$Y$209</f>
        <v>1184.1364614737931</v>
      </c>
      <c r="AF209" s="4">
        <f>$M$209*$Z$209</f>
        <v>0</v>
      </c>
      <c r="AG209" s="4">
        <f>$O$209*$AA$209</f>
        <v>0</v>
      </c>
    </row>
    <row r="210" spans="1:33" ht="11.25" customHeight="1" x14ac:dyDescent="0.3">
      <c r="A210" s="3" t="s">
        <v>27</v>
      </c>
      <c r="B210" s="3" t="s">
        <v>34</v>
      </c>
      <c r="C210" s="3" t="s">
        <v>38</v>
      </c>
      <c r="D210" s="3" t="s">
        <v>41</v>
      </c>
      <c r="E210" s="3" t="s">
        <v>25</v>
      </c>
      <c r="F210" s="3" t="s">
        <v>25</v>
      </c>
      <c r="G210" s="3" t="s">
        <v>25</v>
      </c>
      <c r="H210" s="3" t="s">
        <v>25</v>
      </c>
      <c r="I210" s="6">
        <v>44682</v>
      </c>
      <c r="J210" s="4">
        <v>50</v>
      </c>
      <c r="K210" s="52">
        <v>50</v>
      </c>
      <c r="L210" s="4">
        <v>0</v>
      </c>
      <c r="M210" s="52">
        <v>0</v>
      </c>
      <c r="N210" s="4">
        <v>0</v>
      </c>
      <c r="O210" s="52">
        <v>0</v>
      </c>
      <c r="P210" s="4">
        <v>1</v>
      </c>
      <c r="Q210" s="3" t="s">
        <v>26</v>
      </c>
      <c r="R210" s="3">
        <v>0</v>
      </c>
      <c r="S210" s="4">
        <v>5</v>
      </c>
      <c r="T210" s="4">
        <v>0</v>
      </c>
      <c r="U210" s="4">
        <v>0</v>
      </c>
      <c r="V210" s="52">
        <f>IF(ISERROR(VLOOKUP($S$210,'TAR FIN'!$A$1:$O$85,15,0)),0,VLOOKUP($S$210,'TAR FIN'!$A$1:$O$85,15,0))*(1-0.04)</f>
        <v>19.526399999999999</v>
      </c>
      <c r="W210" s="52">
        <f>IF(ISERROR(VLOOKUP($T$210,'TAR FIN'!$A$1:$O$85,15,0)),0,VLOOKUP($T$210,'TAR FIN'!$A$1:$O$85,15,0))</f>
        <v>0</v>
      </c>
      <c r="X210" s="52">
        <f>IF(ISERROR(VLOOKUP($U$210,'TAR FIN'!$A$1:$O$85,15,0)),0,VLOOKUP($U$210,'TAR FIN'!$A$1:$O$85,15,0))</f>
        <v>0</v>
      </c>
      <c r="Y210" s="52">
        <f ca="1">('TUSD BE'!$AM$10+'TUSD BF'!$AM$10+'TUSD CVA'!$AM$10)*1*(1-0.02)</f>
        <v>22.771855028342177</v>
      </c>
      <c r="Z210" s="52"/>
      <c r="AA210" s="52"/>
      <c r="AB210" s="4">
        <f>$K$210*$V$210</f>
        <v>976.31999999999994</v>
      </c>
      <c r="AC210" s="4">
        <f>$M$210*$W$210</f>
        <v>0</v>
      </c>
      <c r="AD210" s="4">
        <f>$O$210*$X$210</f>
        <v>0</v>
      </c>
      <c r="AE210" s="4">
        <f ca="1">$K$210*$Y$210</f>
        <v>1138.592751417109</v>
      </c>
      <c r="AF210" s="4">
        <f>$M$210*$Z$210</f>
        <v>0</v>
      </c>
      <c r="AG210" s="4">
        <f>$O$210*$AA$210</f>
        <v>0</v>
      </c>
    </row>
    <row r="211" spans="1:33" ht="11.25" customHeight="1" x14ac:dyDescent="0.3">
      <c r="A211" s="3" t="s">
        <v>27</v>
      </c>
      <c r="B211" s="3" t="s">
        <v>34</v>
      </c>
      <c r="C211" s="3" t="s">
        <v>38</v>
      </c>
      <c r="D211" s="3" t="s">
        <v>41</v>
      </c>
      <c r="E211" s="3" t="s">
        <v>25</v>
      </c>
      <c r="F211" s="3" t="s">
        <v>25</v>
      </c>
      <c r="G211" s="3" t="s">
        <v>25</v>
      </c>
      <c r="H211" s="3" t="s">
        <v>25</v>
      </c>
      <c r="I211" s="6">
        <v>44713</v>
      </c>
      <c r="J211" s="4">
        <v>50</v>
      </c>
      <c r="K211" s="52">
        <v>50</v>
      </c>
      <c r="L211" s="4">
        <v>0</v>
      </c>
      <c r="M211" s="52">
        <v>0</v>
      </c>
      <c r="N211" s="4">
        <v>0</v>
      </c>
      <c r="O211" s="52">
        <v>0</v>
      </c>
      <c r="P211" s="4">
        <v>1</v>
      </c>
      <c r="Q211" s="3" t="s">
        <v>26</v>
      </c>
      <c r="R211" s="3">
        <v>0</v>
      </c>
      <c r="S211" s="4">
        <v>5</v>
      </c>
      <c r="T211" s="4">
        <v>0</v>
      </c>
      <c r="U211" s="4">
        <v>0</v>
      </c>
      <c r="V211" s="52">
        <f>IF(ISERROR(VLOOKUP($S$211,'TAR FIN'!$A$1:$O$85,15,0)),0,VLOOKUP($S$211,'TAR FIN'!$A$1:$O$85,15,0))*(1-0.04)</f>
        <v>19.526399999999999</v>
      </c>
      <c r="W211" s="52">
        <f>IF(ISERROR(VLOOKUP($T$211,'TAR FIN'!$A$1:$O$85,15,0)),0,VLOOKUP($T$211,'TAR FIN'!$A$1:$O$85,15,0))</f>
        <v>0</v>
      </c>
      <c r="X211" s="52">
        <f>IF(ISERROR(VLOOKUP($U$211,'TAR FIN'!$A$1:$O$85,15,0)),0,VLOOKUP($U$211,'TAR FIN'!$A$1:$O$85,15,0))</f>
        <v>0</v>
      </c>
      <c r="Y211" s="52">
        <f ca="1">('TUSD BE'!$AM$10+'TUSD BF'!$AM$10+'TUSD CVA'!$AM$10)*1*(1-0.02)</f>
        <v>22.771855028342177</v>
      </c>
      <c r="Z211" s="52"/>
      <c r="AA211" s="52"/>
      <c r="AB211" s="4">
        <f>$K$211*$V$211</f>
        <v>976.31999999999994</v>
      </c>
      <c r="AC211" s="4">
        <f>$M$211*$W$211</f>
        <v>0</v>
      </c>
      <c r="AD211" s="4">
        <f>$O$211*$X$211</f>
        <v>0</v>
      </c>
      <c r="AE211" s="4">
        <f ca="1">$K$211*$Y$211</f>
        <v>1138.592751417109</v>
      </c>
      <c r="AF211" s="4">
        <f>$M$211*$Z$211</f>
        <v>0</v>
      </c>
      <c r="AG211" s="4">
        <f>$O$211*$AA$211</f>
        <v>0</v>
      </c>
    </row>
    <row r="212" spans="1:33" ht="11.25" customHeight="1" x14ac:dyDescent="0.3">
      <c r="A212" s="3" t="s">
        <v>27</v>
      </c>
      <c r="B212" s="3" t="s">
        <v>34</v>
      </c>
      <c r="C212" s="3" t="s">
        <v>38</v>
      </c>
      <c r="D212" s="3" t="s">
        <v>41</v>
      </c>
      <c r="E212" s="3" t="s">
        <v>25</v>
      </c>
      <c r="F212" s="3" t="s">
        <v>25</v>
      </c>
      <c r="G212" s="3" t="s">
        <v>25</v>
      </c>
      <c r="H212" s="3" t="s">
        <v>25</v>
      </c>
      <c r="I212" s="6">
        <v>44743</v>
      </c>
      <c r="J212" s="4">
        <v>50</v>
      </c>
      <c r="K212" s="52">
        <v>50</v>
      </c>
      <c r="L212" s="4">
        <v>0</v>
      </c>
      <c r="M212" s="52">
        <v>0</v>
      </c>
      <c r="N212" s="4">
        <v>0</v>
      </c>
      <c r="O212" s="52">
        <v>0</v>
      </c>
      <c r="P212" s="4">
        <v>1</v>
      </c>
      <c r="Q212" s="3" t="s">
        <v>26</v>
      </c>
      <c r="R212" s="3">
        <v>0</v>
      </c>
      <c r="S212" s="4">
        <v>5</v>
      </c>
      <c r="T212" s="4">
        <v>0</v>
      </c>
      <c r="U212" s="4">
        <v>0</v>
      </c>
      <c r="V212" s="52">
        <f>IF(ISERROR(VLOOKUP($S$212,'TAR FIN'!$A$1:$O$85,15,0)),0,VLOOKUP($S$212,'TAR FIN'!$A$1:$O$85,15,0))*(1-0.04)</f>
        <v>19.526399999999999</v>
      </c>
      <c r="W212" s="52">
        <f>IF(ISERROR(VLOOKUP($T$212,'TAR FIN'!$A$1:$O$85,15,0)),0,VLOOKUP($T$212,'TAR FIN'!$A$1:$O$85,15,0))</f>
        <v>0</v>
      </c>
      <c r="X212" s="52">
        <f>IF(ISERROR(VLOOKUP($U$212,'TAR FIN'!$A$1:$O$85,15,0)),0,VLOOKUP($U$212,'TAR FIN'!$A$1:$O$85,15,0))</f>
        <v>0</v>
      </c>
      <c r="Y212" s="52">
        <f ca="1">('TUSD BE'!$AM$10+'TUSD BF'!$AM$10+'TUSD CVA'!$AM$10)*1*(1-0.02)</f>
        <v>22.771855028342177</v>
      </c>
      <c r="Z212" s="52"/>
      <c r="AA212" s="52"/>
      <c r="AB212" s="4">
        <f>$K$212*$V$212</f>
        <v>976.31999999999994</v>
      </c>
      <c r="AC212" s="4">
        <f>$M$212*$W$212</f>
        <v>0</v>
      </c>
      <c r="AD212" s="4">
        <f>$O$212*$X$212</f>
        <v>0</v>
      </c>
      <c r="AE212" s="4">
        <f ca="1">$K$212*$Y$212</f>
        <v>1138.592751417109</v>
      </c>
      <c r="AF212" s="4">
        <f>$M$212*$Z$212</f>
        <v>0</v>
      </c>
      <c r="AG212" s="4">
        <f>$O$212*$AA$212</f>
        <v>0</v>
      </c>
    </row>
    <row r="213" spans="1:33" ht="11.25" customHeight="1" x14ac:dyDescent="0.3">
      <c r="A213" s="3" t="s">
        <v>53</v>
      </c>
      <c r="B213" s="3" t="s">
        <v>34</v>
      </c>
      <c r="C213" s="3" t="s">
        <v>38</v>
      </c>
      <c r="D213" s="3" t="s">
        <v>41</v>
      </c>
      <c r="E213" s="3" t="s">
        <v>25</v>
      </c>
      <c r="F213" s="3" t="s">
        <v>25</v>
      </c>
      <c r="G213" s="3" t="s">
        <v>25</v>
      </c>
      <c r="H213" s="3" t="s">
        <v>25</v>
      </c>
      <c r="I213" s="6">
        <v>44774</v>
      </c>
      <c r="J213" s="4">
        <v>50</v>
      </c>
      <c r="K213" s="52">
        <v>50</v>
      </c>
      <c r="L213" s="4">
        <v>0</v>
      </c>
      <c r="M213" s="52">
        <v>0</v>
      </c>
      <c r="N213" s="4">
        <v>0</v>
      </c>
      <c r="O213" s="52">
        <v>0</v>
      </c>
      <c r="P213" s="4">
        <v>1</v>
      </c>
      <c r="Q213" s="3" t="s">
        <v>26</v>
      </c>
      <c r="R213" s="3">
        <v>0</v>
      </c>
      <c r="S213" s="4">
        <v>5</v>
      </c>
      <c r="T213" s="4">
        <v>0</v>
      </c>
      <c r="U213" s="4">
        <v>0</v>
      </c>
      <c r="V213" s="52">
        <f>IF(ISERROR(VLOOKUP($S$213,'TAR FIN'!$A$1:$O$85,15,0)),0,VLOOKUP($S$213,'TAR FIN'!$A$1:$O$85,15,0))*(1-0.04)</f>
        <v>19.526399999999999</v>
      </c>
      <c r="W213" s="52">
        <f>IF(ISERROR(VLOOKUP($T$213,'TAR FIN'!$A$1:$O$85,15,0)),0,VLOOKUP($T$213,'TAR FIN'!$A$1:$O$85,15,0))</f>
        <v>0</v>
      </c>
      <c r="X213" s="52">
        <f>IF(ISERROR(VLOOKUP($U$213,'TAR FIN'!$A$1:$O$85,15,0)),0,VLOOKUP($U$213,'TAR FIN'!$A$1:$O$85,15,0))</f>
        <v>0</v>
      </c>
      <c r="Y213" s="52">
        <f ca="1">('TUSD BE'!$AM$10+'TUSD BF'!$AM$10+'TUSD CVA'!$AM$10)*1*(1-0.02)</f>
        <v>22.771855028342177</v>
      </c>
      <c r="Z213" s="52"/>
      <c r="AA213" s="52"/>
      <c r="AB213" s="4">
        <f>$K$213*$V$213</f>
        <v>976.31999999999994</v>
      </c>
      <c r="AC213" s="4">
        <f>$M$213*$W$213</f>
        <v>0</v>
      </c>
      <c r="AD213" s="4">
        <f>$O$213*$X$213</f>
        <v>0</v>
      </c>
      <c r="AE213" s="4">
        <f ca="1">$K$213*$Y$213</f>
        <v>1138.592751417109</v>
      </c>
      <c r="AF213" s="4">
        <f>$M$213*$Z$213</f>
        <v>0</v>
      </c>
      <c r="AG213" s="4">
        <f>$O$213*$AA$213</f>
        <v>0</v>
      </c>
    </row>
    <row r="214" spans="1:33" ht="11.25" customHeight="1" x14ac:dyDescent="0.3">
      <c r="A214" s="3" t="s">
        <v>27</v>
      </c>
      <c r="B214" s="3" t="s">
        <v>34</v>
      </c>
      <c r="C214" s="3" t="s">
        <v>38</v>
      </c>
      <c r="D214" s="3" t="s">
        <v>41</v>
      </c>
      <c r="E214" s="3" t="s">
        <v>25</v>
      </c>
      <c r="F214" s="3" t="s">
        <v>25</v>
      </c>
      <c r="G214" s="3" t="s">
        <v>25</v>
      </c>
      <c r="H214" s="3" t="s">
        <v>36</v>
      </c>
      <c r="I214" s="6">
        <v>44501</v>
      </c>
      <c r="J214" s="4">
        <v>0</v>
      </c>
      <c r="K214" s="52">
        <v>0</v>
      </c>
      <c r="L214" s="4">
        <v>0.70199999999999996</v>
      </c>
      <c r="M214" s="52">
        <v>0.70199999999999996</v>
      </c>
      <c r="N214" s="4">
        <v>0.70199999999999996</v>
      </c>
      <c r="O214" s="52">
        <v>0.70199999999999996</v>
      </c>
      <c r="P214" s="4">
        <v>0</v>
      </c>
      <c r="Q214" s="3" t="s">
        <v>26</v>
      </c>
      <c r="R214" s="3">
        <v>0</v>
      </c>
      <c r="S214" s="4">
        <v>0</v>
      </c>
      <c r="T214" s="4">
        <v>13</v>
      </c>
      <c r="U214" s="4">
        <v>22</v>
      </c>
      <c r="V214" s="52">
        <f>IF(ISERROR(VLOOKUP($S$214,'TAR FIN'!$A$1:$O$85,15,0)),0,VLOOKUP($S$214,'TAR FIN'!$A$1:$O$85,15,0))</f>
        <v>0</v>
      </c>
      <c r="W214" s="52">
        <f>IF(ISERROR(VLOOKUP($T$214,'TAR FIN'!$A$1:$O$85,15,0)),0,VLOOKUP($T$214,'TAR FIN'!$A$1:$O$85,15,0))*(1-0.04)</f>
        <v>1559.2991999999999</v>
      </c>
      <c r="X214" s="52">
        <f>IF(ISERROR(VLOOKUP($U$214,'TAR FIN'!$A$1:$O$85,15,0)),0,VLOOKUP($U$214,'TAR FIN'!$A$1:$O$85,15,0))*(1-0.04)</f>
        <v>280.17599999999999</v>
      </c>
      <c r="Y214" s="52"/>
      <c r="Z214" s="52">
        <f ca="1">('TUSD BE'!$AM$11+'TUSD BF'!$AM$11+'TUSD CVA'!$AM$11)*1*(1-0.02)</f>
        <v>1607.8945245641721</v>
      </c>
      <c r="AA214" s="52">
        <f>('TE BE'!$AB$5+'TE BF'!$AB$5+'TE CVA'!$AB$5)*1*(1-0.02)</f>
        <v>209.49782607246507</v>
      </c>
      <c r="AB214" s="4">
        <f>$K$214*$V$214</f>
        <v>0</v>
      </c>
      <c r="AC214" s="4">
        <f>$M$214*$W$214</f>
        <v>1094.6280383999999</v>
      </c>
      <c r="AD214" s="4">
        <f>$O$214*$X$214</f>
        <v>196.68355199999999</v>
      </c>
      <c r="AE214" s="4">
        <f>$K$214*$Y$214</f>
        <v>0</v>
      </c>
      <c r="AF214" s="4">
        <f ca="1">$M$214*$Z$214</f>
        <v>1128.7419562440487</v>
      </c>
      <c r="AG214" s="4">
        <f>$O$214*$AA$214</f>
        <v>147.06747390287046</v>
      </c>
    </row>
    <row r="215" spans="1:33" ht="11.25" customHeight="1" x14ac:dyDescent="0.3">
      <c r="A215" s="3" t="s">
        <v>27</v>
      </c>
      <c r="B215" s="3" t="s">
        <v>34</v>
      </c>
      <c r="C215" s="3" t="s">
        <v>38</v>
      </c>
      <c r="D215" s="3" t="s">
        <v>41</v>
      </c>
      <c r="E215" s="3" t="s">
        <v>25</v>
      </c>
      <c r="F215" s="3" t="s">
        <v>25</v>
      </c>
      <c r="G215" s="3" t="s">
        <v>25</v>
      </c>
      <c r="H215" s="3" t="s">
        <v>36</v>
      </c>
      <c r="I215" s="6">
        <v>44531</v>
      </c>
      <c r="J215" s="4">
        <v>0</v>
      </c>
      <c r="K215" s="52">
        <v>0</v>
      </c>
      <c r="L215" s="4">
        <v>0.8</v>
      </c>
      <c r="M215" s="52">
        <v>0.8</v>
      </c>
      <c r="N215" s="4">
        <v>0.8</v>
      </c>
      <c r="O215" s="52">
        <v>0.8</v>
      </c>
      <c r="P215" s="4">
        <v>0</v>
      </c>
      <c r="Q215" s="3" t="s">
        <v>26</v>
      </c>
      <c r="R215" s="3">
        <v>0</v>
      </c>
      <c r="S215" s="4">
        <v>0</v>
      </c>
      <c r="T215" s="4">
        <v>13</v>
      </c>
      <c r="U215" s="4">
        <v>22</v>
      </c>
      <c r="V215" s="52">
        <f>IF(ISERROR(VLOOKUP($S$215,'TAR FIN'!$A$1:$O$85,15,0)),0,VLOOKUP($S$215,'TAR FIN'!$A$1:$O$85,15,0))</f>
        <v>0</v>
      </c>
      <c r="W215" s="52">
        <f>IF(ISERROR(VLOOKUP($T$215,'TAR FIN'!$A$1:$O$85,15,0)),0,VLOOKUP($T$215,'TAR FIN'!$A$1:$O$85,15,0))*(1-0.04)</f>
        <v>1559.2991999999999</v>
      </c>
      <c r="X215" s="52">
        <f>IF(ISERROR(VLOOKUP($U$215,'TAR FIN'!$A$1:$O$85,15,0)),0,VLOOKUP($U$215,'TAR FIN'!$A$1:$O$85,15,0))*(1-0.04)</f>
        <v>280.17599999999999</v>
      </c>
      <c r="Y215" s="52"/>
      <c r="Z215" s="52">
        <f ca="1">('TUSD BE'!$AM$11+'TUSD BF'!$AM$11+'TUSD CVA'!$AM$11)*1*(1-0.02)</f>
        <v>1607.8945245641721</v>
      </c>
      <c r="AA215" s="52">
        <f>('TE BE'!$AB$5+'TE BF'!$AB$5+'TE CVA'!$AB$5)*1*(1-0.02)</f>
        <v>209.49782607246507</v>
      </c>
      <c r="AB215" s="4">
        <f>$K$215*$V$215</f>
        <v>0</v>
      </c>
      <c r="AC215" s="4">
        <f>$M$215*$W$215</f>
        <v>1247.4393600000001</v>
      </c>
      <c r="AD215" s="4">
        <f>$O$215*$X$215</f>
        <v>224.14080000000001</v>
      </c>
      <c r="AE215" s="4">
        <f>$K$215*$Y$215</f>
        <v>0</v>
      </c>
      <c r="AF215" s="4">
        <f ca="1">$M$215*$Z$215</f>
        <v>1286.3156196513378</v>
      </c>
      <c r="AG215" s="4">
        <f>$O$215*$AA$215</f>
        <v>167.59826085797206</v>
      </c>
    </row>
    <row r="216" spans="1:33" ht="11.25" customHeight="1" x14ac:dyDescent="0.3">
      <c r="A216" s="3" t="s">
        <v>27</v>
      </c>
      <c r="B216" s="3" t="s">
        <v>34</v>
      </c>
      <c r="C216" s="3" t="s">
        <v>38</v>
      </c>
      <c r="D216" s="3" t="s">
        <v>41</v>
      </c>
      <c r="E216" s="3" t="s">
        <v>25</v>
      </c>
      <c r="F216" s="3" t="s">
        <v>25</v>
      </c>
      <c r="G216" s="3" t="s">
        <v>25</v>
      </c>
      <c r="H216" s="3" t="s">
        <v>36</v>
      </c>
      <c r="I216" s="6">
        <v>44562</v>
      </c>
      <c r="J216" s="4">
        <v>0</v>
      </c>
      <c r="K216" s="52">
        <v>0</v>
      </c>
      <c r="L216" s="4">
        <v>0.871</v>
      </c>
      <c r="M216" s="52">
        <v>0.871</v>
      </c>
      <c r="N216" s="4">
        <v>0.871</v>
      </c>
      <c r="O216" s="52">
        <v>0.871</v>
      </c>
      <c r="P216" s="4">
        <v>0</v>
      </c>
      <c r="Q216" s="3" t="s">
        <v>26</v>
      </c>
      <c r="R216" s="3">
        <v>0</v>
      </c>
      <c r="S216" s="4">
        <v>0</v>
      </c>
      <c r="T216" s="4">
        <v>13</v>
      </c>
      <c r="U216" s="4">
        <v>22</v>
      </c>
      <c r="V216" s="52">
        <f>IF(ISERROR(VLOOKUP($S$216,'TAR FIN'!$A$1:$O$85,15,0)),0,VLOOKUP($S$216,'TAR FIN'!$A$1:$O$85,15,0))</f>
        <v>0</v>
      </c>
      <c r="W216" s="52">
        <f>IF(ISERROR(VLOOKUP($T$216,'TAR FIN'!$A$1:$O$85,15,0)),0,VLOOKUP($T$216,'TAR FIN'!$A$1:$O$85,15,0))*(1-0.04)</f>
        <v>1559.2991999999999</v>
      </c>
      <c r="X216" s="52">
        <f>IF(ISERROR(VLOOKUP($U$216,'TAR FIN'!$A$1:$O$85,15,0)),0,VLOOKUP($U$216,'TAR FIN'!$A$1:$O$85,15,0))*(1-0.04)</f>
        <v>280.17599999999999</v>
      </c>
      <c r="Y216" s="52"/>
      <c r="Z216" s="52">
        <f ca="1">('TUSD BE'!$AM$11+'TUSD BF'!$AM$11+'TUSD CVA'!$AM$11)*1*(1-0.02)</f>
        <v>1607.8945245641721</v>
      </c>
      <c r="AA216" s="52">
        <f>('TE BE'!$AB$5+'TE BF'!$AB$5+'TE CVA'!$AB$5)*1*(1-0.02)</f>
        <v>209.49782607246507</v>
      </c>
      <c r="AB216" s="4">
        <f>$K$216*$V$216</f>
        <v>0</v>
      </c>
      <c r="AC216" s="4">
        <f>$M$216*$W$216</f>
        <v>1358.1496032</v>
      </c>
      <c r="AD216" s="4">
        <f>$O$216*$X$216</f>
        <v>244.03329599999998</v>
      </c>
      <c r="AE216" s="4">
        <f>$K$216*$Y$216</f>
        <v>0</v>
      </c>
      <c r="AF216" s="4">
        <f ca="1">$M$216*$Z$216</f>
        <v>1400.4761308953939</v>
      </c>
      <c r="AG216" s="4">
        <f>$O$216*$AA$216</f>
        <v>182.47260650911707</v>
      </c>
    </row>
    <row r="217" spans="1:33" ht="11.25" customHeight="1" x14ac:dyDescent="0.3">
      <c r="A217" s="3" t="s">
        <v>27</v>
      </c>
      <c r="B217" s="3" t="s">
        <v>34</v>
      </c>
      <c r="C217" s="3" t="s">
        <v>38</v>
      </c>
      <c r="D217" s="3" t="s">
        <v>41</v>
      </c>
      <c r="E217" s="3" t="s">
        <v>25</v>
      </c>
      <c r="F217" s="3" t="s">
        <v>25</v>
      </c>
      <c r="G217" s="3" t="s">
        <v>25</v>
      </c>
      <c r="H217" s="3" t="s">
        <v>36</v>
      </c>
      <c r="I217" s="6">
        <v>44593</v>
      </c>
      <c r="J217" s="4">
        <v>0</v>
      </c>
      <c r="K217" s="52">
        <v>0</v>
      </c>
      <c r="L217" s="4">
        <v>0.68500000000000005</v>
      </c>
      <c r="M217" s="52">
        <v>0.68500000000000005</v>
      </c>
      <c r="N217" s="4">
        <v>0.68500000000000005</v>
      </c>
      <c r="O217" s="52">
        <v>0.68500000000000005</v>
      </c>
      <c r="P217" s="4">
        <v>0</v>
      </c>
      <c r="Q217" s="3" t="s">
        <v>26</v>
      </c>
      <c r="R217" s="3">
        <v>0</v>
      </c>
      <c r="S217" s="4">
        <v>0</v>
      </c>
      <c r="T217" s="4">
        <v>13</v>
      </c>
      <c r="U217" s="4">
        <v>22</v>
      </c>
      <c r="V217" s="52">
        <f>IF(ISERROR(VLOOKUP($S$217,'TAR FIN'!$A$1:$O$85,15,0)),0,VLOOKUP($S$217,'TAR FIN'!$A$1:$O$85,15,0))</f>
        <v>0</v>
      </c>
      <c r="W217" s="52">
        <f>IF(ISERROR(VLOOKUP($T$217,'TAR FIN'!$A$1:$O$85,15,0)),0,VLOOKUP($T$217,'TAR FIN'!$A$1:$O$85,15,0))*(1-0.04)</f>
        <v>1559.2991999999999</v>
      </c>
      <c r="X217" s="52">
        <f>IF(ISERROR(VLOOKUP($U$217,'TAR FIN'!$A$1:$O$85,15,0)),0,VLOOKUP($U$217,'TAR FIN'!$A$1:$O$85,15,0))*(1-0.04)</f>
        <v>280.17599999999999</v>
      </c>
      <c r="Y217" s="52"/>
      <c r="Z217" s="52">
        <f ca="1">('TUSD BE'!$AM$11+'TUSD BF'!$AM$11+'TUSD CVA'!$AM$11)*1*(1-0.02)</f>
        <v>1607.8945245641721</v>
      </c>
      <c r="AA217" s="52">
        <f>('TE BE'!$AB$5+'TE BF'!$AB$5+'TE CVA'!$AB$5)*1*(1-0.02)</f>
        <v>209.49782607246507</v>
      </c>
      <c r="AB217" s="4">
        <f>$K$217*$V$217</f>
        <v>0</v>
      </c>
      <c r="AC217" s="4">
        <f>$M$217*$W$217</f>
        <v>1068.119952</v>
      </c>
      <c r="AD217" s="4">
        <f>$O$217*$X$217</f>
        <v>191.92055999999999</v>
      </c>
      <c r="AE217" s="4">
        <f>$K$217*$Y$217</f>
        <v>0</v>
      </c>
      <c r="AF217" s="4">
        <f ca="1">$M$217*$Z$217</f>
        <v>1101.4077493264581</v>
      </c>
      <c r="AG217" s="4">
        <f>$O$217*$AA$217</f>
        <v>143.50601085963859</v>
      </c>
    </row>
    <row r="218" spans="1:33" ht="11.25" customHeight="1" x14ac:dyDescent="0.3">
      <c r="A218" s="3" t="s">
        <v>27</v>
      </c>
      <c r="B218" s="3" t="s">
        <v>34</v>
      </c>
      <c r="C218" s="3" t="s">
        <v>38</v>
      </c>
      <c r="D218" s="3" t="s">
        <v>41</v>
      </c>
      <c r="E218" s="3" t="s">
        <v>25</v>
      </c>
      <c r="F218" s="3" t="s">
        <v>25</v>
      </c>
      <c r="G218" s="3" t="s">
        <v>25</v>
      </c>
      <c r="H218" s="3" t="s">
        <v>36</v>
      </c>
      <c r="I218" s="6">
        <v>44621</v>
      </c>
      <c r="J218" s="4">
        <v>0</v>
      </c>
      <c r="K218" s="52">
        <v>0</v>
      </c>
      <c r="L218" s="4">
        <v>0.48299999999999998</v>
      </c>
      <c r="M218" s="52">
        <v>0.48299999999999998</v>
      </c>
      <c r="N218" s="4">
        <v>0.48299999999999998</v>
      </c>
      <c r="O218" s="52">
        <v>0.48299999999999998</v>
      </c>
      <c r="P218" s="4">
        <v>0</v>
      </c>
      <c r="Q218" s="3" t="s">
        <v>26</v>
      </c>
      <c r="R218" s="3">
        <v>0</v>
      </c>
      <c r="S218" s="4">
        <v>0</v>
      </c>
      <c r="T218" s="4">
        <v>13</v>
      </c>
      <c r="U218" s="4">
        <v>22</v>
      </c>
      <c r="V218" s="52">
        <f>IF(ISERROR(VLOOKUP($S$218,'TAR FIN'!$A$1:$O$85,15,0)),0,VLOOKUP($S$218,'TAR FIN'!$A$1:$O$85,15,0))</f>
        <v>0</v>
      </c>
      <c r="W218" s="52">
        <f>IF(ISERROR(VLOOKUP($T$218,'TAR FIN'!$A$1:$O$85,15,0)),0,VLOOKUP($T$218,'TAR FIN'!$A$1:$O$85,15,0))*(1-0.04)</f>
        <v>1559.2991999999999</v>
      </c>
      <c r="X218" s="52">
        <f>IF(ISERROR(VLOOKUP($U$218,'TAR FIN'!$A$1:$O$85,15,0)),0,VLOOKUP($U$218,'TAR FIN'!$A$1:$O$85,15,0))*(1-0.04)</f>
        <v>280.17599999999999</v>
      </c>
      <c r="Y218" s="52"/>
      <c r="Z218" s="52">
        <f ca="1">('TUSD BE'!$AM$11+'TUSD BF'!$AM$11+'TUSD CVA'!$AM$11)*1*(1-0.02)</f>
        <v>1607.8945245641721</v>
      </c>
      <c r="AA218" s="52">
        <f>('TE BE'!$AB$5+'TE BF'!$AB$5+'TE CVA'!$AB$5)*1*(1-0.02)</f>
        <v>209.49782607246507</v>
      </c>
      <c r="AB218" s="4">
        <f>$K$218*$V$218</f>
        <v>0</v>
      </c>
      <c r="AC218" s="4">
        <f>$M$218*$W$218</f>
        <v>753.14151359999994</v>
      </c>
      <c r="AD218" s="4">
        <f>$O$218*$X$218</f>
        <v>135.325008</v>
      </c>
      <c r="AE218" s="4">
        <f>$K$218*$Y$218</f>
        <v>0</v>
      </c>
      <c r="AF218" s="4">
        <f ca="1">$M$218*$Z$218</f>
        <v>776.61305536449515</v>
      </c>
      <c r="AG218" s="4">
        <f>$O$218*$AA$218</f>
        <v>101.18744999300063</v>
      </c>
    </row>
    <row r="219" spans="1:33" ht="11.25" customHeight="1" x14ac:dyDescent="0.3">
      <c r="A219" s="3" t="s">
        <v>27</v>
      </c>
      <c r="B219" s="3" t="s">
        <v>34</v>
      </c>
      <c r="C219" s="3" t="s">
        <v>38</v>
      </c>
      <c r="D219" s="3" t="s">
        <v>41</v>
      </c>
      <c r="E219" s="3" t="s">
        <v>25</v>
      </c>
      <c r="F219" s="3" t="s">
        <v>25</v>
      </c>
      <c r="G219" s="3" t="s">
        <v>25</v>
      </c>
      <c r="H219" s="3" t="s">
        <v>36</v>
      </c>
      <c r="I219" s="6">
        <v>44652</v>
      </c>
      <c r="J219" s="4">
        <v>0</v>
      </c>
      <c r="K219" s="52">
        <v>0</v>
      </c>
      <c r="L219" s="4">
        <v>0.35099999999999998</v>
      </c>
      <c r="M219" s="52">
        <v>0.35099999999999998</v>
      </c>
      <c r="N219" s="4">
        <v>0.35099999999999998</v>
      </c>
      <c r="O219" s="52">
        <v>0.35099999999999998</v>
      </c>
      <c r="P219" s="4">
        <v>0</v>
      </c>
      <c r="Q219" s="3" t="s">
        <v>26</v>
      </c>
      <c r="R219" s="3">
        <v>0</v>
      </c>
      <c r="S219" s="4">
        <v>0</v>
      </c>
      <c r="T219" s="4">
        <v>13</v>
      </c>
      <c r="U219" s="4">
        <v>22</v>
      </c>
      <c r="V219" s="52">
        <f>IF(ISERROR(VLOOKUP($S$219,'TAR FIN'!$A$1:$O$85,15,0)),0,VLOOKUP($S$219,'TAR FIN'!$A$1:$O$85,15,0))</f>
        <v>0</v>
      </c>
      <c r="W219" s="52">
        <f>IF(ISERROR(VLOOKUP($T$219,'TAR FIN'!$A$1:$O$85,15,0)),0,VLOOKUP($T$219,'TAR FIN'!$A$1:$O$85,15,0))*(1-0.04)</f>
        <v>1559.2991999999999</v>
      </c>
      <c r="X219" s="52">
        <f>IF(ISERROR(VLOOKUP($U$219,'TAR FIN'!$A$1:$O$85,15,0)),0,VLOOKUP($U$219,'TAR FIN'!$A$1:$O$85,15,0))*(1-0.04)</f>
        <v>280.17599999999999</v>
      </c>
      <c r="Y219" s="52"/>
      <c r="Z219" s="52">
        <f ca="1">('TUSD BE'!$AM$11+'TUSD BF'!$AM$11+'TUSD CVA'!$AM$11)*1*(1-0.02)</f>
        <v>1607.8945245641721</v>
      </c>
      <c r="AA219" s="52">
        <f>('TE BE'!$AB$5+'TE BF'!$AB$5+'TE CVA'!$AB$5)*1*(1-0.02)</f>
        <v>209.49782607246507</v>
      </c>
      <c r="AB219" s="4">
        <f>$K$219*$V$219</f>
        <v>0</v>
      </c>
      <c r="AC219" s="4">
        <f>$M$219*$W$219</f>
        <v>547.31401919999996</v>
      </c>
      <c r="AD219" s="4">
        <f>$O$219*$X$219</f>
        <v>98.341775999999996</v>
      </c>
      <c r="AE219" s="4">
        <f>$K$219*$Y$219</f>
        <v>0</v>
      </c>
      <c r="AF219" s="4">
        <f ca="1">$M$219*$Z$219</f>
        <v>564.37097812202433</v>
      </c>
      <c r="AG219" s="4">
        <f>$O$219*$AA$219</f>
        <v>73.53373695143523</v>
      </c>
    </row>
    <row r="220" spans="1:33" ht="11.25" customHeight="1" x14ac:dyDescent="0.3">
      <c r="A220" s="3" t="s">
        <v>27</v>
      </c>
      <c r="B220" s="3" t="s">
        <v>34</v>
      </c>
      <c r="C220" s="3" t="s">
        <v>38</v>
      </c>
      <c r="D220" s="3" t="s">
        <v>41</v>
      </c>
      <c r="E220" s="3" t="s">
        <v>25</v>
      </c>
      <c r="F220" s="3" t="s">
        <v>25</v>
      </c>
      <c r="G220" s="3" t="s">
        <v>25</v>
      </c>
      <c r="H220" s="3" t="s">
        <v>36</v>
      </c>
      <c r="I220" s="6">
        <v>44682</v>
      </c>
      <c r="J220" s="4">
        <v>0</v>
      </c>
      <c r="K220" s="52">
        <v>0</v>
      </c>
      <c r="L220" s="4">
        <v>0.40200000000000002</v>
      </c>
      <c r="M220" s="52">
        <v>0.40200000000000002</v>
      </c>
      <c r="N220" s="4">
        <v>0.40200000000000002</v>
      </c>
      <c r="O220" s="52">
        <v>0.40200000000000002</v>
      </c>
      <c r="P220" s="4">
        <v>0</v>
      </c>
      <c r="Q220" s="3" t="s">
        <v>26</v>
      </c>
      <c r="R220" s="3">
        <v>0</v>
      </c>
      <c r="S220" s="4">
        <v>0</v>
      </c>
      <c r="T220" s="4">
        <v>13</v>
      </c>
      <c r="U220" s="4">
        <v>22</v>
      </c>
      <c r="V220" s="52">
        <f>IF(ISERROR(VLOOKUP($S$220,'TAR FIN'!$A$1:$O$85,15,0)),0,VLOOKUP($S$220,'TAR FIN'!$A$1:$O$85,15,0))</f>
        <v>0</v>
      </c>
      <c r="W220" s="52">
        <f>IF(ISERROR(VLOOKUP($T$220,'TAR FIN'!$A$1:$O$85,15,0)),0,VLOOKUP($T$220,'TAR FIN'!$A$1:$O$85,15,0))*(1-0.04)</f>
        <v>1559.2991999999999</v>
      </c>
      <c r="X220" s="52">
        <f>IF(ISERROR(VLOOKUP($U$220,'TAR FIN'!$A$1:$O$85,15,0)),0,VLOOKUP($U$220,'TAR FIN'!$A$1:$O$85,15,0))*(1-0.04)</f>
        <v>280.17599999999999</v>
      </c>
      <c r="Y220" s="52"/>
      <c r="Z220" s="52">
        <f ca="1">('TUSD BE'!$AM$11+'TUSD BF'!$AM$11+'TUSD CVA'!$AM$11)*1*(1-0.02)</f>
        <v>1607.8945245641721</v>
      </c>
      <c r="AA220" s="52">
        <f>('TE BE'!$AB$5+'TE BF'!$AB$5+'TE CVA'!$AB$5)*1*(1-0.02)</f>
        <v>209.49782607246507</v>
      </c>
      <c r="AB220" s="4">
        <f>$K$220*$V$220</f>
        <v>0</v>
      </c>
      <c r="AC220" s="4">
        <f>$M$220*$W$220</f>
        <v>626.83827840000004</v>
      </c>
      <c r="AD220" s="4">
        <f>$O$220*$X$220</f>
        <v>112.630752</v>
      </c>
      <c r="AE220" s="4">
        <f>$K$220*$Y$220</f>
        <v>0</v>
      </c>
      <c r="AF220" s="4">
        <f ca="1">$M$220*$Z$220</f>
        <v>646.37359887479727</v>
      </c>
      <c r="AG220" s="4">
        <f>$O$220*$AA$220</f>
        <v>84.218126081130961</v>
      </c>
    </row>
    <row r="221" spans="1:33" ht="11.25" customHeight="1" x14ac:dyDescent="0.3">
      <c r="A221" s="3" t="s">
        <v>27</v>
      </c>
      <c r="B221" s="3" t="s">
        <v>34</v>
      </c>
      <c r="C221" s="3" t="s">
        <v>38</v>
      </c>
      <c r="D221" s="3" t="s">
        <v>41</v>
      </c>
      <c r="E221" s="3" t="s">
        <v>25</v>
      </c>
      <c r="F221" s="3" t="s">
        <v>25</v>
      </c>
      <c r="G221" s="3" t="s">
        <v>25</v>
      </c>
      <c r="H221" s="3" t="s">
        <v>36</v>
      </c>
      <c r="I221" s="6">
        <v>44713</v>
      </c>
      <c r="J221" s="4">
        <v>0</v>
      </c>
      <c r="K221" s="52">
        <v>0</v>
      </c>
      <c r="L221" s="4">
        <v>0.50800000000000001</v>
      </c>
      <c r="M221" s="52">
        <v>0.50800000000000001</v>
      </c>
      <c r="N221" s="4">
        <v>0.50800000000000001</v>
      </c>
      <c r="O221" s="52">
        <v>0.50800000000000001</v>
      </c>
      <c r="P221" s="4">
        <v>0</v>
      </c>
      <c r="Q221" s="3" t="s">
        <v>26</v>
      </c>
      <c r="R221" s="3">
        <v>0</v>
      </c>
      <c r="S221" s="4">
        <v>0</v>
      </c>
      <c r="T221" s="4">
        <v>13</v>
      </c>
      <c r="U221" s="4">
        <v>22</v>
      </c>
      <c r="V221" s="52">
        <f>IF(ISERROR(VLOOKUP($S$221,'TAR FIN'!$A$1:$O$85,15,0)),0,VLOOKUP($S$221,'TAR FIN'!$A$1:$O$85,15,0))</f>
        <v>0</v>
      </c>
      <c r="W221" s="52">
        <f>IF(ISERROR(VLOOKUP($T$221,'TAR FIN'!$A$1:$O$85,15,0)),0,VLOOKUP($T$221,'TAR FIN'!$A$1:$O$85,15,0))*(1-0.04)</f>
        <v>1559.2991999999999</v>
      </c>
      <c r="X221" s="52">
        <f>IF(ISERROR(VLOOKUP($U$221,'TAR FIN'!$A$1:$O$85,15,0)),0,VLOOKUP($U$221,'TAR FIN'!$A$1:$O$85,15,0))*(1-0.04)</f>
        <v>280.17599999999999</v>
      </c>
      <c r="Y221" s="52"/>
      <c r="Z221" s="52">
        <f ca="1">('TUSD BE'!$AM$11+'TUSD BF'!$AM$11+'TUSD CVA'!$AM$11)*1*(1-0.02)</f>
        <v>1607.8945245641721</v>
      </c>
      <c r="AA221" s="52">
        <f>('TE BE'!$AB$5+'TE BF'!$AB$5+'TE CVA'!$AB$5)*1*(1-0.02)</f>
        <v>209.49782607246507</v>
      </c>
      <c r="AB221" s="4">
        <f>$K$221*$V$221</f>
        <v>0</v>
      </c>
      <c r="AC221" s="4">
        <f>$M$221*$W$221</f>
        <v>792.12399359999995</v>
      </c>
      <c r="AD221" s="4">
        <f>$O$221*$X$221</f>
        <v>142.329408</v>
      </c>
      <c r="AE221" s="4">
        <f>$K$221*$Y$221</f>
        <v>0</v>
      </c>
      <c r="AF221" s="4">
        <f ca="1">$M$221*$Z$221</f>
        <v>816.81041847859944</v>
      </c>
      <c r="AG221" s="4">
        <f>$O$221*$AA$221</f>
        <v>106.42489564481225</v>
      </c>
    </row>
    <row r="222" spans="1:33" ht="11.25" customHeight="1" x14ac:dyDescent="0.3">
      <c r="A222" s="3" t="s">
        <v>27</v>
      </c>
      <c r="B222" s="3" t="s">
        <v>34</v>
      </c>
      <c r="C222" s="3" t="s">
        <v>38</v>
      </c>
      <c r="D222" s="3" t="s">
        <v>41</v>
      </c>
      <c r="E222" s="3" t="s">
        <v>25</v>
      </c>
      <c r="F222" s="3" t="s">
        <v>25</v>
      </c>
      <c r="G222" s="3" t="s">
        <v>25</v>
      </c>
      <c r="H222" s="3" t="s">
        <v>36</v>
      </c>
      <c r="I222" s="6">
        <v>44743</v>
      </c>
      <c r="J222" s="4">
        <v>0</v>
      </c>
      <c r="K222" s="52">
        <v>0</v>
      </c>
      <c r="L222" s="4">
        <v>0.435</v>
      </c>
      <c r="M222" s="52">
        <v>0.435</v>
      </c>
      <c r="N222" s="4">
        <v>0.435</v>
      </c>
      <c r="O222" s="52">
        <v>0.435</v>
      </c>
      <c r="P222" s="4">
        <v>0</v>
      </c>
      <c r="Q222" s="3" t="s">
        <v>26</v>
      </c>
      <c r="R222" s="3">
        <v>0</v>
      </c>
      <c r="S222" s="4">
        <v>0</v>
      </c>
      <c r="T222" s="4">
        <v>13</v>
      </c>
      <c r="U222" s="4">
        <v>22</v>
      </c>
      <c r="V222" s="52">
        <f>IF(ISERROR(VLOOKUP($S$222,'TAR FIN'!$A$1:$O$85,15,0)),0,VLOOKUP($S$222,'TAR FIN'!$A$1:$O$85,15,0))</f>
        <v>0</v>
      </c>
      <c r="W222" s="52">
        <f>IF(ISERROR(VLOOKUP($T$222,'TAR FIN'!$A$1:$O$85,15,0)),0,VLOOKUP($T$222,'TAR FIN'!$A$1:$O$85,15,0))*(1-0.04)</f>
        <v>1559.2991999999999</v>
      </c>
      <c r="X222" s="52">
        <f>IF(ISERROR(VLOOKUP($U$222,'TAR FIN'!$A$1:$O$85,15,0)),0,VLOOKUP($U$222,'TAR FIN'!$A$1:$O$85,15,0))*(1-0.04)</f>
        <v>280.17599999999999</v>
      </c>
      <c r="Y222" s="52"/>
      <c r="Z222" s="52">
        <f ca="1">('TUSD BE'!$AM$11+'TUSD BF'!$AM$11+'TUSD CVA'!$AM$11)*1*(1-0.02)</f>
        <v>1607.8945245641721</v>
      </c>
      <c r="AA222" s="52">
        <f>('TE BE'!$AB$5+'TE BF'!$AB$5+'TE CVA'!$AB$5)*1*(1-0.02)</f>
        <v>209.49782607246507</v>
      </c>
      <c r="AB222" s="4">
        <f>$K$222*$V$222</f>
        <v>0</v>
      </c>
      <c r="AC222" s="4">
        <f>$M$222*$W$222</f>
        <v>678.29515199999992</v>
      </c>
      <c r="AD222" s="4">
        <f>$O$222*$X$222</f>
        <v>121.87656</v>
      </c>
      <c r="AE222" s="4">
        <f>$K$222*$Y$222</f>
        <v>0</v>
      </c>
      <c r="AF222" s="4">
        <f ca="1">$M$222*$Z$222</f>
        <v>699.43411818541483</v>
      </c>
      <c r="AG222" s="4">
        <f>$O$222*$AA$222</f>
        <v>91.131554341522303</v>
      </c>
    </row>
    <row r="223" spans="1:33" ht="11.25" customHeight="1" x14ac:dyDescent="0.3">
      <c r="A223" s="3" t="s">
        <v>53</v>
      </c>
      <c r="B223" s="3" t="s">
        <v>34</v>
      </c>
      <c r="C223" s="3" t="s">
        <v>38</v>
      </c>
      <c r="D223" s="3" t="s">
        <v>41</v>
      </c>
      <c r="E223" s="3" t="s">
        <v>25</v>
      </c>
      <c r="F223" s="3" t="s">
        <v>25</v>
      </c>
      <c r="G223" s="3" t="s">
        <v>25</v>
      </c>
      <c r="H223" s="3" t="s">
        <v>36</v>
      </c>
      <c r="I223" s="6">
        <v>44774</v>
      </c>
      <c r="J223" s="4">
        <v>0</v>
      </c>
      <c r="K223" s="52">
        <v>0</v>
      </c>
      <c r="L223" s="4">
        <v>0.435</v>
      </c>
      <c r="M223" s="52">
        <v>0.435</v>
      </c>
      <c r="N223" s="4">
        <v>0.435</v>
      </c>
      <c r="O223" s="52">
        <v>0.435</v>
      </c>
      <c r="P223" s="4">
        <v>0</v>
      </c>
      <c r="Q223" s="3" t="s">
        <v>26</v>
      </c>
      <c r="R223" s="3">
        <v>0</v>
      </c>
      <c r="S223" s="4">
        <v>0</v>
      </c>
      <c r="T223" s="4">
        <v>13</v>
      </c>
      <c r="U223" s="4">
        <v>22</v>
      </c>
      <c r="V223" s="52">
        <f>IF(ISERROR(VLOOKUP($S$223,'TAR FIN'!$A$1:$O$85,15,0)),0,VLOOKUP($S$223,'TAR FIN'!$A$1:$O$85,15,0))</f>
        <v>0</v>
      </c>
      <c r="W223" s="52">
        <f>IF(ISERROR(VLOOKUP($T$223,'TAR FIN'!$A$1:$O$85,15,0)),0,VLOOKUP($T$223,'TAR FIN'!$A$1:$O$85,15,0))*(1-0.04)</f>
        <v>1559.2991999999999</v>
      </c>
      <c r="X223" s="52">
        <f>IF(ISERROR(VLOOKUP($U$223,'TAR FIN'!$A$1:$O$85,15,0)),0,VLOOKUP($U$223,'TAR FIN'!$A$1:$O$85,15,0))*(1-0.04)</f>
        <v>280.17599999999999</v>
      </c>
      <c r="Y223" s="52"/>
      <c r="Z223" s="52">
        <f ca="1">('TUSD BE'!$AM$11+'TUSD BF'!$AM$11+'TUSD CVA'!$AM$11)*1*(1-0.02)</f>
        <v>1607.8945245641721</v>
      </c>
      <c r="AA223" s="52">
        <f>('TE BE'!$AB$5+'TE BF'!$AB$5+'TE CVA'!$AB$5)*1*(1-0.02)</f>
        <v>209.49782607246507</v>
      </c>
      <c r="AB223" s="4">
        <f>$K$223*$V$223</f>
        <v>0</v>
      </c>
      <c r="AC223" s="4">
        <f>$M$223*$W$223</f>
        <v>678.29515199999992</v>
      </c>
      <c r="AD223" s="4">
        <f>$O$223*$X$223</f>
        <v>121.87656</v>
      </c>
      <c r="AE223" s="4">
        <f>$K$223*$Y$223</f>
        <v>0</v>
      </c>
      <c r="AF223" s="4">
        <f ca="1">$M$223*$Z$223</f>
        <v>699.43411818541483</v>
      </c>
      <c r="AG223" s="4">
        <f>$O$223*$AA$223</f>
        <v>91.131554341522303</v>
      </c>
    </row>
    <row r="224" spans="1:33" ht="11.25" customHeight="1" x14ac:dyDescent="0.3">
      <c r="A224" s="3" t="s">
        <v>21</v>
      </c>
      <c r="B224" s="3" t="s">
        <v>22</v>
      </c>
      <c r="C224" s="3" t="s">
        <v>23</v>
      </c>
      <c r="D224" s="3" t="s">
        <v>24</v>
      </c>
      <c r="E224" s="3" t="s">
        <v>24</v>
      </c>
      <c r="F224" s="3" t="s">
        <v>25</v>
      </c>
      <c r="G224" s="3" t="s">
        <v>25</v>
      </c>
      <c r="H224" s="3" t="s">
        <v>25</v>
      </c>
      <c r="I224" s="6">
        <v>44440</v>
      </c>
      <c r="J224" s="4">
        <v>0</v>
      </c>
      <c r="K224" s="4">
        <v>0</v>
      </c>
      <c r="L224" s="4">
        <v>862.51199999999994</v>
      </c>
      <c r="M224" s="4">
        <v>862.51199999999994</v>
      </c>
      <c r="N224" s="4">
        <v>862.51199999999994</v>
      </c>
      <c r="O224" s="4">
        <v>862.51199999999994</v>
      </c>
      <c r="P224" s="4">
        <v>4573</v>
      </c>
      <c r="Q224" s="3" t="s">
        <v>26</v>
      </c>
      <c r="R224" s="3">
        <v>0</v>
      </c>
      <c r="S224" s="4">
        <v>0</v>
      </c>
      <c r="T224" s="4">
        <v>16</v>
      </c>
      <c r="U224" s="4">
        <v>53</v>
      </c>
      <c r="V224" s="4">
        <f>IF(ISERROR(VLOOKUP($S$224,'TAR FIN'!$A$1:$O$85,15,0)),0,VLOOKUP($S$224,'TAR FIN'!$A$1:$O$85,15,0))</f>
        <v>0</v>
      </c>
      <c r="W224" s="4">
        <f>IF(ISERROR(VLOOKUP($T$224,'TAR FIN'!$A$1:$O$85,15,0)),0,VLOOKUP($T$224,'TAR FIN'!$A$1:$O$85,15,0))</f>
        <v>370.66</v>
      </c>
      <c r="X224" s="4">
        <f>IF(ISERROR(VLOOKUP($U$224,'TAR FIN'!$A$1:$O$85,15,0)),0,VLOOKUP($U$224,'TAR FIN'!$A$1:$O$85,15,0))</f>
        <v>291.85000000000002</v>
      </c>
      <c r="Y224" s="4"/>
      <c r="Z224" s="4">
        <f ca="1">('TUSD BE'!$AM$20+'TUSD BF'!$AM$20+'TUSD CVA'!$AM$20)*1</f>
        <v>429.2108574011603</v>
      </c>
      <c r="AA224" s="4">
        <f>('TE BE'!$AB$11+'TE BF'!$AB$11+'TE CVA'!$AB$11)*1</f>
        <v>213.77329191067864</v>
      </c>
      <c r="AB224" s="4">
        <f>$K$224*$V$224</f>
        <v>0</v>
      </c>
      <c r="AC224" s="4">
        <f>$M$224*$W$224</f>
        <v>319698.69792000001</v>
      </c>
      <c r="AD224" s="4">
        <f>$O$224*$X$224</f>
        <v>251724.12720000002</v>
      </c>
      <c r="AE224" s="4">
        <f>$K$224*$Y$224</f>
        <v>0</v>
      </c>
      <c r="AF224" s="4">
        <f ca="1">$M$224*$Z$224</f>
        <v>370199.51503878954</v>
      </c>
      <c r="AG224" s="4">
        <f>$O$224*$AA$224</f>
        <v>184382.02955246324</v>
      </c>
    </row>
    <row r="225" spans="1:33" ht="11.25" customHeight="1" x14ac:dyDescent="0.3">
      <c r="A225" s="3" t="s">
        <v>27</v>
      </c>
      <c r="B225" s="3" t="s">
        <v>22</v>
      </c>
      <c r="C225" s="3" t="s">
        <v>23</v>
      </c>
      <c r="D225" s="3" t="s">
        <v>24</v>
      </c>
      <c r="E225" s="3" t="s">
        <v>24</v>
      </c>
      <c r="F225" s="3" t="s">
        <v>25</v>
      </c>
      <c r="G225" s="3" t="s">
        <v>25</v>
      </c>
      <c r="H225" s="3" t="s">
        <v>25</v>
      </c>
      <c r="I225" s="6">
        <v>44440</v>
      </c>
      <c r="J225" s="4">
        <v>0</v>
      </c>
      <c r="K225" s="4">
        <v>0</v>
      </c>
      <c r="L225" s="4">
        <v>23.428999999999998</v>
      </c>
      <c r="M225" s="4">
        <v>23.428999999999998</v>
      </c>
      <c r="N225" s="4">
        <v>23.428999999999998</v>
      </c>
      <c r="O225" s="4">
        <v>23.428999999999998</v>
      </c>
      <c r="P225" s="4">
        <v>124</v>
      </c>
      <c r="Q225" s="3" t="s">
        <v>26</v>
      </c>
      <c r="R225" s="3">
        <v>0</v>
      </c>
      <c r="S225" s="4">
        <v>0</v>
      </c>
      <c r="T225" s="4">
        <v>16</v>
      </c>
      <c r="U225" s="4">
        <v>53</v>
      </c>
      <c r="V225" s="4">
        <f>IF(ISERROR(VLOOKUP($S$225,'TAR FIN'!$A$1:$O$85,15,0)),0,VLOOKUP($S$225,'TAR FIN'!$A$1:$O$85,15,0))</f>
        <v>0</v>
      </c>
      <c r="W225" s="4">
        <f>IF(ISERROR(VLOOKUP($T$225,'TAR FIN'!$A$1:$O$85,15,0)),0,VLOOKUP($T$225,'TAR FIN'!$A$1:$O$85,15,0))</f>
        <v>370.66</v>
      </c>
      <c r="X225" s="4">
        <f>IF(ISERROR(VLOOKUP($U$225,'TAR FIN'!$A$1:$O$85,15,0)),0,VLOOKUP($U$225,'TAR FIN'!$A$1:$O$85,15,0))</f>
        <v>291.85000000000002</v>
      </c>
      <c r="Y225" s="4"/>
      <c r="Z225" s="4">
        <f ca="1">('TUSD BE'!$AM$20+'TUSD BF'!$AM$20+'TUSD CVA'!$AM$20)*1</f>
        <v>429.2108574011603</v>
      </c>
      <c r="AA225" s="4">
        <f>('TE BE'!$AB$11+'TE BF'!$AB$11+'TE CVA'!$AB$11)*1</f>
        <v>213.77329191067864</v>
      </c>
      <c r="AB225" s="4">
        <f>$K$225*$V$225</f>
        <v>0</v>
      </c>
      <c r="AC225" s="4">
        <f>$M$225*$W$225</f>
        <v>8684.1931399999994</v>
      </c>
      <c r="AD225" s="4">
        <f>$O$225*$X$225</f>
        <v>6837.7536499999997</v>
      </c>
      <c r="AE225" s="4">
        <f>$K$225*$Y$225</f>
        <v>0</v>
      </c>
      <c r="AF225" s="4">
        <f ca="1">$M$225*$Z$225</f>
        <v>10055.981178051785</v>
      </c>
      <c r="AG225" s="4">
        <f>$O$225*$AA$225</f>
        <v>5008.4944561752891</v>
      </c>
    </row>
    <row r="226" spans="1:33" ht="11.25" customHeight="1" x14ac:dyDescent="0.3">
      <c r="A226" s="3" t="s">
        <v>21</v>
      </c>
      <c r="B226" s="3" t="s">
        <v>22</v>
      </c>
      <c r="C226" s="3" t="s">
        <v>23</v>
      </c>
      <c r="D226" s="3" t="s">
        <v>24</v>
      </c>
      <c r="E226" s="3" t="s">
        <v>24</v>
      </c>
      <c r="F226" s="3" t="s">
        <v>25</v>
      </c>
      <c r="G226" s="3" t="s">
        <v>25</v>
      </c>
      <c r="H226" s="3" t="s">
        <v>25</v>
      </c>
      <c r="I226" s="6">
        <v>44470</v>
      </c>
      <c r="J226" s="4">
        <v>0</v>
      </c>
      <c r="K226" s="4">
        <v>0</v>
      </c>
      <c r="L226" s="4">
        <v>844.38800000000003</v>
      </c>
      <c r="M226" s="4">
        <v>844.38800000000003</v>
      </c>
      <c r="N226" s="4">
        <v>844.38800000000003</v>
      </c>
      <c r="O226" s="4">
        <v>844.38800000000003</v>
      </c>
      <c r="P226" s="4">
        <v>4584</v>
      </c>
      <c r="Q226" s="3" t="s">
        <v>26</v>
      </c>
      <c r="R226" s="3">
        <v>0</v>
      </c>
      <c r="S226" s="4">
        <v>0</v>
      </c>
      <c r="T226" s="4">
        <v>16</v>
      </c>
      <c r="U226" s="4">
        <v>53</v>
      </c>
      <c r="V226" s="4">
        <f>IF(ISERROR(VLOOKUP($S$226,'TAR FIN'!$A$1:$O$85,15,0)),0,VLOOKUP($S$226,'TAR FIN'!$A$1:$O$85,15,0))</f>
        <v>0</v>
      </c>
      <c r="W226" s="4">
        <f>IF(ISERROR(VLOOKUP($T$226,'TAR FIN'!$A$1:$O$85,15,0)),0,VLOOKUP($T$226,'TAR FIN'!$A$1:$O$85,15,0))</f>
        <v>370.66</v>
      </c>
      <c r="X226" s="4">
        <f>IF(ISERROR(VLOOKUP($U$226,'TAR FIN'!$A$1:$O$85,15,0)),0,VLOOKUP($U$226,'TAR FIN'!$A$1:$O$85,15,0))</f>
        <v>291.85000000000002</v>
      </c>
      <c r="Y226" s="4"/>
      <c r="Z226" s="4">
        <f ca="1">('TUSD BE'!$AM$20+'TUSD BF'!$AM$20+'TUSD CVA'!$AM$20)*1</f>
        <v>429.2108574011603</v>
      </c>
      <c r="AA226" s="4">
        <f>('TE BE'!$AB$11+'TE BF'!$AB$11+'TE CVA'!$AB$11)*1</f>
        <v>213.77329191067864</v>
      </c>
      <c r="AB226" s="4">
        <f>$K$226*$V$226</f>
        <v>0</v>
      </c>
      <c r="AC226" s="4">
        <f>$M$226*$W$226</f>
        <v>312980.85608000006</v>
      </c>
      <c r="AD226" s="4">
        <f>$O$226*$X$226</f>
        <v>246434.63780000003</v>
      </c>
      <c r="AE226" s="4">
        <f>$K$226*$Y$226</f>
        <v>0</v>
      </c>
      <c r="AF226" s="4">
        <f ca="1">$M$226*$Z$226</f>
        <v>362420.49745925097</v>
      </c>
      <c r="AG226" s="4">
        <f>$O$226*$AA$226</f>
        <v>180507.60240987412</v>
      </c>
    </row>
    <row r="227" spans="1:33" ht="11.25" customHeight="1" x14ac:dyDescent="0.3">
      <c r="A227" s="3" t="s">
        <v>27</v>
      </c>
      <c r="B227" s="3" t="s">
        <v>22</v>
      </c>
      <c r="C227" s="3" t="s">
        <v>23</v>
      </c>
      <c r="D227" s="3" t="s">
        <v>24</v>
      </c>
      <c r="E227" s="3" t="s">
        <v>24</v>
      </c>
      <c r="F227" s="3" t="s">
        <v>25</v>
      </c>
      <c r="G227" s="3" t="s">
        <v>25</v>
      </c>
      <c r="H227" s="3" t="s">
        <v>25</v>
      </c>
      <c r="I227" s="6">
        <v>44470</v>
      </c>
      <c r="J227" s="4">
        <v>0</v>
      </c>
      <c r="K227" s="4">
        <v>0</v>
      </c>
      <c r="L227" s="4">
        <v>24.843</v>
      </c>
      <c r="M227" s="4">
        <v>24.843</v>
      </c>
      <c r="N227" s="4">
        <v>24.843</v>
      </c>
      <c r="O227" s="4">
        <v>24.843</v>
      </c>
      <c r="P227" s="4">
        <v>128</v>
      </c>
      <c r="Q227" s="3" t="s">
        <v>26</v>
      </c>
      <c r="R227" s="3">
        <v>0</v>
      </c>
      <c r="S227" s="4">
        <v>0</v>
      </c>
      <c r="T227" s="4">
        <v>16</v>
      </c>
      <c r="U227" s="4">
        <v>53</v>
      </c>
      <c r="V227" s="4">
        <f>IF(ISERROR(VLOOKUP($S$227,'TAR FIN'!$A$1:$O$85,15,0)),0,VLOOKUP($S$227,'TAR FIN'!$A$1:$O$85,15,0))</f>
        <v>0</v>
      </c>
      <c r="W227" s="4">
        <f>IF(ISERROR(VLOOKUP($T$227,'TAR FIN'!$A$1:$O$85,15,0)),0,VLOOKUP($T$227,'TAR FIN'!$A$1:$O$85,15,0))</f>
        <v>370.66</v>
      </c>
      <c r="X227" s="4">
        <f>IF(ISERROR(VLOOKUP($U$227,'TAR FIN'!$A$1:$O$85,15,0)),0,VLOOKUP($U$227,'TAR FIN'!$A$1:$O$85,15,0))</f>
        <v>291.85000000000002</v>
      </c>
      <c r="Y227" s="4"/>
      <c r="Z227" s="4">
        <f ca="1">('TUSD BE'!$AM$20+'TUSD BF'!$AM$20+'TUSD CVA'!$AM$20)*1</f>
        <v>429.2108574011603</v>
      </c>
      <c r="AA227" s="4">
        <f>('TE BE'!$AB$11+'TE BF'!$AB$11+'TE CVA'!$AB$11)*1</f>
        <v>213.77329191067864</v>
      </c>
      <c r="AB227" s="4">
        <f>$K$227*$V$227</f>
        <v>0</v>
      </c>
      <c r="AC227" s="4">
        <f>$M$227*$W$227</f>
        <v>9208.30638</v>
      </c>
      <c r="AD227" s="4">
        <f>$O$227*$X$227</f>
        <v>7250.4295500000007</v>
      </c>
      <c r="AE227" s="4">
        <f>$K$227*$Y$227</f>
        <v>0</v>
      </c>
      <c r="AF227" s="4">
        <f ca="1">$M$227*$Z$227</f>
        <v>10662.885330417026</v>
      </c>
      <c r="AG227" s="4">
        <f>$O$227*$AA$227</f>
        <v>5310.7698909369892</v>
      </c>
    </row>
    <row r="228" spans="1:33" ht="11.25" customHeight="1" x14ac:dyDescent="0.3">
      <c r="A228" s="3" t="s">
        <v>21</v>
      </c>
      <c r="B228" s="3" t="s">
        <v>22</v>
      </c>
      <c r="C228" s="3" t="s">
        <v>23</v>
      </c>
      <c r="D228" s="3" t="s">
        <v>24</v>
      </c>
      <c r="E228" s="3" t="s">
        <v>24</v>
      </c>
      <c r="F228" s="3" t="s">
        <v>25</v>
      </c>
      <c r="G228" s="3" t="s">
        <v>25</v>
      </c>
      <c r="H228" s="3" t="s">
        <v>25</v>
      </c>
      <c r="I228" s="6">
        <v>44501</v>
      </c>
      <c r="J228" s="4">
        <v>0</v>
      </c>
      <c r="K228" s="4">
        <v>0</v>
      </c>
      <c r="L228" s="4">
        <v>898.28300000000002</v>
      </c>
      <c r="M228" s="4">
        <v>898.28300000000002</v>
      </c>
      <c r="N228" s="4">
        <v>898.28300000000002</v>
      </c>
      <c r="O228" s="4">
        <v>898.28300000000002</v>
      </c>
      <c r="P228" s="4">
        <v>4589</v>
      </c>
      <c r="Q228" s="3" t="s">
        <v>26</v>
      </c>
      <c r="R228" s="3">
        <v>0</v>
      </c>
      <c r="S228" s="4">
        <v>0</v>
      </c>
      <c r="T228" s="4">
        <v>16</v>
      </c>
      <c r="U228" s="4">
        <v>53</v>
      </c>
      <c r="V228" s="4">
        <f>IF(ISERROR(VLOOKUP($S$228,'TAR FIN'!$A$1:$O$85,15,0)),0,VLOOKUP($S$228,'TAR FIN'!$A$1:$O$85,15,0))</f>
        <v>0</v>
      </c>
      <c r="W228" s="4">
        <f>IF(ISERROR(VLOOKUP($T$228,'TAR FIN'!$A$1:$O$85,15,0)),0,VLOOKUP($T$228,'TAR FIN'!$A$1:$O$85,15,0))</f>
        <v>370.66</v>
      </c>
      <c r="X228" s="4">
        <f>IF(ISERROR(VLOOKUP($U$228,'TAR FIN'!$A$1:$O$85,15,0)),0,VLOOKUP($U$228,'TAR FIN'!$A$1:$O$85,15,0))</f>
        <v>291.85000000000002</v>
      </c>
      <c r="Y228" s="4"/>
      <c r="Z228" s="4">
        <f ca="1">('TUSD BE'!$AM$20+'TUSD BF'!$AM$20+'TUSD CVA'!$AM$20)*1</f>
        <v>429.2108574011603</v>
      </c>
      <c r="AA228" s="4">
        <f>('TE BE'!$AB$11+'TE BF'!$AB$11+'TE CVA'!$AB$11)*1</f>
        <v>213.77329191067864</v>
      </c>
      <c r="AB228" s="4">
        <f>$K$228*$V$228</f>
        <v>0</v>
      </c>
      <c r="AC228" s="4">
        <f>$M$228*$W$228</f>
        <v>332957.57678</v>
      </c>
      <c r="AD228" s="4">
        <f>$O$228*$X$228</f>
        <v>262163.89355000004</v>
      </c>
      <c r="AE228" s="4">
        <f>$K$228*$Y$228</f>
        <v>0</v>
      </c>
      <c r="AF228" s="4">
        <f ca="1">$M$228*$Z$228</f>
        <v>385552.81661888649</v>
      </c>
      <c r="AG228" s="4">
        <f>$O$228*$AA$228</f>
        <v>192028.91397740014</v>
      </c>
    </row>
    <row r="229" spans="1:33" ht="11.25" customHeight="1" x14ac:dyDescent="0.3">
      <c r="A229" s="3" t="s">
        <v>48</v>
      </c>
      <c r="B229" s="3" t="s">
        <v>22</v>
      </c>
      <c r="C229" s="3" t="s">
        <v>23</v>
      </c>
      <c r="D229" s="3" t="s">
        <v>24</v>
      </c>
      <c r="E229" s="3" t="s">
        <v>24</v>
      </c>
      <c r="F229" s="3" t="s">
        <v>25</v>
      </c>
      <c r="G229" s="3" t="s">
        <v>25</v>
      </c>
      <c r="H229" s="3" t="s">
        <v>25</v>
      </c>
      <c r="I229" s="6">
        <v>44501</v>
      </c>
      <c r="J229" s="4">
        <v>0</v>
      </c>
      <c r="K229" s="4">
        <v>0</v>
      </c>
      <c r="L229" s="4">
        <v>-0.10299999999999999</v>
      </c>
      <c r="M229" s="4">
        <v>-0.10299999999999999</v>
      </c>
      <c r="N229" s="4">
        <v>-0.10299999999999999</v>
      </c>
      <c r="O229" s="4">
        <v>-0.10299999999999999</v>
      </c>
      <c r="P229" s="4">
        <v>0</v>
      </c>
      <c r="Q229" s="3" t="s">
        <v>26</v>
      </c>
      <c r="R229" s="3">
        <v>0</v>
      </c>
      <c r="S229" s="4">
        <v>0</v>
      </c>
      <c r="T229" s="4">
        <v>16</v>
      </c>
      <c r="U229" s="4">
        <v>53</v>
      </c>
      <c r="V229" s="4">
        <f>IF(ISERROR(VLOOKUP($S$229,'TAR FIN'!$A$1:$O$85,15,0)),0,VLOOKUP($S$229,'TAR FIN'!$A$1:$O$85,15,0))</f>
        <v>0</v>
      </c>
      <c r="W229" s="4">
        <f>IF(ISERROR(VLOOKUP($T$229,'TAR FIN'!$A$1:$O$85,15,0)),0,VLOOKUP($T$229,'TAR FIN'!$A$1:$O$85,15,0))</f>
        <v>370.66</v>
      </c>
      <c r="X229" s="4">
        <f>IF(ISERROR(VLOOKUP($U$229,'TAR FIN'!$A$1:$O$85,15,0)),0,VLOOKUP($U$229,'TAR FIN'!$A$1:$O$85,15,0))</f>
        <v>291.85000000000002</v>
      </c>
      <c r="Y229" s="4"/>
      <c r="Z229" s="4">
        <f ca="1">('TUSD BE'!$AM$20+'TUSD BF'!$AM$20+'TUSD CVA'!$AM$20)*1</f>
        <v>429.2108574011603</v>
      </c>
      <c r="AA229" s="4">
        <f>('TE BE'!$AB$11+'TE BF'!$AB$11+'TE CVA'!$AB$11)*1</f>
        <v>213.77329191067864</v>
      </c>
      <c r="AB229" s="4">
        <f>$K$229*$V$229</f>
        <v>0</v>
      </c>
      <c r="AC229" s="4">
        <f>$M$229*$W$229</f>
        <v>-38.177979999999998</v>
      </c>
      <c r="AD229" s="4">
        <f>$O$229*$X$229</f>
        <v>-30.060549999999999</v>
      </c>
      <c r="AE229" s="4">
        <f>$K$229*$Y$229</f>
        <v>0</v>
      </c>
      <c r="AF229" s="4">
        <f ca="1">$M$229*$Z$229</f>
        <v>-44.208718312319505</v>
      </c>
      <c r="AG229" s="4">
        <f>$O$229*$AA$229</f>
        <v>-22.018649066799899</v>
      </c>
    </row>
    <row r="230" spans="1:33" ht="11.25" customHeight="1" x14ac:dyDescent="0.3">
      <c r="A230" s="3" t="s">
        <v>27</v>
      </c>
      <c r="B230" s="3" t="s">
        <v>22</v>
      </c>
      <c r="C230" s="3" t="s">
        <v>23</v>
      </c>
      <c r="D230" s="3" t="s">
        <v>24</v>
      </c>
      <c r="E230" s="3" t="s">
        <v>24</v>
      </c>
      <c r="F230" s="3" t="s">
        <v>25</v>
      </c>
      <c r="G230" s="3" t="s">
        <v>25</v>
      </c>
      <c r="H230" s="3" t="s">
        <v>25</v>
      </c>
      <c r="I230" s="6">
        <v>44501</v>
      </c>
      <c r="J230" s="4">
        <v>0</v>
      </c>
      <c r="K230" s="4">
        <v>0</v>
      </c>
      <c r="L230" s="4">
        <v>16.356000000000002</v>
      </c>
      <c r="M230" s="4">
        <v>16.356000000000002</v>
      </c>
      <c r="N230" s="4">
        <v>16.356000000000002</v>
      </c>
      <c r="O230" s="4">
        <v>16.356000000000002</v>
      </c>
      <c r="P230" s="4">
        <v>144</v>
      </c>
      <c r="Q230" s="3" t="s">
        <v>26</v>
      </c>
      <c r="R230" s="3">
        <v>0</v>
      </c>
      <c r="S230" s="4">
        <v>0</v>
      </c>
      <c r="T230" s="4">
        <v>16</v>
      </c>
      <c r="U230" s="4">
        <v>53</v>
      </c>
      <c r="V230" s="4">
        <f>IF(ISERROR(VLOOKUP($S$230,'TAR FIN'!$A$1:$O$85,15,0)),0,VLOOKUP($S$230,'TAR FIN'!$A$1:$O$85,15,0))</f>
        <v>0</v>
      </c>
      <c r="W230" s="4">
        <f>IF(ISERROR(VLOOKUP($T$230,'TAR FIN'!$A$1:$O$85,15,0)),0,VLOOKUP($T$230,'TAR FIN'!$A$1:$O$85,15,0))</f>
        <v>370.66</v>
      </c>
      <c r="X230" s="4">
        <f>IF(ISERROR(VLOOKUP($U$230,'TAR FIN'!$A$1:$O$85,15,0)),0,VLOOKUP($U$230,'TAR FIN'!$A$1:$O$85,15,0))</f>
        <v>291.85000000000002</v>
      </c>
      <c r="Y230" s="4"/>
      <c r="Z230" s="4">
        <f ca="1">('TUSD BE'!$AM$20+'TUSD BF'!$AM$20+'TUSD CVA'!$AM$20)*1</f>
        <v>429.2108574011603</v>
      </c>
      <c r="AA230" s="4">
        <f>('TE BE'!$AB$11+'TE BF'!$AB$11+'TE CVA'!$AB$11)*1</f>
        <v>213.77329191067864</v>
      </c>
      <c r="AB230" s="4">
        <f>$K$230*$V$230</f>
        <v>0</v>
      </c>
      <c r="AC230" s="4">
        <f>$M$230*$W$230</f>
        <v>6062.5149600000013</v>
      </c>
      <c r="AD230" s="4">
        <f>$O$230*$X$230</f>
        <v>4773.4986000000008</v>
      </c>
      <c r="AE230" s="4">
        <f>$K$230*$Y$230</f>
        <v>0</v>
      </c>
      <c r="AF230" s="4">
        <f ca="1">$M$230*$Z$230</f>
        <v>7020.1727836533782</v>
      </c>
      <c r="AG230" s="4">
        <f>$O$230*$AA$230</f>
        <v>3496.4759624910603</v>
      </c>
    </row>
    <row r="231" spans="1:33" ht="11.25" customHeight="1" x14ac:dyDescent="0.3">
      <c r="A231" s="3" t="s">
        <v>21</v>
      </c>
      <c r="B231" s="3" t="s">
        <v>22</v>
      </c>
      <c r="C231" s="3" t="s">
        <v>23</v>
      </c>
      <c r="D231" s="3" t="s">
        <v>24</v>
      </c>
      <c r="E231" s="3" t="s">
        <v>24</v>
      </c>
      <c r="F231" s="3" t="s">
        <v>25</v>
      </c>
      <c r="G231" s="3" t="s">
        <v>25</v>
      </c>
      <c r="H231" s="3" t="s">
        <v>25</v>
      </c>
      <c r="I231" s="6">
        <v>44531</v>
      </c>
      <c r="J231" s="4">
        <v>0</v>
      </c>
      <c r="K231" s="4">
        <v>0</v>
      </c>
      <c r="L231" s="4">
        <v>833.47400000000005</v>
      </c>
      <c r="M231" s="4">
        <v>833.47400000000005</v>
      </c>
      <c r="N231" s="4">
        <v>833.47400000000005</v>
      </c>
      <c r="O231" s="4">
        <v>833.47400000000005</v>
      </c>
      <c r="P231" s="4">
        <v>4594</v>
      </c>
      <c r="Q231" s="3" t="s">
        <v>26</v>
      </c>
      <c r="R231" s="3">
        <v>0</v>
      </c>
      <c r="S231" s="4">
        <v>0</v>
      </c>
      <c r="T231" s="4">
        <v>16</v>
      </c>
      <c r="U231" s="4">
        <v>53</v>
      </c>
      <c r="V231" s="4">
        <f>IF(ISERROR(VLOOKUP($S$231,'TAR FIN'!$A$1:$O$85,15,0)),0,VLOOKUP($S$231,'TAR FIN'!$A$1:$O$85,15,0))</f>
        <v>0</v>
      </c>
      <c r="W231" s="4">
        <f>IF(ISERROR(VLOOKUP($T$231,'TAR FIN'!$A$1:$O$85,15,0)),0,VLOOKUP($T$231,'TAR FIN'!$A$1:$O$85,15,0))</f>
        <v>370.66</v>
      </c>
      <c r="X231" s="4">
        <f>IF(ISERROR(VLOOKUP($U$231,'TAR FIN'!$A$1:$O$85,15,0)),0,VLOOKUP($U$231,'TAR FIN'!$A$1:$O$85,15,0))</f>
        <v>291.85000000000002</v>
      </c>
      <c r="Y231" s="4"/>
      <c r="Z231" s="4">
        <f ca="1">('TUSD BE'!$AM$20+'TUSD BF'!$AM$20+'TUSD CVA'!$AM$20)*1</f>
        <v>429.2108574011603</v>
      </c>
      <c r="AA231" s="4">
        <f>('TE BE'!$AB$11+'TE BF'!$AB$11+'TE CVA'!$AB$11)*1</f>
        <v>213.77329191067864</v>
      </c>
      <c r="AB231" s="4">
        <f>$K$231*$V$231</f>
        <v>0</v>
      </c>
      <c r="AC231" s="4">
        <f>$M$231*$W$231</f>
        <v>308935.47284000006</v>
      </c>
      <c r="AD231" s="4">
        <f>$O$231*$X$231</f>
        <v>243249.38690000004</v>
      </c>
      <c r="AE231" s="4">
        <f>$K$231*$Y$231</f>
        <v>0</v>
      </c>
      <c r="AF231" s="4">
        <f ca="1">$M$231*$Z$231</f>
        <v>357736.09016157471</v>
      </c>
      <c r="AG231" s="4">
        <f>$O$231*$AA$231</f>
        <v>178174.48070196097</v>
      </c>
    </row>
    <row r="232" spans="1:33" ht="11.25" customHeight="1" x14ac:dyDescent="0.3">
      <c r="A232" s="3" t="s">
        <v>27</v>
      </c>
      <c r="B232" s="3" t="s">
        <v>22</v>
      </c>
      <c r="C232" s="3" t="s">
        <v>23</v>
      </c>
      <c r="D232" s="3" t="s">
        <v>24</v>
      </c>
      <c r="E232" s="3" t="s">
        <v>24</v>
      </c>
      <c r="F232" s="3" t="s">
        <v>25</v>
      </c>
      <c r="G232" s="3" t="s">
        <v>25</v>
      </c>
      <c r="H232" s="3" t="s">
        <v>25</v>
      </c>
      <c r="I232" s="6">
        <v>44531</v>
      </c>
      <c r="J232" s="4">
        <v>0</v>
      </c>
      <c r="K232" s="4">
        <v>0</v>
      </c>
      <c r="L232" s="4">
        <v>15.928000000000001</v>
      </c>
      <c r="M232" s="4">
        <v>15.928000000000001</v>
      </c>
      <c r="N232" s="4">
        <v>15.928000000000001</v>
      </c>
      <c r="O232" s="4">
        <v>15.928000000000001</v>
      </c>
      <c r="P232" s="4">
        <v>153</v>
      </c>
      <c r="Q232" s="3" t="s">
        <v>26</v>
      </c>
      <c r="R232" s="3">
        <v>0</v>
      </c>
      <c r="S232" s="4">
        <v>0</v>
      </c>
      <c r="T232" s="4">
        <v>16</v>
      </c>
      <c r="U232" s="4">
        <v>53</v>
      </c>
      <c r="V232" s="4">
        <f>IF(ISERROR(VLOOKUP($S$232,'TAR FIN'!$A$1:$O$85,15,0)),0,VLOOKUP($S$232,'TAR FIN'!$A$1:$O$85,15,0))</f>
        <v>0</v>
      </c>
      <c r="W232" s="4">
        <f>IF(ISERROR(VLOOKUP($T$232,'TAR FIN'!$A$1:$O$85,15,0)),0,VLOOKUP($T$232,'TAR FIN'!$A$1:$O$85,15,0))</f>
        <v>370.66</v>
      </c>
      <c r="X232" s="4">
        <f>IF(ISERROR(VLOOKUP($U$232,'TAR FIN'!$A$1:$O$85,15,0)),0,VLOOKUP($U$232,'TAR FIN'!$A$1:$O$85,15,0))</f>
        <v>291.85000000000002</v>
      </c>
      <c r="Y232" s="4"/>
      <c r="Z232" s="4">
        <f ca="1">('TUSD BE'!$AM$20+'TUSD BF'!$AM$20+'TUSD CVA'!$AM$20)*1</f>
        <v>429.2108574011603</v>
      </c>
      <c r="AA232" s="4">
        <f>('TE BE'!$AB$11+'TE BF'!$AB$11+'TE CVA'!$AB$11)*1</f>
        <v>213.77329191067864</v>
      </c>
      <c r="AB232" s="4">
        <f>$K$232*$V$232</f>
        <v>0</v>
      </c>
      <c r="AC232" s="4">
        <f>$M$232*$W$232</f>
        <v>5903.8724800000009</v>
      </c>
      <c r="AD232" s="4">
        <f>$O$232*$X$232</f>
        <v>4648.5868000000009</v>
      </c>
      <c r="AE232" s="4">
        <f>$K$232*$Y$232</f>
        <v>0</v>
      </c>
      <c r="AF232" s="4">
        <f ca="1">$M$232*$Z$232</f>
        <v>6836.4705366856815</v>
      </c>
      <c r="AG232" s="4">
        <f>$O$232*$AA$232</f>
        <v>3404.9809935532894</v>
      </c>
    </row>
    <row r="233" spans="1:33" ht="11.25" customHeight="1" x14ac:dyDescent="0.3">
      <c r="A233" s="3" t="s">
        <v>21</v>
      </c>
      <c r="B233" s="3" t="s">
        <v>22</v>
      </c>
      <c r="C233" s="3" t="s">
        <v>23</v>
      </c>
      <c r="D233" s="3" t="s">
        <v>24</v>
      </c>
      <c r="E233" s="3" t="s">
        <v>24</v>
      </c>
      <c r="F233" s="3" t="s">
        <v>25</v>
      </c>
      <c r="G233" s="3" t="s">
        <v>25</v>
      </c>
      <c r="H233" s="3" t="s">
        <v>25</v>
      </c>
      <c r="I233" s="6">
        <v>44562</v>
      </c>
      <c r="J233" s="4">
        <v>0</v>
      </c>
      <c r="K233" s="4">
        <v>0</v>
      </c>
      <c r="L233" s="4">
        <v>971.65700000000004</v>
      </c>
      <c r="M233" s="4">
        <v>971.65700000000004</v>
      </c>
      <c r="N233" s="4">
        <v>971.65700000000004</v>
      </c>
      <c r="O233" s="4">
        <v>971.65700000000004</v>
      </c>
      <c r="P233" s="4">
        <v>4598</v>
      </c>
      <c r="Q233" s="3" t="s">
        <v>26</v>
      </c>
      <c r="R233" s="3">
        <v>0</v>
      </c>
      <c r="S233" s="4">
        <v>0</v>
      </c>
      <c r="T233" s="4">
        <v>16</v>
      </c>
      <c r="U233" s="4">
        <v>53</v>
      </c>
      <c r="V233" s="4">
        <f>IF(ISERROR(VLOOKUP($S$233,'TAR FIN'!$A$1:$O$85,15,0)),0,VLOOKUP($S$233,'TAR FIN'!$A$1:$O$85,15,0))</f>
        <v>0</v>
      </c>
      <c r="W233" s="4">
        <f>IF(ISERROR(VLOOKUP($T$233,'TAR FIN'!$A$1:$O$85,15,0)),0,VLOOKUP($T$233,'TAR FIN'!$A$1:$O$85,15,0))</f>
        <v>370.66</v>
      </c>
      <c r="X233" s="4">
        <f>IF(ISERROR(VLOOKUP($U$233,'TAR FIN'!$A$1:$O$85,15,0)),0,VLOOKUP($U$233,'TAR FIN'!$A$1:$O$85,15,0))</f>
        <v>291.85000000000002</v>
      </c>
      <c r="Y233" s="4"/>
      <c r="Z233" s="4">
        <f ca="1">('TUSD BE'!$AM$20+'TUSD BF'!$AM$20+'TUSD CVA'!$AM$20)*1</f>
        <v>429.2108574011603</v>
      </c>
      <c r="AA233" s="4">
        <f>('TE BE'!$AB$11+'TE BF'!$AB$11+'TE CVA'!$AB$11)*1</f>
        <v>213.77329191067864</v>
      </c>
      <c r="AB233" s="4">
        <f>$K$233*$V$233</f>
        <v>0</v>
      </c>
      <c r="AC233" s="4">
        <f>$M$233*$W$233</f>
        <v>360154.38362000004</v>
      </c>
      <c r="AD233" s="4">
        <f>$O$233*$X$233</f>
        <v>283578.09545000002</v>
      </c>
      <c r="AE233" s="4">
        <f>$K$233*$Y$233</f>
        <v>0</v>
      </c>
      <c r="AF233" s="4">
        <f ca="1">$M$233*$Z$233</f>
        <v>417045.73406983924</v>
      </c>
      <c r="AG233" s="4">
        <f>$O$233*$AA$233</f>
        <v>207714.31549805429</v>
      </c>
    </row>
    <row r="234" spans="1:33" ht="11.25" customHeight="1" x14ac:dyDescent="0.3">
      <c r="A234" s="3" t="s">
        <v>27</v>
      </c>
      <c r="B234" s="3" t="s">
        <v>22</v>
      </c>
      <c r="C234" s="3" t="s">
        <v>23</v>
      </c>
      <c r="D234" s="3" t="s">
        <v>24</v>
      </c>
      <c r="E234" s="3" t="s">
        <v>24</v>
      </c>
      <c r="F234" s="3" t="s">
        <v>25</v>
      </c>
      <c r="G234" s="3" t="s">
        <v>25</v>
      </c>
      <c r="H234" s="3" t="s">
        <v>25</v>
      </c>
      <c r="I234" s="6">
        <v>44562</v>
      </c>
      <c r="J234" s="4">
        <v>0</v>
      </c>
      <c r="K234" s="4">
        <v>0</v>
      </c>
      <c r="L234" s="4">
        <v>21.492999999999999</v>
      </c>
      <c r="M234" s="4">
        <v>21.492999999999999</v>
      </c>
      <c r="N234" s="4">
        <v>21.492999999999999</v>
      </c>
      <c r="O234" s="4">
        <v>21.492999999999999</v>
      </c>
      <c r="P234" s="4">
        <v>162</v>
      </c>
      <c r="Q234" s="3" t="s">
        <v>26</v>
      </c>
      <c r="R234" s="3">
        <v>0</v>
      </c>
      <c r="S234" s="4">
        <v>0</v>
      </c>
      <c r="T234" s="4">
        <v>16</v>
      </c>
      <c r="U234" s="4">
        <v>53</v>
      </c>
      <c r="V234" s="4">
        <f>IF(ISERROR(VLOOKUP($S$234,'TAR FIN'!$A$1:$O$85,15,0)),0,VLOOKUP($S$234,'TAR FIN'!$A$1:$O$85,15,0))</f>
        <v>0</v>
      </c>
      <c r="W234" s="4">
        <f>IF(ISERROR(VLOOKUP($T$234,'TAR FIN'!$A$1:$O$85,15,0)),0,VLOOKUP($T$234,'TAR FIN'!$A$1:$O$85,15,0))</f>
        <v>370.66</v>
      </c>
      <c r="X234" s="4">
        <f>IF(ISERROR(VLOOKUP($U$234,'TAR FIN'!$A$1:$O$85,15,0)),0,VLOOKUP($U$234,'TAR FIN'!$A$1:$O$85,15,0))</f>
        <v>291.85000000000002</v>
      </c>
      <c r="Y234" s="4"/>
      <c r="Z234" s="4">
        <f ca="1">('TUSD BE'!$AM$20+'TUSD BF'!$AM$20+'TUSD CVA'!$AM$20)*1</f>
        <v>429.2108574011603</v>
      </c>
      <c r="AA234" s="4">
        <f>('TE BE'!$AB$11+'TE BF'!$AB$11+'TE CVA'!$AB$11)*1</f>
        <v>213.77329191067864</v>
      </c>
      <c r="AB234" s="4">
        <f>$K$234*$V$234</f>
        <v>0</v>
      </c>
      <c r="AC234" s="4">
        <f>$M$234*$W$234</f>
        <v>7966.5953799999997</v>
      </c>
      <c r="AD234" s="4">
        <f>$O$234*$X$234</f>
        <v>6272.7320499999996</v>
      </c>
      <c r="AE234" s="4">
        <f>$K$234*$Y$234</f>
        <v>0</v>
      </c>
      <c r="AF234" s="4">
        <f ca="1">$M$234*$Z$234</f>
        <v>9225.0289581231373</v>
      </c>
      <c r="AG234" s="4">
        <f>$O$234*$AA$234</f>
        <v>4594.6293630362152</v>
      </c>
    </row>
    <row r="235" spans="1:33" ht="11.25" customHeight="1" x14ac:dyDescent="0.3">
      <c r="A235" s="3" t="s">
        <v>21</v>
      </c>
      <c r="B235" s="3" t="s">
        <v>22</v>
      </c>
      <c r="C235" s="3" t="s">
        <v>23</v>
      </c>
      <c r="D235" s="3" t="s">
        <v>24</v>
      </c>
      <c r="E235" s="3" t="s">
        <v>24</v>
      </c>
      <c r="F235" s="3" t="s">
        <v>25</v>
      </c>
      <c r="G235" s="3" t="s">
        <v>25</v>
      </c>
      <c r="H235" s="3" t="s">
        <v>25</v>
      </c>
      <c r="I235" s="6">
        <v>44593</v>
      </c>
      <c r="J235" s="4">
        <v>0</v>
      </c>
      <c r="K235" s="4">
        <v>0</v>
      </c>
      <c r="L235" s="4">
        <v>1195.203</v>
      </c>
      <c r="M235" s="4">
        <v>1195.203</v>
      </c>
      <c r="N235" s="4">
        <v>1195.203</v>
      </c>
      <c r="O235" s="4">
        <v>1195.203</v>
      </c>
      <c r="P235" s="4">
        <v>4511</v>
      </c>
      <c r="Q235" s="3" t="s">
        <v>26</v>
      </c>
      <c r="R235" s="3">
        <v>0</v>
      </c>
      <c r="S235" s="4">
        <v>0</v>
      </c>
      <c r="T235" s="4">
        <v>16</v>
      </c>
      <c r="U235" s="4">
        <v>53</v>
      </c>
      <c r="V235" s="4">
        <f>IF(ISERROR(VLOOKUP($S$235,'TAR FIN'!$A$1:$O$85,15,0)),0,VLOOKUP($S$235,'TAR FIN'!$A$1:$O$85,15,0))</f>
        <v>0</v>
      </c>
      <c r="W235" s="4">
        <f>IF(ISERROR(VLOOKUP($T$235,'TAR FIN'!$A$1:$O$85,15,0)),0,VLOOKUP($T$235,'TAR FIN'!$A$1:$O$85,15,0))</f>
        <v>370.66</v>
      </c>
      <c r="X235" s="4">
        <f>IF(ISERROR(VLOOKUP($U$235,'TAR FIN'!$A$1:$O$85,15,0)),0,VLOOKUP($U$235,'TAR FIN'!$A$1:$O$85,15,0))</f>
        <v>291.85000000000002</v>
      </c>
      <c r="Y235" s="4"/>
      <c r="Z235" s="4">
        <f ca="1">('TUSD BE'!$AM$20+'TUSD BF'!$AM$20+'TUSD CVA'!$AM$20)*1</f>
        <v>429.2108574011603</v>
      </c>
      <c r="AA235" s="4">
        <f>('TE BE'!$AB$11+'TE BF'!$AB$11+'TE CVA'!$AB$11)*1</f>
        <v>213.77329191067864</v>
      </c>
      <c r="AB235" s="4">
        <f>$K$235*$V$235</f>
        <v>0</v>
      </c>
      <c r="AC235" s="4">
        <f>$M$235*$W$235</f>
        <v>443013.94398000004</v>
      </c>
      <c r="AD235" s="4">
        <f>$O$235*$X$235</f>
        <v>348819.99554999999</v>
      </c>
      <c r="AE235" s="4">
        <f>$K$235*$Y$235</f>
        <v>0</v>
      </c>
      <c r="AF235" s="4">
        <f ca="1">$M$235*$Z$235</f>
        <v>512994.104398439</v>
      </c>
      <c r="AG235" s="4">
        <f>$O$235*$AA$235</f>
        <v>255502.47981151883</v>
      </c>
    </row>
    <row r="236" spans="1:33" ht="11.25" customHeight="1" x14ac:dyDescent="0.3">
      <c r="A236" s="3" t="s">
        <v>27</v>
      </c>
      <c r="B236" s="3" t="s">
        <v>22</v>
      </c>
      <c r="C236" s="3" t="s">
        <v>23</v>
      </c>
      <c r="D236" s="3" t="s">
        <v>24</v>
      </c>
      <c r="E236" s="3" t="s">
        <v>24</v>
      </c>
      <c r="F236" s="3" t="s">
        <v>25</v>
      </c>
      <c r="G236" s="3" t="s">
        <v>25</v>
      </c>
      <c r="H236" s="3" t="s">
        <v>25</v>
      </c>
      <c r="I236" s="6">
        <v>44593</v>
      </c>
      <c r="J236" s="4">
        <v>0</v>
      </c>
      <c r="K236" s="4">
        <v>0</v>
      </c>
      <c r="L236" s="4">
        <v>25.963000000000001</v>
      </c>
      <c r="M236" s="4">
        <v>25.963000000000001</v>
      </c>
      <c r="N236" s="4">
        <v>25.963000000000001</v>
      </c>
      <c r="O236" s="4">
        <v>25.963000000000001</v>
      </c>
      <c r="P236" s="4">
        <v>170</v>
      </c>
      <c r="Q236" s="3" t="s">
        <v>26</v>
      </c>
      <c r="R236" s="3">
        <v>0</v>
      </c>
      <c r="S236" s="4">
        <v>0</v>
      </c>
      <c r="T236" s="4">
        <v>16</v>
      </c>
      <c r="U236" s="4">
        <v>53</v>
      </c>
      <c r="V236" s="4">
        <f>IF(ISERROR(VLOOKUP($S$236,'TAR FIN'!$A$1:$O$85,15,0)),0,VLOOKUP($S$236,'TAR FIN'!$A$1:$O$85,15,0))</f>
        <v>0</v>
      </c>
      <c r="W236" s="4">
        <f>IF(ISERROR(VLOOKUP($T$236,'TAR FIN'!$A$1:$O$85,15,0)),0,VLOOKUP($T$236,'TAR FIN'!$A$1:$O$85,15,0))</f>
        <v>370.66</v>
      </c>
      <c r="X236" s="4">
        <f>IF(ISERROR(VLOOKUP($U$236,'TAR FIN'!$A$1:$O$85,15,0)),0,VLOOKUP($U$236,'TAR FIN'!$A$1:$O$85,15,0))</f>
        <v>291.85000000000002</v>
      </c>
      <c r="Y236" s="4"/>
      <c r="Z236" s="4">
        <f ca="1">('TUSD BE'!$AM$20+'TUSD BF'!$AM$20+'TUSD CVA'!$AM$20)*1</f>
        <v>429.2108574011603</v>
      </c>
      <c r="AA236" s="4">
        <f>('TE BE'!$AB$11+'TE BF'!$AB$11+'TE CVA'!$AB$11)*1</f>
        <v>213.77329191067864</v>
      </c>
      <c r="AB236" s="4">
        <f>$K$236*$V$236</f>
        <v>0</v>
      </c>
      <c r="AC236" s="4">
        <f>$M$236*$W$236</f>
        <v>9623.4455800000014</v>
      </c>
      <c r="AD236" s="4">
        <f>$O$236*$X$236</f>
        <v>7577.301550000001</v>
      </c>
      <c r="AE236" s="4">
        <f>$K$236*$Y$236</f>
        <v>0</v>
      </c>
      <c r="AF236" s="4">
        <f ca="1">$M$236*$Z$236</f>
        <v>11143.601490706325</v>
      </c>
      <c r="AG236" s="4">
        <f>$O$236*$AA$236</f>
        <v>5550.1959778769497</v>
      </c>
    </row>
    <row r="237" spans="1:33" ht="11.25" customHeight="1" x14ac:dyDescent="0.3">
      <c r="A237" s="3" t="s">
        <v>21</v>
      </c>
      <c r="B237" s="3" t="s">
        <v>22</v>
      </c>
      <c r="C237" s="3" t="s">
        <v>23</v>
      </c>
      <c r="D237" s="3" t="s">
        <v>24</v>
      </c>
      <c r="E237" s="3" t="s">
        <v>24</v>
      </c>
      <c r="F237" s="3" t="s">
        <v>25</v>
      </c>
      <c r="G237" s="3" t="s">
        <v>25</v>
      </c>
      <c r="H237" s="3" t="s">
        <v>25</v>
      </c>
      <c r="I237" s="6">
        <v>44621</v>
      </c>
      <c r="J237" s="4">
        <v>0</v>
      </c>
      <c r="K237" s="4">
        <v>0</v>
      </c>
      <c r="L237" s="4">
        <v>1109.6759999999999</v>
      </c>
      <c r="M237" s="4">
        <v>1109.6759999999999</v>
      </c>
      <c r="N237" s="4">
        <v>1109.6759999999999</v>
      </c>
      <c r="O237" s="4">
        <v>1109.6759999999999</v>
      </c>
      <c r="P237" s="4">
        <v>4508</v>
      </c>
      <c r="Q237" s="3" t="s">
        <v>26</v>
      </c>
      <c r="R237" s="3">
        <v>0</v>
      </c>
      <c r="S237" s="4">
        <v>0</v>
      </c>
      <c r="T237" s="4">
        <v>16</v>
      </c>
      <c r="U237" s="4">
        <v>53</v>
      </c>
      <c r="V237" s="4">
        <f>IF(ISERROR(VLOOKUP($S$237,'TAR FIN'!$A$1:$O$85,15,0)),0,VLOOKUP($S$237,'TAR FIN'!$A$1:$O$85,15,0))</f>
        <v>0</v>
      </c>
      <c r="W237" s="4">
        <f>IF(ISERROR(VLOOKUP($T$237,'TAR FIN'!$A$1:$O$85,15,0)),0,VLOOKUP($T$237,'TAR FIN'!$A$1:$O$85,15,0))</f>
        <v>370.66</v>
      </c>
      <c r="X237" s="4">
        <f>IF(ISERROR(VLOOKUP($U$237,'TAR FIN'!$A$1:$O$85,15,0)),0,VLOOKUP($U$237,'TAR FIN'!$A$1:$O$85,15,0))</f>
        <v>291.85000000000002</v>
      </c>
      <c r="Y237" s="4"/>
      <c r="Z237" s="4">
        <f ca="1">('TUSD BE'!$AM$20+'TUSD BF'!$AM$20+'TUSD CVA'!$AM$20)*1</f>
        <v>429.2108574011603</v>
      </c>
      <c r="AA237" s="4">
        <f>('TE BE'!$AB$11+'TE BF'!$AB$11+'TE CVA'!$AB$11)*1</f>
        <v>213.77329191067864</v>
      </c>
      <c r="AB237" s="4">
        <f>$K$237*$V$237</f>
        <v>0</v>
      </c>
      <c r="AC237" s="4">
        <f>$M$237*$W$237</f>
        <v>411312.50615999999</v>
      </c>
      <c r="AD237" s="4">
        <f>$O$237*$X$237</f>
        <v>323858.94060000003</v>
      </c>
      <c r="AE237" s="4">
        <f>$K$237*$Y$237</f>
        <v>0</v>
      </c>
      <c r="AF237" s="4">
        <f ca="1">$M$237*$Z$237</f>
        <v>476284.98739748995</v>
      </c>
      <c r="AG237" s="4">
        <f>$O$237*$AA$237</f>
        <v>237219.0914742742</v>
      </c>
    </row>
    <row r="238" spans="1:33" ht="11.25" customHeight="1" x14ac:dyDescent="0.3">
      <c r="A238" s="3" t="s">
        <v>48</v>
      </c>
      <c r="B238" s="3" t="s">
        <v>22</v>
      </c>
      <c r="C238" s="3" t="s">
        <v>23</v>
      </c>
      <c r="D238" s="3" t="s">
        <v>24</v>
      </c>
      <c r="E238" s="3" t="s">
        <v>24</v>
      </c>
      <c r="F238" s="3" t="s">
        <v>25</v>
      </c>
      <c r="G238" s="3" t="s">
        <v>25</v>
      </c>
      <c r="H238" s="3" t="s">
        <v>25</v>
      </c>
      <c r="I238" s="6">
        <v>44621</v>
      </c>
      <c r="J238" s="4">
        <v>0</v>
      </c>
      <c r="K238" s="4">
        <v>0</v>
      </c>
      <c r="L238" s="4">
        <v>-0.311</v>
      </c>
      <c r="M238" s="4">
        <v>-0.311</v>
      </c>
      <c r="N238" s="4">
        <v>-0.311</v>
      </c>
      <c r="O238" s="4">
        <v>-0.311</v>
      </c>
      <c r="P238" s="4">
        <v>0</v>
      </c>
      <c r="Q238" s="3" t="s">
        <v>26</v>
      </c>
      <c r="R238" s="3">
        <v>0</v>
      </c>
      <c r="S238" s="4">
        <v>0</v>
      </c>
      <c r="T238" s="4">
        <v>16</v>
      </c>
      <c r="U238" s="4">
        <v>53</v>
      </c>
      <c r="V238" s="4">
        <f>IF(ISERROR(VLOOKUP($S$238,'TAR FIN'!$A$1:$O$85,15,0)),0,VLOOKUP($S$238,'TAR FIN'!$A$1:$O$85,15,0))</f>
        <v>0</v>
      </c>
      <c r="W238" s="4">
        <f>IF(ISERROR(VLOOKUP($T$238,'TAR FIN'!$A$1:$O$85,15,0)),0,VLOOKUP($T$238,'TAR FIN'!$A$1:$O$85,15,0))</f>
        <v>370.66</v>
      </c>
      <c r="X238" s="4">
        <f>IF(ISERROR(VLOOKUP($U$238,'TAR FIN'!$A$1:$O$85,15,0)),0,VLOOKUP($U$238,'TAR FIN'!$A$1:$O$85,15,0))</f>
        <v>291.85000000000002</v>
      </c>
      <c r="Y238" s="4"/>
      <c r="Z238" s="4">
        <f ca="1">('TUSD BE'!$AM$20+'TUSD BF'!$AM$20+'TUSD CVA'!$AM$20)*1</f>
        <v>429.2108574011603</v>
      </c>
      <c r="AA238" s="4">
        <f>('TE BE'!$AB$11+'TE BF'!$AB$11+'TE CVA'!$AB$11)*1</f>
        <v>213.77329191067864</v>
      </c>
      <c r="AB238" s="4">
        <f>$K$238*$V$238</f>
        <v>0</v>
      </c>
      <c r="AC238" s="4">
        <f>$M$238*$W$238</f>
        <v>-115.27526</v>
      </c>
      <c r="AD238" s="4">
        <f>$O$238*$X$238</f>
        <v>-90.765350000000012</v>
      </c>
      <c r="AE238" s="4">
        <f>$K$238*$Y$238</f>
        <v>0</v>
      </c>
      <c r="AF238" s="4">
        <f ca="1">$M$238*$Z$238</f>
        <v>-133.48457665176085</v>
      </c>
      <c r="AG238" s="4">
        <f>$O$238*$AA$238</f>
        <v>-66.483493784221054</v>
      </c>
    </row>
    <row r="239" spans="1:33" ht="11.25" customHeight="1" x14ac:dyDescent="0.3">
      <c r="A239" s="3" t="s">
        <v>27</v>
      </c>
      <c r="B239" s="3" t="s">
        <v>22</v>
      </c>
      <c r="C239" s="3" t="s">
        <v>23</v>
      </c>
      <c r="D239" s="3" t="s">
        <v>24</v>
      </c>
      <c r="E239" s="3" t="s">
        <v>24</v>
      </c>
      <c r="F239" s="3" t="s">
        <v>25</v>
      </c>
      <c r="G239" s="3" t="s">
        <v>25</v>
      </c>
      <c r="H239" s="3" t="s">
        <v>25</v>
      </c>
      <c r="I239" s="6">
        <v>44621</v>
      </c>
      <c r="J239" s="4">
        <v>0</v>
      </c>
      <c r="K239" s="4">
        <v>0</v>
      </c>
      <c r="L239" s="4">
        <v>29.984999999999999</v>
      </c>
      <c r="M239" s="4">
        <v>29.984999999999999</v>
      </c>
      <c r="N239" s="4">
        <v>29.984999999999999</v>
      </c>
      <c r="O239" s="4">
        <v>29.984999999999999</v>
      </c>
      <c r="P239" s="4">
        <v>176</v>
      </c>
      <c r="Q239" s="3" t="s">
        <v>26</v>
      </c>
      <c r="R239" s="3">
        <v>0</v>
      </c>
      <c r="S239" s="4">
        <v>0</v>
      </c>
      <c r="T239" s="4">
        <v>16</v>
      </c>
      <c r="U239" s="4">
        <v>53</v>
      </c>
      <c r="V239" s="4">
        <f>IF(ISERROR(VLOOKUP($S$239,'TAR FIN'!$A$1:$O$85,15,0)),0,VLOOKUP($S$239,'TAR FIN'!$A$1:$O$85,15,0))</f>
        <v>0</v>
      </c>
      <c r="W239" s="4">
        <f>IF(ISERROR(VLOOKUP($T$239,'TAR FIN'!$A$1:$O$85,15,0)),0,VLOOKUP($T$239,'TAR FIN'!$A$1:$O$85,15,0))</f>
        <v>370.66</v>
      </c>
      <c r="X239" s="4">
        <f>IF(ISERROR(VLOOKUP($U$239,'TAR FIN'!$A$1:$O$85,15,0)),0,VLOOKUP($U$239,'TAR FIN'!$A$1:$O$85,15,0))</f>
        <v>291.85000000000002</v>
      </c>
      <c r="Y239" s="4"/>
      <c r="Z239" s="4">
        <f ca="1">('TUSD BE'!$AM$20+'TUSD BF'!$AM$20+'TUSD CVA'!$AM$20)*1</f>
        <v>429.2108574011603</v>
      </c>
      <c r="AA239" s="4">
        <f>('TE BE'!$AB$11+'TE BF'!$AB$11+'TE CVA'!$AB$11)*1</f>
        <v>213.77329191067864</v>
      </c>
      <c r="AB239" s="4">
        <f>$K$239*$V$239</f>
        <v>0</v>
      </c>
      <c r="AC239" s="4">
        <f>$M$239*$W$239</f>
        <v>11114.240100000001</v>
      </c>
      <c r="AD239" s="4">
        <f>$O$239*$X$239</f>
        <v>8751.1222500000003</v>
      </c>
      <c r="AE239" s="4">
        <f>$K$239*$Y$239</f>
        <v>0</v>
      </c>
      <c r="AF239" s="4">
        <f ca="1">$M$239*$Z$239</f>
        <v>12869.887559173791</v>
      </c>
      <c r="AG239" s="4">
        <f>$O$239*$AA$239</f>
        <v>6409.9921579416987</v>
      </c>
    </row>
    <row r="240" spans="1:33" ht="11.25" customHeight="1" x14ac:dyDescent="0.3">
      <c r="A240" s="3" t="s">
        <v>21</v>
      </c>
      <c r="B240" s="3" t="s">
        <v>22</v>
      </c>
      <c r="C240" s="3" t="s">
        <v>23</v>
      </c>
      <c r="D240" s="3" t="s">
        <v>24</v>
      </c>
      <c r="E240" s="3" t="s">
        <v>24</v>
      </c>
      <c r="F240" s="3" t="s">
        <v>25</v>
      </c>
      <c r="G240" s="3" t="s">
        <v>25</v>
      </c>
      <c r="H240" s="3" t="s">
        <v>25</v>
      </c>
      <c r="I240" s="6">
        <v>44652</v>
      </c>
      <c r="J240" s="4">
        <v>0</v>
      </c>
      <c r="K240" s="4">
        <v>0</v>
      </c>
      <c r="L240" s="4">
        <v>793.52200000000005</v>
      </c>
      <c r="M240" s="4">
        <v>793.52200000000005</v>
      </c>
      <c r="N240" s="4">
        <v>793.52200000000005</v>
      </c>
      <c r="O240" s="4">
        <v>793.52200000000005</v>
      </c>
      <c r="P240" s="4">
        <v>4498</v>
      </c>
      <c r="Q240" s="3" t="s">
        <v>26</v>
      </c>
      <c r="R240" s="3">
        <v>0</v>
      </c>
      <c r="S240" s="4">
        <v>0</v>
      </c>
      <c r="T240" s="4">
        <v>16</v>
      </c>
      <c r="U240" s="4">
        <v>53</v>
      </c>
      <c r="V240" s="4">
        <f>IF(ISERROR(VLOOKUP($S$240,'TAR FIN'!$A$1:$O$85,15,0)),0,VLOOKUP($S$240,'TAR FIN'!$A$1:$O$85,15,0))</f>
        <v>0</v>
      </c>
      <c r="W240" s="4">
        <f>IF(ISERROR(VLOOKUP($T$240,'TAR FIN'!$A$1:$O$85,15,0)),0,VLOOKUP($T$240,'TAR FIN'!$A$1:$O$85,15,0))</f>
        <v>370.66</v>
      </c>
      <c r="X240" s="4">
        <f>IF(ISERROR(VLOOKUP($U$240,'TAR FIN'!$A$1:$O$85,15,0)),0,VLOOKUP($U$240,'TAR FIN'!$A$1:$O$85,15,0))</f>
        <v>291.85000000000002</v>
      </c>
      <c r="Y240" s="4"/>
      <c r="Z240" s="4">
        <f ca="1">('TUSD BE'!$AM$20+'TUSD BF'!$AM$20+'TUSD CVA'!$AM$20)*1</f>
        <v>429.2108574011603</v>
      </c>
      <c r="AA240" s="4">
        <f>('TE BE'!$AB$11+'TE BF'!$AB$11+'TE CVA'!$AB$11)*1</f>
        <v>213.77329191067864</v>
      </c>
      <c r="AB240" s="4">
        <f>$K$240*$V$240</f>
        <v>0</v>
      </c>
      <c r="AC240" s="4">
        <f>$M$240*$W$240</f>
        <v>294126.86452000006</v>
      </c>
      <c r="AD240" s="4">
        <f>$O$240*$X$240</f>
        <v>231589.39570000002</v>
      </c>
      <c r="AE240" s="4">
        <f>$K$240*$Y$240</f>
        <v>0</v>
      </c>
      <c r="AF240" s="4">
        <f ca="1">$M$240*$Z$240</f>
        <v>340588.25798668351</v>
      </c>
      <c r="AG240" s="4">
        <f>$O$240*$AA$240</f>
        <v>169633.81014354553</v>
      </c>
    </row>
    <row r="241" spans="1:33" ht="11.25" customHeight="1" x14ac:dyDescent="0.3">
      <c r="A241" s="3" t="s">
        <v>48</v>
      </c>
      <c r="B241" s="3" t="s">
        <v>22</v>
      </c>
      <c r="C241" s="3" t="s">
        <v>23</v>
      </c>
      <c r="D241" s="3" t="s">
        <v>24</v>
      </c>
      <c r="E241" s="3" t="s">
        <v>24</v>
      </c>
      <c r="F241" s="3" t="s">
        <v>25</v>
      </c>
      <c r="G241" s="3" t="s">
        <v>25</v>
      </c>
      <c r="H241" s="3" t="s">
        <v>25</v>
      </c>
      <c r="I241" s="6">
        <v>44652</v>
      </c>
      <c r="J241" s="4">
        <v>0</v>
      </c>
      <c r="K241" s="4">
        <v>0</v>
      </c>
      <c r="L241" s="4">
        <v>-100.259</v>
      </c>
      <c r="M241" s="4">
        <v>-100.259</v>
      </c>
      <c r="N241" s="4">
        <v>-100.259</v>
      </c>
      <c r="O241" s="4">
        <v>-100.259</v>
      </c>
      <c r="P241" s="4">
        <v>0</v>
      </c>
      <c r="Q241" s="3" t="s">
        <v>26</v>
      </c>
      <c r="R241" s="3">
        <v>0</v>
      </c>
      <c r="S241" s="4">
        <v>0</v>
      </c>
      <c r="T241" s="4">
        <v>16</v>
      </c>
      <c r="U241" s="4">
        <v>53</v>
      </c>
      <c r="V241" s="4">
        <f>IF(ISERROR(VLOOKUP($S$241,'TAR FIN'!$A$1:$O$85,15,0)),0,VLOOKUP($S$241,'TAR FIN'!$A$1:$O$85,15,0))</f>
        <v>0</v>
      </c>
      <c r="W241" s="4">
        <f>IF(ISERROR(VLOOKUP($T$241,'TAR FIN'!$A$1:$O$85,15,0)),0,VLOOKUP($T$241,'TAR FIN'!$A$1:$O$85,15,0))</f>
        <v>370.66</v>
      </c>
      <c r="X241" s="4">
        <f>IF(ISERROR(VLOOKUP($U$241,'TAR FIN'!$A$1:$O$85,15,0)),0,VLOOKUP($U$241,'TAR FIN'!$A$1:$O$85,15,0))</f>
        <v>291.85000000000002</v>
      </c>
      <c r="Y241" s="4"/>
      <c r="Z241" s="4">
        <f ca="1">('TUSD BE'!$AM$20+'TUSD BF'!$AM$20+'TUSD CVA'!$AM$20)*1</f>
        <v>429.2108574011603</v>
      </c>
      <c r="AA241" s="4">
        <f>('TE BE'!$AB$11+'TE BF'!$AB$11+'TE CVA'!$AB$11)*1</f>
        <v>213.77329191067864</v>
      </c>
      <c r="AB241" s="4">
        <f>$K$241*$V$241</f>
        <v>0</v>
      </c>
      <c r="AC241" s="4">
        <f>$M$241*$W$241</f>
        <v>-37162.000940000005</v>
      </c>
      <c r="AD241" s="4">
        <f>$O$241*$X$241</f>
        <v>-29260.589150000003</v>
      </c>
      <c r="AE241" s="4">
        <f>$K$241*$Y$241</f>
        <v>0</v>
      </c>
      <c r="AF241" s="4">
        <f ca="1">$M$241*$Z$241</f>
        <v>-43032.251352182931</v>
      </c>
      <c r="AG241" s="4">
        <f>$O$241*$AA$241</f>
        <v>-21432.696473672728</v>
      </c>
    </row>
    <row r="242" spans="1:33" ht="11.25" customHeight="1" x14ac:dyDescent="0.3">
      <c r="A242" s="3" t="s">
        <v>27</v>
      </c>
      <c r="B242" s="3" t="s">
        <v>22</v>
      </c>
      <c r="C242" s="3" t="s">
        <v>23</v>
      </c>
      <c r="D242" s="3" t="s">
        <v>24</v>
      </c>
      <c r="E242" s="3" t="s">
        <v>24</v>
      </c>
      <c r="F242" s="3" t="s">
        <v>25</v>
      </c>
      <c r="G242" s="3" t="s">
        <v>25</v>
      </c>
      <c r="H242" s="3" t="s">
        <v>25</v>
      </c>
      <c r="I242" s="6">
        <v>44652</v>
      </c>
      <c r="J242" s="4">
        <v>0</v>
      </c>
      <c r="K242" s="4">
        <v>0</v>
      </c>
      <c r="L242" s="4">
        <v>24.300999999999998</v>
      </c>
      <c r="M242" s="4">
        <v>24.300999999999998</v>
      </c>
      <c r="N242" s="4">
        <v>24.300999999999998</v>
      </c>
      <c r="O242" s="4">
        <v>24.300999999999998</v>
      </c>
      <c r="P242" s="4">
        <v>192</v>
      </c>
      <c r="Q242" s="3" t="s">
        <v>26</v>
      </c>
      <c r="R242" s="3">
        <v>0</v>
      </c>
      <c r="S242" s="4">
        <v>0</v>
      </c>
      <c r="T242" s="4">
        <v>16</v>
      </c>
      <c r="U242" s="4">
        <v>53</v>
      </c>
      <c r="V242" s="4">
        <f>IF(ISERROR(VLOOKUP($S$242,'TAR FIN'!$A$1:$O$85,15,0)),0,VLOOKUP($S$242,'TAR FIN'!$A$1:$O$85,15,0))</f>
        <v>0</v>
      </c>
      <c r="W242" s="4">
        <f>IF(ISERROR(VLOOKUP($T$242,'TAR FIN'!$A$1:$O$85,15,0)),0,VLOOKUP($T$242,'TAR FIN'!$A$1:$O$85,15,0))</f>
        <v>370.66</v>
      </c>
      <c r="X242" s="4">
        <f>IF(ISERROR(VLOOKUP($U$242,'TAR FIN'!$A$1:$O$85,15,0)),0,VLOOKUP($U$242,'TAR FIN'!$A$1:$O$85,15,0))</f>
        <v>291.85000000000002</v>
      </c>
      <c r="Y242" s="4"/>
      <c r="Z242" s="4">
        <f ca="1">('TUSD BE'!$AM$20+'TUSD BF'!$AM$20+'TUSD CVA'!$AM$20)*1</f>
        <v>429.2108574011603</v>
      </c>
      <c r="AA242" s="4">
        <f>('TE BE'!$AB$11+'TE BF'!$AB$11+'TE CVA'!$AB$11)*1</f>
        <v>213.77329191067864</v>
      </c>
      <c r="AB242" s="4">
        <f>$K$242*$V$242</f>
        <v>0</v>
      </c>
      <c r="AC242" s="4">
        <f>$M$242*$W$242</f>
        <v>9007.4086599999991</v>
      </c>
      <c r="AD242" s="4">
        <f>$O$242*$X$242</f>
        <v>7092.2468500000004</v>
      </c>
      <c r="AE242" s="4">
        <f>$K$242*$Y$242</f>
        <v>0</v>
      </c>
      <c r="AF242" s="4">
        <f ca="1">$M$242*$Z$242</f>
        <v>10430.253045705596</v>
      </c>
      <c r="AG242" s="4">
        <f>$O$242*$AA$242</f>
        <v>5194.9047667214008</v>
      </c>
    </row>
    <row r="243" spans="1:33" ht="11.25" customHeight="1" x14ac:dyDescent="0.3">
      <c r="A243" s="3" t="s">
        <v>27</v>
      </c>
      <c r="B243" s="3" t="s">
        <v>22</v>
      </c>
      <c r="C243" s="3" t="s">
        <v>23</v>
      </c>
      <c r="D243" s="3" t="s">
        <v>24</v>
      </c>
      <c r="E243" s="3" t="s">
        <v>24</v>
      </c>
      <c r="F243" s="3" t="s">
        <v>25</v>
      </c>
      <c r="G243" s="3" t="s">
        <v>25</v>
      </c>
      <c r="H243" s="3" t="s">
        <v>25</v>
      </c>
      <c r="I243" s="6">
        <v>44652</v>
      </c>
      <c r="J243" s="4">
        <v>0</v>
      </c>
      <c r="K243" s="4">
        <v>0</v>
      </c>
      <c r="L243" s="4">
        <v>-0.36199999999999999</v>
      </c>
      <c r="M243" s="4">
        <v>-0.36199999999999999</v>
      </c>
      <c r="N243" s="4">
        <v>-0.36199999999999999</v>
      </c>
      <c r="O243" s="4">
        <v>-0.36199999999999999</v>
      </c>
      <c r="P243" s="4">
        <v>2</v>
      </c>
      <c r="Q243" s="3" t="s">
        <v>26</v>
      </c>
      <c r="R243" s="3">
        <v>0</v>
      </c>
      <c r="S243" s="4">
        <v>0</v>
      </c>
      <c r="T243" s="4">
        <v>16</v>
      </c>
      <c r="U243" s="4">
        <v>53</v>
      </c>
      <c r="V243" s="4">
        <f>IF(ISERROR(VLOOKUP($S$243,'TAR FIN'!$A$1:$O$85,15,0)),0,VLOOKUP($S$243,'TAR FIN'!$A$1:$O$85,15,0))</f>
        <v>0</v>
      </c>
      <c r="W243" s="4">
        <f>IF(ISERROR(VLOOKUP($T$243,'TAR FIN'!$A$1:$O$85,15,0)),0,VLOOKUP($T$243,'TAR FIN'!$A$1:$O$85,15,0))</f>
        <v>370.66</v>
      </c>
      <c r="X243" s="4">
        <f>IF(ISERROR(VLOOKUP($U$243,'TAR FIN'!$A$1:$O$85,15,0)),0,VLOOKUP($U$243,'TAR FIN'!$A$1:$O$85,15,0))</f>
        <v>291.85000000000002</v>
      </c>
      <c r="Y243" s="4"/>
      <c r="Z243" s="4">
        <f ca="1">('TUSD BE'!$AM$20+'TUSD BF'!$AM$20+'TUSD CVA'!$AM$20)*1</f>
        <v>429.2108574011603</v>
      </c>
      <c r="AA243" s="4">
        <f>('TE BE'!$AB$11+'TE BF'!$AB$11+'TE CVA'!$AB$11)*1</f>
        <v>213.77329191067864</v>
      </c>
      <c r="AB243" s="4">
        <f>$K$243*$V$243</f>
        <v>0</v>
      </c>
      <c r="AC243" s="4">
        <f>$M$243*$W$243</f>
        <v>-134.17892000000001</v>
      </c>
      <c r="AD243" s="4">
        <f>$O$243*$X$243</f>
        <v>-105.64970000000001</v>
      </c>
      <c r="AE243" s="4">
        <f>$K$243*$Y$243</f>
        <v>0</v>
      </c>
      <c r="AF243" s="4">
        <f ca="1">$M$243*$Z$243</f>
        <v>-155.37433037922003</v>
      </c>
      <c r="AG243" s="4">
        <f>$O$243*$AA$243</f>
        <v>-77.385931671665659</v>
      </c>
    </row>
    <row r="244" spans="1:33" ht="11.25" customHeight="1" x14ac:dyDescent="0.3">
      <c r="A244" s="3" t="s">
        <v>21</v>
      </c>
      <c r="B244" s="3" t="s">
        <v>22</v>
      </c>
      <c r="C244" s="3" t="s">
        <v>23</v>
      </c>
      <c r="D244" s="3" t="s">
        <v>24</v>
      </c>
      <c r="E244" s="3" t="s">
        <v>24</v>
      </c>
      <c r="F244" s="3" t="s">
        <v>25</v>
      </c>
      <c r="G244" s="3" t="s">
        <v>25</v>
      </c>
      <c r="H244" s="3" t="s">
        <v>25</v>
      </c>
      <c r="I244" s="6">
        <v>44682</v>
      </c>
      <c r="J244" s="4">
        <v>0</v>
      </c>
      <c r="K244" s="4">
        <v>0</v>
      </c>
      <c r="L244" s="4">
        <v>777.67899999999997</v>
      </c>
      <c r="M244" s="4">
        <v>777.67899999999997</v>
      </c>
      <c r="N244" s="4">
        <v>777.67899999999997</v>
      </c>
      <c r="O244" s="4">
        <v>777.67899999999997</v>
      </c>
      <c r="P244" s="4">
        <v>4481</v>
      </c>
      <c r="Q244" s="3" t="s">
        <v>26</v>
      </c>
      <c r="R244" s="3">
        <v>0</v>
      </c>
      <c r="S244" s="4">
        <v>0</v>
      </c>
      <c r="T244" s="4">
        <v>16</v>
      </c>
      <c r="U244" s="4">
        <v>53</v>
      </c>
      <c r="V244" s="4">
        <f>IF(ISERROR(VLOOKUP($S$244,'TAR FIN'!$A$1:$O$85,15,0)),0,VLOOKUP($S$244,'TAR FIN'!$A$1:$O$85,15,0))</f>
        <v>0</v>
      </c>
      <c r="W244" s="4">
        <f>IF(ISERROR(VLOOKUP($T$244,'TAR FIN'!$A$1:$O$85,15,0)),0,VLOOKUP($T$244,'TAR FIN'!$A$1:$O$85,15,0))</f>
        <v>370.66</v>
      </c>
      <c r="X244" s="4">
        <f>IF(ISERROR(VLOOKUP($U$244,'TAR FIN'!$A$1:$O$85,15,0)),0,VLOOKUP($U$244,'TAR FIN'!$A$1:$O$85,15,0))</f>
        <v>291.85000000000002</v>
      </c>
      <c r="Y244" s="4"/>
      <c r="Z244" s="4">
        <f ca="1">('TUSD BE'!$AM$20+'TUSD BF'!$AM$20+'TUSD CVA'!$AM$20)*1</f>
        <v>429.2108574011603</v>
      </c>
      <c r="AA244" s="4">
        <f>('TE BE'!$AB$11+'TE BF'!$AB$11+'TE CVA'!$AB$11)*1</f>
        <v>213.77329191067864</v>
      </c>
      <c r="AB244" s="4">
        <f>$K$244*$V$244</f>
        <v>0</v>
      </c>
      <c r="AC244" s="4">
        <f>$M$244*$W$244</f>
        <v>288254.49813999998</v>
      </c>
      <c r="AD244" s="4">
        <f>$O$244*$X$244</f>
        <v>226965.61615000002</v>
      </c>
      <c r="AE244" s="4">
        <f>$K$244*$Y$244</f>
        <v>0</v>
      </c>
      <c r="AF244" s="4">
        <f ca="1">$M$244*$Z$244</f>
        <v>333788.27037287696</v>
      </c>
      <c r="AG244" s="4">
        <f>$O$244*$AA$244</f>
        <v>166246.99987980464</v>
      </c>
    </row>
    <row r="245" spans="1:33" ht="11.25" customHeight="1" x14ac:dyDescent="0.3">
      <c r="A245" s="3" t="s">
        <v>27</v>
      </c>
      <c r="B245" s="3" t="s">
        <v>22</v>
      </c>
      <c r="C245" s="3" t="s">
        <v>23</v>
      </c>
      <c r="D245" s="3" t="s">
        <v>24</v>
      </c>
      <c r="E245" s="3" t="s">
        <v>24</v>
      </c>
      <c r="F245" s="3" t="s">
        <v>25</v>
      </c>
      <c r="G245" s="3" t="s">
        <v>25</v>
      </c>
      <c r="H245" s="3" t="s">
        <v>25</v>
      </c>
      <c r="I245" s="6">
        <v>44682</v>
      </c>
      <c r="J245" s="4">
        <v>0</v>
      </c>
      <c r="K245" s="4">
        <v>0</v>
      </c>
      <c r="L245" s="4">
        <v>27.635000000000002</v>
      </c>
      <c r="M245" s="4">
        <v>27.635000000000002</v>
      </c>
      <c r="N245" s="4">
        <v>27.635000000000002</v>
      </c>
      <c r="O245" s="4">
        <v>27.635000000000002</v>
      </c>
      <c r="P245" s="4">
        <v>212</v>
      </c>
      <c r="Q245" s="3" t="s">
        <v>26</v>
      </c>
      <c r="R245" s="3">
        <v>0</v>
      </c>
      <c r="S245" s="4">
        <v>0</v>
      </c>
      <c r="T245" s="4">
        <v>16</v>
      </c>
      <c r="U245" s="4">
        <v>53</v>
      </c>
      <c r="V245" s="4">
        <f>IF(ISERROR(VLOOKUP($S$245,'TAR FIN'!$A$1:$O$85,15,0)),0,VLOOKUP($S$245,'TAR FIN'!$A$1:$O$85,15,0))</f>
        <v>0</v>
      </c>
      <c r="W245" s="4">
        <f>IF(ISERROR(VLOOKUP($T$245,'TAR FIN'!$A$1:$O$85,15,0)),0,VLOOKUP($T$245,'TAR FIN'!$A$1:$O$85,15,0))</f>
        <v>370.66</v>
      </c>
      <c r="X245" s="4">
        <f>IF(ISERROR(VLOOKUP($U$245,'TAR FIN'!$A$1:$O$85,15,0)),0,VLOOKUP($U$245,'TAR FIN'!$A$1:$O$85,15,0))</f>
        <v>291.85000000000002</v>
      </c>
      <c r="Y245" s="4"/>
      <c r="Z245" s="4">
        <f ca="1">('TUSD BE'!$AM$20+'TUSD BF'!$AM$20+'TUSD CVA'!$AM$20)*1</f>
        <v>429.2108574011603</v>
      </c>
      <c r="AA245" s="4">
        <f>('TE BE'!$AB$11+'TE BF'!$AB$11+'TE CVA'!$AB$11)*1</f>
        <v>213.77329191067864</v>
      </c>
      <c r="AB245" s="4">
        <f>$K$245*$V$245</f>
        <v>0</v>
      </c>
      <c r="AC245" s="4">
        <f>$M$245*$W$245</f>
        <v>10243.189100000001</v>
      </c>
      <c r="AD245" s="4">
        <f>$O$245*$X$245</f>
        <v>8065.2747500000014</v>
      </c>
      <c r="AE245" s="4">
        <f>$K$245*$Y$245</f>
        <v>0</v>
      </c>
      <c r="AF245" s="4">
        <f ca="1">$M$245*$Z$245</f>
        <v>11861.242044281065</v>
      </c>
      <c r="AG245" s="4">
        <f>$O$245*$AA$245</f>
        <v>5907.6249219516048</v>
      </c>
    </row>
    <row r="246" spans="1:33" ht="11.25" customHeight="1" x14ac:dyDescent="0.3">
      <c r="A246" s="3" t="s">
        <v>21</v>
      </c>
      <c r="B246" s="3" t="s">
        <v>22</v>
      </c>
      <c r="C246" s="3" t="s">
        <v>23</v>
      </c>
      <c r="D246" s="3" t="s">
        <v>24</v>
      </c>
      <c r="E246" s="3" t="s">
        <v>24</v>
      </c>
      <c r="F246" s="3" t="s">
        <v>25</v>
      </c>
      <c r="G246" s="3" t="s">
        <v>25</v>
      </c>
      <c r="H246" s="3" t="s">
        <v>25</v>
      </c>
      <c r="I246" s="6">
        <v>44713</v>
      </c>
      <c r="J246" s="4">
        <v>0</v>
      </c>
      <c r="K246" s="4">
        <v>0</v>
      </c>
      <c r="L246" s="4">
        <v>839.471</v>
      </c>
      <c r="M246" s="4">
        <v>839.471</v>
      </c>
      <c r="N246" s="4">
        <v>839.471</v>
      </c>
      <c r="O246" s="4">
        <v>839.471</v>
      </c>
      <c r="P246" s="4">
        <v>4495</v>
      </c>
      <c r="Q246" s="3" t="s">
        <v>26</v>
      </c>
      <c r="R246" s="3">
        <v>0</v>
      </c>
      <c r="S246" s="4">
        <v>0</v>
      </c>
      <c r="T246" s="4">
        <v>16</v>
      </c>
      <c r="U246" s="4">
        <v>53</v>
      </c>
      <c r="V246" s="4">
        <f>IF(ISERROR(VLOOKUP($S$246,'TAR FIN'!$A$1:$O$85,15,0)),0,VLOOKUP($S$246,'TAR FIN'!$A$1:$O$85,15,0))</f>
        <v>0</v>
      </c>
      <c r="W246" s="4">
        <f>IF(ISERROR(VLOOKUP($T$246,'TAR FIN'!$A$1:$O$85,15,0)),0,VLOOKUP($T$246,'TAR FIN'!$A$1:$O$85,15,0))</f>
        <v>370.66</v>
      </c>
      <c r="X246" s="4">
        <f>IF(ISERROR(VLOOKUP($U$246,'TAR FIN'!$A$1:$O$85,15,0)),0,VLOOKUP($U$246,'TAR FIN'!$A$1:$O$85,15,0))</f>
        <v>291.85000000000002</v>
      </c>
      <c r="Y246" s="4"/>
      <c r="Z246" s="4">
        <f ca="1">('TUSD BE'!$AM$20+'TUSD BF'!$AM$20+'TUSD CVA'!$AM$20)*1</f>
        <v>429.2108574011603</v>
      </c>
      <c r="AA246" s="4">
        <f>('TE BE'!$AB$11+'TE BF'!$AB$11+'TE CVA'!$AB$11)*1</f>
        <v>213.77329191067864</v>
      </c>
      <c r="AB246" s="4">
        <f>$K$246*$V$246</f>
        <v>0</v>
      </c>
      <c r="AC246" s="4">
        <f>$M$246*$W$246</f>
        <v>311158.32086000004</v>
      </c>
      <c r="AD246" s="4">
        <f>$O$246*$X$246</f>
        <v>244999.61135000002</v>
      </c>
      <c r="AE246" s="4">
        <f>$K$246*$Y$246</f>
        <v>0</v>
      </c>
      <c r="AF246" s="4">
        <f ca="1">$M$246*$Z$246</f>
        <v>360310.06767340942</v>
      </c>
      <c r="AG246" s="4">
        <f>$O$246*$AA$246</f>
        <v>179456.47913354932</v>
      </c>
    </row>
    <row r="247" spans="1:33" ht="11.25" customHeight="1" x14ac:dyDescent="0.3">
      <c r="A247" s="3" t="s">
        <v>48</v>
      </c>
      <c r="B247" s="3" t="s">
        <v>22</v>
      </c>
      <c r="C247" s="3" t="s">
        <v>23</v>
      </c>
      <c r="D247" s="3" t="s">
        <v>24</v>
      </c>
      <c r="E247" s="3" t="s">
        <v>24</v>
      </c>
      <c r="F247" s="3" t="s">
        <v>25</v>
      </c>
      <c r="G247" s="3" t="s">
        <v>25</v>
      </c>
      <c r="H247" s="3" t="s">
        <v>25</v>
      </c>
      <c r="I247" s="6">
        <v>44713</v>
      </c>
      <c r="J247" s="4">
        <v>0</v>
      </c>
      <c r="K247" s="4">
        <v>0</v>
      </c>
      <c r="L247" s="4">
        <v>0.224</v>
      </c>
      <c r="M247" s="4">
        <v>0.224</v>
      </c>
      <c r="N247" s="4">
        <v>0.224</v>
      </c>
      <c r="O247" s="4">
        <v>0.224</v>
      </c>
      <c r="P247" s="4">
        <v>0</v>
      </c>
      <c r="Q247" s="3" t="s">
        <v>26</v>
      </c>
      <c r="R247" s="3">
        <v>0</v>
      </c>
      <c r="S247" s="4">
        <v>0</v>
      </c>
      <c r="T247" s="4">
        <v>16</v>
      </c>
      <c r="U247" s="4">
        <v>53</v>
      </c>
      <c r="V247" s="4">
        <f>IF(ISERROR(VLOOKUP($S$247,'TAR FIN'!$A$1:$O$85,15,0)),0,VLOOKUP($S$247,'TAR FIN'!$A$1:$O$85,15,0))</f>
        <v>0</v>
      </c>
      <c r="W247" s="4">
        <f>IF(ISERROR(VLOOKUP($T$247,'TAR FIN'!$A$1:$O$85,15,0)),0,VLOOKUP($T$247,'TAR FIN'!$A$1:$O$85,15,0))</f>
        <v>370.66</v>
      </c>
      <c r="X247" s="4">
        <f>IF(ISERROR(VLOOKUP($U$247,'TAR FIN'!$A$1:$O$85,15,0)),0,VLOOKUP($U$247,'TAR FIN'!$A$1:$O$85,15,0))</f>
        <v>291.85000000000002</v>
      </c>
      <c r="Y247" s="4"/>
      <c r="Z247" s="4">
        <f ca="1">('TUSD BE'!$AM$20+'TUSD BF'!$AM$20+'TUSD CVA'!$AM$20)*1</f>
        <v>429.2108574011603</v>
      </c>
      <c r="AA247" s="4">
        <f>('TE BE'!$AB$11+'TE BF'!$AB$11+'TE CVA'!$AB$11)*1</f>
        <v>213.77329191067864</v>
      </c>
      <c r="AB247" s="4">
        <f>$K$247*$V$247</f>
        <v>0</v>
      </c>
      <c r="AC247" s="4">
        <f>$M$247*$W$247</f>
        <v>83.027840000000012</v>
      </c>
      <c r="AD247" s="4">
        <f>$O$247*$X$247</f>
        <v>65.374400000000009</v>
      </c>
      <c r="AE247" s="4">
        <f>$K$247*$Y$247</f>
        <v>0</v>
      </c>
      <c r="AF247" s="4">
        <f ca="1">$M$247*$Z$247</f>
        <v>96.143232057859905</v>
      </c>
      <c r="AG247" s="4">
        <f>$O$247*$AA$247</f>
        <v>47.885217387992014</v>
      </c>
    </row>
    <row r="248" spans="1:33" ht="11.25" customHeight="1" x14ac:dyDescent="0.3">
      <c r="A248" s="3" t="s">
        <v>27</v>
      </c>
      <c r="B248" s="3" t="s">
        <v>22</v>
      </c>
      <c r="C248" s="3" t="s">
        <v>23</v>
      </c>
      <c r="D248" s="3" t="s">
        <v>24</v>
      </c>
      <c r="E248" s="3" t="s">
        <v>24</v>
      </c>
      <c r="F248" s="3" t="s">
        <v>25</v>
      </c>
      <c r="G248" s="3" t="s">
        <v>25</v>
      </c>
      <c r="H248" s="3" t="s">
        <v>25</v>
      </c>
      <c r="I248" s="6">
        <v>44713</v>
      </c>
      <c r="J248" s="4">
        <v>0</v>
      </c>
      <c r="K248" s="4">
        <v>0</v>
      </c>
      <c r="L248" s="4">
        <v>33.921999999999997</v>
      </c>
      <c r="M248" s="4">
        <v>33.921999999999997</v>
      </c>
      <c r="N248" s="4">
        <v>33.921999999999997</v>
      </c>
      <c r="O248" s="4">
        <v>33.921999999999997</v>
      </c>
      <c r="P248" s="4">
        <v>217</v>
      </c>
      <c r="Q248" s="3" t="s">
        <v>26</v>
      </c>
      <c r="R248" s="3">
        <v>0</v>
      </c>
      <c r="S248" s="4">
        <v>0</v>
      </c>
      <c r="T248" s="4">
        <v>16</v>
      </c>
      <c r="U248" s="4">
        <v>53</v>
      </c>
      <c r="V248" s="4">
        <f>IF(ISERROR(VLOOKUP($S$248,'TAR FIN'!$A$1:$O$85,15,0)),0,VLOOKUP($S$248,'TAR FIN'!$A$1:$O$85,15,0))</f>
        <v>0</v>
      </c>
      <c r="W248" s="4">
        <f>IF(ISERROR(VLOOKUP($T$248,'TAR FIN'!$A$1:$O$85,15,0)),0,VLOOKUP($T$248,'TAR FIN'!$A$1:$O$85,15,0))</f>
        <v>370.66</v>
      </c>
      <c r="X248" s="4">
        <f>IF(ISERROR(VLOOKUP($U$248,'TAR FIN'!$A$1:$O$85,15,0)),0,VLOOKUP($U$248,'TAR FIN'!$A$1:$O$85,15,0))</f>
        <v>291.85000000000002</v>
      </c>
      <c r="Y248" s="4"/>
      <c r="Z248" s="4">
        <f ca="1">('TUSD BE'!$AM$20+'TUSD BF'!$AM$20+'TUSD CVA'!$AM$20)*1</f>
        <v>429.2108574011603</v>
      </c>
      <c r="AA248" s="4">
        <f>('TE BE'!$AB$11+'TE BF'!$AB$11+'TE CVA'!$AB$11)*1</f>
        <v>213.77329191067864</v>
      </c>
      <c r="AB248" s="4">
        <f>$K$248*$V$248</f>
        <v>0</v>
      </c>
      <c r="AC248" s="4">
        <f>$M$248*$W$248</f>
        <v>12573.52852</v>
      </c>
      <c r="AD248" s="4">
        <f>$O$248*$X$248</f>
        <v>9900.1357000000007</v>
      </c>
      <c r="AE248" s="4">
        <f>$K$248*$Y$248</f>
        <v>0</v>
      </c>
      <c r="AF248" s="4">
        <f ca="1">$M$248*$Z$248</f>
        <v>14559.690704762159</v>
      </c>
      <c r="AG248" s="4">
        <f>$O$248*$AA$248</f>
        <v>7251.6176081940403</v>
      </c>
    </row>
    <row r="249" spans="1:33" ht="11.25" customHeight="1" x14ac:dyDescent="0.3">
      <c r="A249" s="3" t="s">
        <v>21</v>
      </c>
      <c r="B249" s="3" t="s">
        <v>22</v>
      </c>
      <c r="C249" s="3" t="s">
        <v>23</v>
      </c>
      <c r="D249" s="3" t="s">
        <v>24</v>
      </c>
      <c r="E249" s="3" t="s">
        <v>24</v>
      </c>
      <c r="F249" s="3" t="s">
        <v>25</v>
      </c>
      <c r="G249" s="3" t="s">
        <v>25</v>
      </c>
      <c r="H249" s="3" t="s">
        <v>25</v>
      </c>
      <c r="I249" s="6">
        <v>44743</v>
      </c>
      <c r="J249" s="4">
        <v>0</v>
      </c>
      <c r="K249" s="4">
        <v>0</v>
      </c>
      <c r="L249" s="4">
        <v>816.24300000000005</v>
      </c>
      <c r="M249" s="4">
        <v>816.24300000000005</v>
      </c>
      <c r="N249" s="4">
        <v>816.24300000000005</v>
      </c>
      <c r="O249" s="4">
        <v>816.24300000000005</v>
      </c>
      <c r="P249" s="4">
        <v>4541</v>
      </c>
      <c r="Q249" s="3" t="s">
        <v>26</v>
      </c>
      <c r="R249" s="3">
        <v>0</v>
      </c>
      <c r="S249" s="4">
        <v>0</v>
      </c>
      <c r="T249" s="4">
        <v>16</v>
      </c>
      <c r="U249" s="4">
        <v>53</v>
      </c>
      <c r="V249" s="4">
        <f>IF(ISERROR(VLOOKUP($S$249,'TAR FIN'!$A$1:$O$85,15,0)),0,VLOOKUP($S$249,'TAR FIN'!$A$1:$O$85,15,0))</f>
        <v>0</v>
      </c>
      <c r="W249" s="4">
        <f>IF(ISERROR(VLOOKUP($T$249,'TAR FIN'!$A$1:$O$85,15,0)),0,VLOOKUP($T$249,'TAR FIN'!$A$1:$O$85,15,0))</f>
        <v>370.66</v>
      </c>
      <c r="X249" s="4">
        <f>IF(ISERROR(VLOOKUP($U$249,'TAR FIN'!$A$1:$O$85,15,0)),0,VLOOKUP($U$249,'TAR FIN'!$A$1:$O$85,15,0))</f>
        <v>291.85000000000002</v>
      </c>
      <c r="Y249" s="4"/>
      <c r="Z249" s="4">
        <f ca="1">('TUSD BE'!$AM$20+'TUSD BF'!$AM$20+'TUSD CVA'!$AM$20)*1</f>
        <v>429.2108574011603</v>
      </c>
      <c r="AA249" s="4">
        <f>('TE BE'!$AB$11+'TE BF'!$AB$11+'TE CVA'!$AB$11)*1</f>
        <v>213.77329191067864</v>
      </c>
      <c r="AB249" s="4">
        <f>$K$249*$V$249</f>
        <v>0</v>
      </c>
      <c r="AC249" s="4">
        <f>$M$249*$W$249</f>
        <v>302548.63038000005</v>
      </c>
      <c r="AD249" s="4">
        <f>$O$249*$X$249</f>
        <v>238220.51955000003</v>
      </c>
      <c r="AE249" s="4">
        <f>$K$249*$Y$249</f>
        <v>0</v>
      </c>
      <c r="AF249" s="4">
        <f ca="1">$M$249*$Z$249</f>
        <v>350340.35787769529</v>
      </c>
      <c r="AG249" s="4">
        <f>$O$249*$AA$249</f>
        <v>174490.95310904807</v>
      </c>
    </row>
    <row r="250" spans="1:33" ht="11.25" customHeight="1" x14ac:dyDescent="0.3">
      <c r="A250" s="3" t="s">
        <v>27</v>
      </c>
      <c r="B250" s="3" t="s">
        <v>22</v>
      </c>
      <c r="C250" s="3" t="s">
        <v>23</v>
      </c>
      <c r="D250" s="3" t="s">
        <v>24</v>
      </c>
      <c r="E250" s="3" t="s">
        <v>24</v>
      </c>
      <c r="F250" s="3" t="s">
        <v>25</v>
      </c>
      <c r="G250" s="3" t="s">
        <v>25</v>
      </c>
      <c r="H250" s="3" t="s">
        <v>25</v>
      </c>
      <c r="I250" s="6">
        <v>44743</v>
      </c>
      <c r="J250" s="4">
        <v>0</v>
      </c>
      <c r="K250" s="4">
        <v>0</v>
      </c>
      <c r="L250" s="4">
        <v>34.292999999999999</v>
      </c>
      <c r="M250" s="4">
        <v>34.292999999999999</v>
      </c>
      <c r="N250" s="4">
        <v>34.292999999999999</v>
      </c>
      <c r="O250" s="4">
        <v>34.292999999999999</v>
      </c>
      <c r="P250" s="4">
        <v>216</v>
      </c>
      <c r="Q250" s="3" t="s">
        <v>26</v>
      </c>
      <c r="R250" s="3">
        <v>0</v>
      </c>
      <c r="S250" s="4">
        <v>0</v>
      </c>
      <c r="T250" s="4">
        <v>16</v>
      </c>
      <c r="U250" s="4">
        <v>53</v>
      </c>
      <c r="V250" s="4">
        <f>IF(ISERROR(VLOOKUP($S$250,'TAR FIN'!$A$1:$O$85,15,0)),0,VLOOKUP($S$250,'TAR FIN'!$A$1:$O$85,15,0))</f>
        <v>0</v>
      </c>
      <c r="W250" s="4">
        <f>IF(ISERROR(VLOOKUP($T$250,'TAR FIN'!$A$1:$O$85,15,0)),0,VLOOKUP($T$250,'TAR FIN'!$A$1:$O$85,15,0))</f>
        <v>370.66</v>
      </c>
      <c r="X250" s="4">
        <f>IF(ISERROR(VLOOKUP($U$250,'TAR FIN'!$A$1:$O$85,15,0)),0,VLOOKUP($U$250,'TAR FIN'!$A$1:$O$85,15,0))</f>
        <v>291.85000000000002</v>
      </c>
      <c r="Y250" s="4"/>
      <c r="Z250" s="4">
        <f ca="1">('TUSD BE'!$AM$20+'TUSD BF'!$AM$20+'TUSD CVA'!$AM$20)*1</f>
        <v>429.2108574011603</v>
      </c>
      <c r="AA250" s="4">
        <f>('TE BE'!$AB$11+'TE BF'!$AB$11+'TE CVA'!$AB$11)*1</f>
        <v>213.77329191067864</v>
      </c>
      <c r="AB250" s="4">
        <f>$K$250*$V$250</f>
        <v>0</v>
      </c>
      <c r="AC250" s="4">
        <f>$M$250*$W$250</f>
        <v>12711.043380000001</v>
      </c>
      <c r="AD250" s="4">
        <f>$O$250*$X$250</f>
        <v>10008.412050000001</v>
      </c>
      <c r="AE250" s="4">
        <f>$K$250*$Y$250</f>
        <v>0</v>
      </c>
      <c r="AF250" s="4">
        <f ca="1">$M$250*$Z$250</f>
        <v>14718.927932857991</v>
      </c>
      <c r="AG250" s="4">
        <f>$O$250*$AA$250</f>
        <v>7330.9274994929019</v>
      </c>
    </row>
    <row r="251" spans="1:33" ht="11.25" customHeight="1" x14ac:dyDescent="0.3">
      <c r="A251" s="3" t="s">
        <v>53</v>
      </c>
      <c r="B251" s="3" t="s">
        <v>22</v>
      </c>
      <c r="C251" s="3" t="s">
        <v>23</v>
      </c>
      <c r="D251" s="3" t="s">
        <v>24</v>
      </c>
      <c r="E251" s="3" t="s">
        <v>24</v>
      </c>
      <c r="F251" s="3" t="s">
        <v>25</v>
      </c>
      <c r="G251" s="3" t="s">
        <v>25</v>
      </c>
      <c r="H251" s="3" t="s">
        <v>25</v>
      </c>
      <c r="I251" s="6">
        <v>44774</v>
      </c>
      <c r="J251" s="4">
        <v>0</v>
      </c>
      <c r="K251" s="4">
        <v>0</v>
      </c>
      <c r="L251" s="4">
        <v>816.24300000000005</v>
      </c>
      <c r="M251" s="4">
        <v>816.24300000000005</v>
      </c>
      <c r="N251" s="4">
        <v>816.24300000000005</v>
      </c>
      <c r="O251" s="4">
        <v>816.24300000000005</v>
      </c>
      <c r="P251" s="4">
        <v>4541</v>
      </c>
      <c r="Q251" s="3" t="s">
        <v>26</v>
      </c>
      <c r="R251" s="3">
        <v>0</v>
      </c>
      <c r="S251" s="4">
        <v>0</v>
      </c>
      <c r="T251" s="4">
        <v>16</v>
      </c>
      <c r="U251" s="4">
        <v>53</v>
      </c>
      <c r="V251" s="4">
        <f>IF(ISERROR(VLOOKUP($S$251,'TAR FIN'!$A$1:$O$85,15,0)),0,VLOOKUP($S$251,'TAR FIN'!$A$1:$O$85,15,0))</f>
        <v>0</v>
      </c>
      <c r="W251" s="4">
        <f>IF(ISERROR(VLOOKUP($T$251,'TAR FIN'!$A$1:$O$85,15,0)),0,VLOOKUP($T$251,'TAR FIN'!$A$1:$O$85,15,0))</f>
        <v>370.66</v>
      </c>
      <c r="X251" s="4">
        <f>IF(ISERROR(VLOOKUP($U$251,'TAR FIN'!$A$1:$O$85,15,0)),0,VLOOKUP($U$251,'TAR FIN'!$A$1:$O$85,15,0))</f>
        <v>291.85000000000002</v>
      </c>
      <c r="Y251" s="4"/>
      <c r="Z251" s="4">
        <f ca="1">('TUSD BE'!$AM$20+'TUSD BF'!$AM$20+'TUSD CVA'!$AM$20)*1</f>
        <v>429.2108574011603</v>
      </c>
      <c r="AA251" s="4">
        <f>('TE BE'!$AB$11+'TE BF'!$AB$11+'TE CVA'!$AB$11)*1</f>
        <v>213.77329191067864</v>
      </c>
      <c r="AB251" s="4">
        <f>$K$251*$V$251</f>
        <v>0</v>
      </c>
      <c r="AC251" s="4">
        <f>$M$251*$W$251</f>
        <v>302548.63038000005</v>
      </c>
      <c r="AD251" s="4">
        <f>$O$251*$X$251</f>
        <v>238220.51955000003</v>
      </c>
      <c r="AE251" s="4">
        <f>$K$251*$Y$251</f>
        <v>0</v>
      </c>
      <c r="AF251" s="4">
        <f ca="1">$M$251*$Z$251</f>
        <v>350340.35787769529</v>
      </c>
      <c r="AG251" s="4">
        <f>$O$251*$AA$251</f>
        <v>174490.95310904807</v>
      </c>
    </row>
    <row r="252" spans="1:33" ht="11.25" customHeight="1" x14ac:dyDescent="0.3">
      <c r="A252" s="3" t="s">
        <v>53</v>
      </c>
      <c r="B252" s="3" t="s">
        <v>22</v>
      </c>
      <c r="C252" s="3" t="s">
        <v>23</v>
      </c>
      <c r="D252" s="3" t="s">
        <v>24</v>
      </c>
      <c r="E252" s="3" t="s">
        <v>24</v>
      </c>
      <c r="F252" s="3" t="s">
        <v>25</v>
      </c>
      <c r="G252" s="3" t="s">
        <v>25</v>
      </c>
      <c r="H252" s="3" t="s">
        <v>25</v>
      </c>
      <c r="I252" s="6">
        <v>44774</v>
      </c>
      <c r="J252" s="4">
        <v>0</v>
      </c>
      <c r="K252" s="4">
        <v>0</v>
      </c>
      <c r="L252" s="4">
        <v>34.292999999999999</v>
      </c>
      <c r="M252" s="4">
        <v>34.292999999999999</v>
      </c>
      <c r="N252" s="4">
        <v>34.292999999999999</v>
      </c>
      <c r="O252" s="4">
        <v>34.292999999999999</v>
      </c>
      <c r="P252" s="4">
        <v>216</v>
      </c>
      <c r="Q252" s="3" t="s">
        <v>26</v>
      </c>
      <c r="R252" s="3">
        <v>0</v>
      </c>
      <c r="S252" s="4">
        <v>0</v>
      </c>
      <c r="T252" s="4">
        <v>16</v>
      </c>
      <c r="U252" s="4">
        <v>53</v>
      </c>
      <c r="V252" s="4">
        <f>IF(ISERROR(VLOOKUP($S$252,'TAR FIN'!$A$1:$O$85,15,0)),0,VLOOKUP($S$252,'TAR FIN'!$A$1:$O$85,15,0))</f>
        <v>0</v>
      </c>
      <c r="W252" s="4">
        <f>IF(ISERROR(VLOOKUP($T$252,'TAR FIN'!$A$1:$O$85,15,0)),0,VLOOKUP($T$252,'TAR FIN'!$A$1:$O$85,15,0))</f>
        <v>370.66</v>
      </c>
      <c r="X252" s="4">
        <f>IF(ISERROR(VLOOKUP($U$252,'TAR FIN'!$A$1:$O$85,15,0)),0,VLOOKUP($U$252,'TAR FIN'!$A$1:$O$85,15,0))</f>
        <v>291.85000000000002</v>
      </c>
      <c r="Y252" s="4"/>
      <c r="Z252" s="4">
        <f ca="1">('TUSD BE'!$AM$20+'TUSD BF'!$AM$20+'TUSD CVA'!$AM$20)*1</f>
        <v>429.2108574011603</v>
      </c>
      <c r="AA252" s="4">
        <f>('TE BE'!$AB$11+'TE BF'!$AB$11+'TE CVA'!$AB$11)*1</f>
        <v>213.77329191067864</v>
      </c>
      <c r="AB252" s="4">
        <f>$K$252*$V$252</f>
        <v>0</v>
      </c>
      <c r="AC252" s="4">
        <f>$M$252*$W$252</f>
        <v>12711.043380000001</v>
      </c>
      <c r="AD252" s="4">
        <f>$O$252*$X$252</f>
        <v>10008.412050000001</v>
      </c>
      <c r="AE252" s="4">
        <f>$K$252*$Y$252</f>
        <v>0</v>
      </c>
      <c r="AF252" s="4">
        <f ca="1">$M$252*$Z$252</f>
        <v>14718.927932857991</v>
      </c>
      <c r="AG252" s="4">
        <f>$O$252*$AA$252</f>
        <v>7330.9274994929019</v>
      </c>
    </row>
    <row r="253" spans="1:33" ht="11.25" customHeight="1" x14ac:dyDescent="0.3">
      <c r="A253" s="3" t="s">
        <v>21</v>
      </c>
      <c r="B253" s="3" t="s">
        <v>22</v>
      </c>
      <c r="C253" s="3" t="s">
        <v>23</v>
      </c>
      <c r="D253" s="3" t="s">
        <v>24</v>
      </c>
      <c r="E253" s="3" t="s">
        <v>28</v>
      </c>
      <c r="F253" s="3" t="s">
        <v>25</v>
      </c>
      <c r="G253" s="3" t="s">
        <v>25</v>
      </c>
      <c r="H253" s="3" t="s">
        <v>25</v>
      </c>
      <c r="I253" s="6">
        <v>44440</v>
      </c>
      <c r="J253" s="4">
        <v>0</v>
      </c>
      <c r="K253" s="4">
        <v>0</v>
      </c>
      <c r="L253" s="4">
        <v>5.58</v>
      </c>
      <c r="M253" s="4">
        <v>5.58</v>
      </c>
      <c r="N253" s="4">
        <v>5.58</v>
      </c>
      <c r="O253" s="4">
        <v>5.58</v>
      </c>
      <c r="P253" s="4">
        <v>7</v>
      </c>
      <c r="Q253" s="3" t="s">
        <v>26</v>
      </c>
      <c r="R253" s="3">
        <v>0</v>
      </c>
      <c r="S253" s="4">
        <v>0</v>
      </c>
      <c r="T253" s="4">
        <v>14</v>
      </c>
      <c r="U253" s="4">
        <v>52</v>
      </c>
      <c r="V253" s="4">
        <f>IF(ISERROR(VLOOKUP($S$253,'TAR FIN'!$A$1:$O$85,15,0)),0,VLOOKUP($S$253,'TAR FIN'!$A$1:$O$85,15,0))</f>
        <v>0</v>
      </c>
      <c r="W253" s="4">
        <f>IF(ISERROR(VLOOKUP($T$253,'TAR FIN'!$A$1:$O$85,15,0)),0,VLOOKUP($T$253,'TAR FIN'!$A$1:$O$85,15,0))</f>
        <v>106.78</v>
      </c>
      <c r="X253" s="4">
        <f>IF(ISERROR(VLOOKUP($U$253,'TAR FIN'!$A$1:$O$85,15,0)),0,VLOOKUP($U$253,'TAR FIN'!$A$1:$O$85,15,0))</f>
        <v>102.15</v>
      </c>
      <c r="Y253" s="4"/>
      <c r="Z253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253" s="4">
        <f>('TE BE'!$AB$12+'TE BF'!$AB$12+'TE CVA'!$AB$12)*(1-CUSTOS!$M$34)</f>
        <v>74.820652168737524</v>
      </c>
      <c r="AB253" s="4">
        <f>$K$253*$V$253</f>
        <v>0</v>
      </c>
      <c r="AC253" s="4">
        <f>$M$253*$W$253</f>
        <v>595.83240000000001</v>
      </c>
      <c r="AD253" s="4">
        <f>$O$253*$X$253</f>
        <v>569.99700000000007</v>
      </c>
      <c r="AE253" s="4">
        <f>$K$253*$Y$253</f>
        <v>0</v>
      </c>
      <c r="AF253" s="4">
        <f ca="1">$M$253*$Z$253</f>
        <v>631.6369953749894</v>
      </c>
      <c r="AG253" s="4">
        <f>$O$253*$AA$253</f>
        <v>417.49923910155542</v>
      </c>
    </row>
    <row r="254" spans="1:33" ht="11.25" customHeight="1" x14ac:dyDescent="0.3">
      <c r="A254" s="3" t="s">
        <v>21</v>
      </c>
      <c r="B254" s="3" t="s">
        <v>22</v>
      </c>
      <c r="C254" s="3" t="s">
        <v>23</v>
      </c>
      <c r="D254" s="3" t="s">
        <v>24</v>
      </c>
      <c r="E254" s="3" t="s">
        <v>28</v>
      </c>
      <c r="F254" s="3" t="s">
        <v>25</v>
      </c>
      <c r="G254" s="3" t="s">
        <v>25</v>
      </c>
      <c r="H254" s="3" t="s">
        <v>25</v>
      </c>
      <c r="I254" s="6">
        <v>44470</v>
      </c>
      <c r="J254" s="4">
        <v>0</v>
      </c>
      <c r="K254" s="4">
        <v>0</v>
      </c>
      <c r="L254" s="4">
        <v>5.6550000000000002</v>
      </c>
      <c r="M254" s="4">
        <v>5.6550000000000002</v>
      </c>
      <c r="N254" s="4">
        <v>5.6550000000000002</v>
      </c>
      <c r="O254" s="4">
        <v>5.6550000000000002</v>
      </c>
      <c r="P254" s="4">
        <v>9</v>
      </c>
      <c r="Q254" s="3" t="s">
        <v>26</v>
      </c>
      <c r="R254" s="3">
        <v>0</v>
      </c>
      <c r="S254" s="4">
        <v>0</v>
      </c>
      <c r="T254" s="4">
        <v>14</v>
      </c>
      <c r="U254" s="4">
        <v>52</v>
      </c>
      <c r="V254" s="4">
        <f>IF(ISERROR(VLOOKUP($S$254,'TAR FIN'!$A$1:$O$85,15,0)),0,VLOOKUP($S$254,'TAR FIN'!$A$1:$O$85,15,0))</f>
        <v>0</v>
      </c>
      <c r="W254" s="4">
        <f>IF(ISERROR(VLOOKUP($T$254,'TAR FIN'!$A$1:$O$85,15,0)),0,VLOOKUP($T$254,'TAR FIN'!$A$1:$O$85,15,0))</f>
        <v>106.78</v>
      </c>
      <c r="X254" s="4">
        <f>IF(ISERROR(VLOOKUP($U$254,'TAR FIN'!$A$1:$O$85,15,0)),0,VLOOKUP($U$254,'TAR FIN'!$A$1:$O$85,15,0))</f>
        <v>102.15</v>
      </c>
      <c r="Y254" s="4"/>
      <c r="Z254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254" s="4">
        <f>('TE BE'!$AB$12+'TE BF'!$AB$12+'TE CVA'!$AB$12)*(1-CUSTOS!$M$34)</f>
        <v>74.820652168737524</v>
      </c>
      <c r="AB254" s="4">
        <f>$K$254*$V$254</f>
        <v>0</v>
      </c>
      <c r="AC254" s="4">
        <f>$M$254*$W$254</f>
        <v>603.84090000000003</v>
      </c>
      <c r="AD254" s="4">
        <f>$O$254*$X$254</f>
        <v>577.65825000000007</v>
      </c>
      <c r="AE254" s="4">
        <f>$K$254*$Y$254</f>
        <v>0</v>
      </c>
      <c r="AF254" s="4">
        <f ca="1">$M$254*$Z$254</f>
        <v>640.12673993648127</v>
      </c>
      <c r="AG254" s="4">
        <f>$O$254*$AA$254</f>
        <v>423.1107880142107</v>
      </c>
    </row>
    <row r="255" spans="1:33" ht="11.25" customHeight="1" x14ac:dyDescent="0.3">
      <c r="A255" s="3" t="s">
        <v>21</v>
      </c>
      <c r="B255" s="3" t="s">
        <v>22</v>
      </c>
      <c r="C255" s="3" t="s">
        <v>23</v>
      </c>
      <c r="D255" s="3" t="s">
        <v>24</v>
      </c>
      <c r="E255" s="3" t="s">
        <v>28</v>
      </c>
      <c r="F255" s="3" t="s">
        <v>25</v>
      </c>
      <c r="G255" s="3" t="s">
        <v>25</v>
      </c>
      <c r="H255" s="3" t="s">
        <v>25</v>
      </c>
      <c r="I255" s="6">
        <v>44501</v>
      </c>
      <c r="J255" s="4">
        <v>0</v>
      </c>
      <c r="K255" s="4">
        <v>0</v>
      </c>
      <c r="L255" s="4">
        <v>5.55</v>
      </c>
      <c r="M255" s="4">
        <v>5.55</v>
      </c>
      <c r="N255" s="4">
        <v>5.55</v>
      </c>
      <c r="O255" s="4">
        <v>5.55</v>
      </c>
      <c r="P255" s="4">
        <v>4</v>
      </c>
      <c r="Q255" s="3" t="s">
        <v>26</v>
      </c>
      <c r="R255" s="3">
        <v>0</v>
      </c>
      <c r="S255" s="4">
        <v>0</v>
      </c>
      <c r="T255" s="4">
        <v>14</v>
      </c>
      <c r="U255" s="4">
        <v>52</v>
      </c>
      <c r="V255" s="4">
        <f>IF(ISERROR(VLOOKUP($S$255,'TAR FIN'!$A$1:$O$85,15,0)),0,VLOOKUP($S$255,'TAR FIN'!$A$1:$O$85,15,0))</f>
        <v>0</v>
      </c>
      <c r="W255" s="4">
        <f>IF(ISERROR(VLOOKUP($T$255,'TAR FIN'!$A$1:$O$85,15,0)),0,VLOOKUP($T$255,'TAR FIN'!$A$1:$O$85,15,0))</f>
        <v>106.78</v>
      </c>
      <c r="X255" s="4">
        <f>IF(ISERROR(VLOOKUP($U$255,'TAR FIN'!$A$1:$O$85,15,0)),0,VLOOKUP($U$255,'TAR FIN'!$A$1:$O$85,15,0))</f>
        <v>102.15</v>
      </c>
      <c r="Y255" s="4"/>
      <c r="Z255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255" s="4">
        <f>('TE BE'!$AB$12+'TE BF'!$AB$12+'TE CVA'!$AB$12)*(1-CUSTOS!$M$34)</f>
        <v>74.820652168737524</v>
      </c>
      <c r="AB255" s="4">
        <f>$K$255*$V$255</f>
        <v>0</v>
      </c>
      <c r="AC255" s="4">
        <f>$M$255*$W$255</f>
        <v>592.62900000000002</v>
      </c>
      <c r="AD255" s="4">
        <f>$O$255*$X$255</f>
        <v>566.9325</v>
      </c>
      <c r="AE255" s="4">
        <f>$K$255*$Y$255</f>
        <v>0</v>
      </c>
      <c r="AF255" s="4">
        <f ca="1">$M$255*$Z$255</f>
        <v>628.24109755039274</v>
      </c>
      <c r="AG255" s="4">
        <f>$O$255*$AA$255</f>
        <v>415.25461953649324</v>
      </c>
    </row>
    <row r="256" spans="1:33" ht="11.25" customHeight="1" x14ac:dyDescent="0.3">
      <c r="A256" s="3" t="s">
        <v>21</v>
      </c>
      <c r="B256" s="3" t="s">
        <v>22</v>
      </c>
      <c r="C256" s="3" t="s">
        <v>23</v>
      </c>
      <c r="D256" s="3" t="s">
        <v>24</v>
      </c>
      <c r="E256" s="3" t="s">
        <v>28</v>
      </c>
      <c r="F256" s="3" t="s">
        <v>25</v>
      </c>
      <c r="G256" s="3" t="s">
        <v>25</v>
      </c>
      <c r="H256" s="3" t="s">
        <v>25</v>
      </c>
      <c r="I256" s="6">
        <v>44531</v>
      </c>
      <c r="J256" s="4">
        <v>0</v>
      </c>
      <c r="K256" s="4">
        <v>0</v>
      </c>
      <c r="L256" s="4">
        <v>5.58</v>
      </c>
      <c r="M256" s="4">
        <v>5.58</v>
      </c>
      <c r="N256" s="4">
        <v>5.58</v>
      </c>
      <c r="O256" s="4">
        <v>5.58</v>
      </c>
      <c r="P256" s="4">
        <v>8</v>
      </c>
      <c r="Q256" s="3" t="s">
        <v>26</v>
      </c>
      <c r="R256" s="3">
        <v>0</v>
      </c>
      <c r="S256" s="4">
        <v>0</v>
      </c>
      <c r="T256" s="4">
        <v>14</v>
      </c>
      <c r="U256" s="4">
        <v>52</v>
      </c>
      <c r="V256" s="4">
        <f>IF(ISERROR(VLOOKUP($S$256,'TAR FIN'!$A$1:$O$85,15,0)),0,VLOOKUP($S$256,'TAR FIN'!$A$1:$O$85,15,0))</f>
        <v>0</v>
      </c>
      <c r="W256" s="4">
        <f>IF(ISERROR(VLOOKUP($T$256,'TAR FIN'!$A$1:$O$85,15,0)),0,VLOOKUP($T$256,'TAR FIN'!$A$1:$O$85,15,0))</f>
        <v>106.78</v>
      </c>
      <c r="X256" s="4">
        <f>IF(ISERROR(VLOOKUP($U$256,'TAR FIN'!$A$1:$O$85,15,0)),0,VLOOKUP($U$256,'TAR FIN'!$A$1:$O$85,15,0))</f>
        <v>102.15</v>
      </c>
      <c r="Y256" s="4"/>
      <c r="Z256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256" s="4">
        <f>('TE BE'!$AB$12+'TE BF'!$AB$12+'TE CVA'!$AB$12)*(1-CUSTOS!$M$34)</f>
        <v>74.820652168737524</v>
      </c>
      <c r="AB256" s="4">
        <f>$K$256*$V$256</f>
        <v>0</v>
      </c>
      <c r="AC256" s="4">
        <f>$M$256*$W$256</f>
        <v>595.83240000000001</v>
      </c>
      <c r="AD256" s="4">
        <f>$O$256*$X$256</f>
        <v>569.99700000000007</v>
      </c>
      <c r="AE256" s="4">
        <f>$K$256*$Y$256</f>
        <v>0</v>
      </c>
      <c r="AF256" s="4">
        <f ca="1">$M$256*$Z$256</f>
        <v>631.6369953749894</v>
      </c>
      <c r="AG256" s="4">
        <f>$O$256*$AA$256</f>
        <v>417.49923910155542</v>
      </c>
    </row>
    <row r="257" spans="1:33" ht="11.25" customHeight="1" x14ac:dyDescent="0.3">
      <c r="A257" s="3" t="s">
        <v>21</v>
      </c>
      <c r="B257" s="3" t="s">
        <v>22</v>
      </c>
      <c r="C257" s="3" t="s">
        <v>23</v>
      </c>
      <c r="D257" s="3" t="s">
        <v>24</v>
      </c>
      <c r="E257" s="3" t="s">
        <v>28</v>
      </c>
      <c r="F257" s="3" t="s">
        <v>25</v>
      </c>
      <c r="G257" s="3" t="s">
        <v>25</v>
      </c>
      <c r="H257" s="3" t="s">
        <v>25</v>
      </c>
      <c r="I257" s="6">
        <v>44562</v>
      </c>
      <c r="J257" s="4">
        <v>0</v>
      </c>
      <c r="K257" s="4">
        <v>0</v>
      </c>
      <c r="L257" s="4">
        <v>5.61</v>
      </c>
      <c r="M257" s="4">
        <v>5.61</v>
      </c>
      <c r="N257" s="4">
        <v>5.61</v>
      </c>
      <c r="O257" s="4">
        <v>5.61</v>
      </c>
      <c r="P257" s="4">
        <v>10</v>
      </c>
      <c r="Q257" s="3" t="s">
        <v>26</v>
      </c>
      <c r="R257" s="3">
        <v>0</v>
      </c>
      <c r="S257" s="4">
        <v>0</v>
      </c>
      <c r="T257" s="4">
        <v>14</v>
      </c>
      <c r="U257" s="4">
        <v>52</v>
      </c>
      <c r="V257" s="4">
        <f>IF(ISERROR(VLOOKUP($S$257,'TAR FIN'!$A$1:$O$85,15,0)),0,VLOOKUP($S$257,'TAR FIN'!$A$1:$O$85,15,0))</f>
        <v>0</v>
      </c>
      <c r="W257" s="4">
        <f>IF(ISERROR(VLOOKUP($T$257,'TAR FIN'!$A$1:$O$85,15,0)),0,VLOOKUP($T$257,'TAR FIN'!$A$1:$O$85,15,0))</f>
        <v>106.78</v>
      </c>
      <c r="X257" s="4">
        <f>IF(ISERROR(VLOOKUP($U$257,'TAR FIN'!$A$1:$O$85,15,0)),0,VLOOKUP($U$257,'TAR FIN'!$A$1:$O$85,15,0))</f>
        <v>102.15</v>
      </c>
      <c r="Y257" s="4"/>
      <c r="Z257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257" s="4">
        <f>('TE BE'!$AB$12+'TE BF'!$AB$12+'TE CVA'!$AB$12)*(1-CUSTOS!$M$34)</f>
        <v>74.820652168737524</v>
      </c>
      <c r="AB257" s="4">
        <f>$K$257*$V$257</f>
        <v>0</v>
      </c>
      <c r="AC257" s="4">
        <f>$M$257*$W$257</f>
        <v>599.03579999999999</v>
      </c>
      <c r="AD257" s="4">
        <f>$O$257*$X$257</f>
        <v>573.06150000000002</v>
      </c>
      <c r="AE257" s="4">
        <f>$K$257*$Y$257</f>
        <v>0</v>
      </c>
      <c r="AF257" s="4">
        <f ca="1">$M$257*$Z$257</f>
        <v>635.03289319958617</v>
      </c>
      <c r="AG257" s="4">
        <f>$O$257*$AA$257</f>
        <v>419.74385866661754</v>
      </c>
    </row>
    <row r="258" spans="1:33" ht="11.25" customHeight="1" x14ac:dyDescent="0.3">
      <c r="A258" s="3" t="s">
        <v>21</v>
      </c>
      <c r="B258" s="3" t="s">
        <v>22</v>
      </c>
      <c r="C258" s="3" t="s">
        <v>23</v>
      </c>
      <c r="D258" s="3" t="s">
        <v>24</v>
      </c>
      <c r="E258" s="3" t="s">
        <v>28</v>
      </c>
      <c r="F258" s="3" t="s">
        <v>25</v>
      </c>
      <c r="G258" s="3" t="s">
        <v>25</v>
      </c>
      <c r="H258" s="3" t="s">
        <v>25</v>
      </c>
      <c r="I258" s="6">
        <v>44593</v>
      </c>
      <c r="J258" s="4">
        <v>0</v>
      </c>
      <c r="K258" s="4">
        <v>0</v>
      </c>
      <c r="L258" s="4">
        <v>8.19</v>
      </c>
      <c r="M258" s="4">
        <v>8.19</v>
      </c>
      <c r="N258" s="4">
        <v>8.19</v>
      </c>
      <c r="O258" s="4">
        <v>8.19</v>
      </c>
      <c r="P258" s="4">
        <v>16</v>
      </c>
      <c r="Q258" s="3" t="s">
        <v>26</v>
      </c>
      <c r="R258" s="3">
        <v>0</v>
      </c>
      <c r="S258" s="4">
        <v>0</v>
      </c>
      <c r="T258" s="4">
        <v>14</v>
      </c>
      <c r="U258" s="4">
        <v>52</v>
      </c>
      <c r="V258" s="4">
        <f>IF(ISERROR(VLOOKUP($S$258,'TAR FIN'!$A$1:$O$85,15,0)),0,VLOOKUP($S$258,'TAR FIN'!$A$1:$O$85,15,0))</f>
        <v>0</v>
      </c>
      <c r="W258" s="4">
        <f>IF(ISERROR(VLOOKUP($T$258,'TAR FIN'!$A$1:$O$85,15,0)),0,VLOOKUP($T$258,'TAR FIN'!$A$1:$O$85,15,0))</f>
        <v>106.78</v>
      </c>
      <c r="X258" s="4">
        <f>IF(ISERROR(VLOOKUP($U$258,'TAR FIN'!$A$1:$O$85,15,0)),0,VLOOKUP($U$258,'TAR FIN'!$A$1:$O$85,15,0))</f>
        <v>102.15</v>
      </c>
      <c r="Y258" s="4"/>
      <c r="Z258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258" s="4">
        <f>('TE BE'!$AB$12+'TE BF'!$AB$12+'TE CVA'!$AB$12)*(1-CUSTOS!$M$34)</f>
        <v>74.820652168737524</v>
      </c>
      <c r="AB258" s="4">
        <f>$K$258*$V$258</f>
        <v>0</v>
      </c>
      <c r="AC258" s="4">
        <f>$M$258*$W$258</f>
        <v>874.52819999999997</v>
      </c>
      <c r="AD258" s="4">
        <f>$O$258*$X$258</f>
        <v>836.60850000000005</v>
      </c>
      <c r="AE258" s="4">
        <f>$K$258*$Y$258</f>
        <v>0</v>
      </c>
      <c r="AF258" s="4">
        <f ca="1">$M$258*$Z$258</f>
        <v>927.08010611490374</v>
      </c>
      <c r="AG258" s="4">
        <f>$O$258*$AA$258</f>
        <v>612.78114126196033</v>
      </c>
    </row>
    <row r="259" spans="1:33" ht="11.25" customHeight="1" x14ac:dyDescent="0.3">
      <c r="A259" s="3" t="s">
        <v>21</v>
      </c>
      <c r="B259" s="3" t="s">
        <v>22</v>
      </c>
      <c r="C259" s="3" t="s">
        <v>23</v>
      </c>
      <c r="D259" s="3" t="s">
        <v>24</v>
      </c>
      <c r="E259" s="3" t="s">
        <v>28</v>
      </c>
      <c r="F259" s="3" t="s">
        <v>25</v>
      </c>
      <c r="G259" s="3" t="s">
        <v>25</v>
      </c>
      <c r="H259" s="3" t="s">
        <v>25</v>
      </c>
      <c r="I259" s="6">
        <v>44621</v>
      </c>
      <c r="J259" s="4">
        <v>0</v>
      </c>
      <c r="K259" s="4">
        <v>0</v>
      </c>
      <c r="L259" s="4">
        <v>8.43</v>
      </c>
      <c r="M259" s="4">
        <v>8.43</v>
      </c>
      <c r="N259" s="4">
        <v>8.43</v>
      </c>
      <c r="O259" s="4">
        <v>8.43</v>
      </c>
      <c r="P259" s="4">
        <v>13</v>
      </c>
      <c r="Q259" s="3" t="s">
        <v>26</v>
      </c>
      <c r="R259" s="3">
        <v>0</v>
      </c>
      <c r="S259" s="4">
        <v>0</v>
      </c>
      <c r="T259" s="4">
        <v>14</v>
      </c>
      <c r="U259" s="4">
        <v>52</v>
      </c>
      <c r="V259" s="4">
        <f>IF(ISERROR(VLOOKUP($S$259,'TAR FIN'!$A$1:$O$85,15,0)),0,VLOOKUP($S$259,'TAR FIN'!$A$1:$O$85,15,0))</f>
        <v>0</v>
      </c>
      <c r="W259" s="4">
        <f>IF(ISERROR(VLOOKUP($T$259,'TAR FIN'!$A$1:$O$85,15,0)),0,VLOOKUP($T$259,'TAR FIN'!$A$1:$O$85,15,0))</f>
        <v>106.78</v>
      </c>
      <c r="X259" s="4">
        <f>IF(ISERROR(VLOOKUP($U$259,'TAR FIN'!$A$1:$O$85,15,0)),0,VLOOKUP($U$259,'TAR FIN'!$A$1:$O$85,15,0))</f>
        <v>102.15</v>
      </c>
      <c r="Y259" s="4"/>
      <c r="Z259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259" s="4">
        <f>('TE BE'!$AB$12+'TE BF'!$AB$12+'TE CVA'!$AB$12)*(1-CUSTOS!$M$34)</f>
        <v>74.820652168737524</v>
      </c>
      <c r="AB259" s="4">
        <f>$K$259*$V$259</f>
        <v>0</v>
      </c>
      <c r="AC259" s="4">
        <f>$M$259*$W$259</f>
        <v>900.15539999999999</v>
      </c>
      <c r="AD259" s="4">
        <f>$O$259*$X$259</f>
        <v>861.12450000000001</v>
      </c>
      <c r="AE259" s="4">
        <f>$K$259*$Y$259</f>
        <v>0</v>
      </c>
      <c r="AF259" s="4">
        <f ca="1">$M$259*$Z$259</f>
        <v>954.24728871167758</v>
      </c>
      <c r="AG259" s="4">
        <f>$O$259*$AA$259</f>
        <v>630.73809778245732</v>
      </c>
    </row>
    <row r="260" spans="1:33" ht="11.25" customHeight="1" x14ac:dyDescent="0.3">
      <c r="A260" s="3" t="s">
        <v>21</v>
      </c>
      <c r="B260" s="3" t="s">
        <v>22</v>
      </c>
      <c r="C260" s="3" t="s">
        <v>23</v>
      </c>
      <c r="D260" s="3" t="s">
        <v>24</v>
      </c>
      <c r="E260" s="3" t="s">
        <v>28</v>
      </c>
      <c r="F260" s="3" t="s">
        <v>25</v>
      </c>
      <c r="G260" s="3" t="s">
        <v>25</v>
      </c>
      <c r="H260" s="3" t="s">
        <v>25</v>
      </c>
      <c r="I260" s="6">
        <v>44652</v>
      </c>
      <c r="J260" s="4">
        <v>0</v>
      </c>
      <c r="K260" s="4">
        <v>0</v>
      </c>
      <c r="L260" s="4">
        <v>8.64</v>
      </c>
      <c r="M260" s="4">
        <v>8.64</v>
      </c>
      <c r="N260" s="4">
        <v>8.64</v>
      </c>
      <c r="O260" s="4">
        <v>8.64</v>
      </c>
      <c r="P260" s="4">
        <v>15</v>
      </c>
      <c r="Q260" s="3" t="s">
        <v>26</v>
      </c>
      <c r="R260" s="3">
        <v>0</v>
      </c>
      <c r="S260" s="4">
        <v>0</v>
      </c>
      <c r="T260" s="4">
        <v>14</v>
      </c>
      <c r="U260" s="4">
        <v>52</v>
      </c>
      <c r="V260" s="4">
        <f>IF(ISERROR(VLOOKUP($S$260,'TAR FIN'!$A$1:$O$85,15,0)),0,VLOOKUP($S$260,'TAR FIN'!$A$1:$O$85,15,0))</f>
        <v>0</v>
      </c>
      <c r="W260" s="4">
        <f>IF(ISERROR(VLOOKUP($T$260,'TAR FIN'!$A$1:$O$85,15,0)),0,VLOOKUP($T$260,'TAR FIN'!$A$1:$O$85,15,0))</f>
        <v>106.78</v>
      </c>
      <c r="X260" s="4">
        <f>IF(ISERROR(VLOOKUP($U$260,'TAR FIN'!$A$1:$O$85,15,0)),0,VLOOKUP($U$260,'TAR FIN'!$A$1:$O$85,15,0))</f>
        <v>102.15</v>
      </c>
      <c r="Y260" s="4"/>
      <c r="Z260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260" s="4">
        <f>('TE BE'!$AB$12+'TE BF'!$AB$12+'TE CVA'!$AB$12)*(1-CUSTOS!$M$34)</f>
        <v>74.820652168737524</v>
      </c>
      <c r="AB260" s="4">
        <f>$K$260*$V$260</f>
        <v>0</v>
      </c>
      <c r="AC260" s="4">
        <f>$M$260*$W$260</f>
        <v>922.57920000000001</v>
      </c>
      <c r="AD260" s="4">
        <f>$O$260*$X$260</f>
        <v>882.57600000000014</v>
      </c>
      <c r="AE260" s="4">
        <f>$K$260*$Y$260</f>
        <v>0</v>
      </c>
      <c r="AF260" s="4">
        <f ca="1">$M$260*$Z$260</f>
        <v>978.01857348385465</v>
      </c>
      <c r="AG260" s="4">
        <f>$O$260*$AA$260</f>
        <v>646.45043473789224</v>
      </c>
    </row>
    <row r="261" spans="1:33" ht="11.25" customHeight="1" x14ac:dyDescent="0.3">
      <c r="A261" s="3" t="s">
        <v>21</v>
      </c>
      <c r="B261" s="3" t="s">
        <v>22</v>
      </c>
      <c r="C261" s="3" t="s">
        <v>23</v>
      </c>
      <c r="D261" s="3" t="s">
        <v>24</v>
      </c>
      <c r="E261" s="3" t="s">
        <v>28</v>
      </c>
      <c r="F261" s="3" t="s">
        <v>25</v>
      </c>
      <c r="G261" s="3" t="s">
        <v>25</v>
      </c>
      <c r="H261" s="3" t="s">
        <v>25</v>
      </c>
      <c r="I261" s="6">
        <v>44682</v>
      </c>
      <c r="J261" s="4">
        <v>0</v>
      </c>
      <c r="K261" s="4">
        <v>0</v>
      </c>
      <c r="L261" s="4">
        <v>9.39</v>
      </c>
      <c r="M261" s="4">
        <v>9.39</v>
      </c>
      <c r="N261" s="4">
        <v>9.39</v>
      </c>
      <c r="O261" s="4">
        <v>9.39</v>
      </c>
      <c r="P261" s="4">
        <v>14</v>
      </c>
      <c r="Q261" s="3" t="s">
        <v>26</v>
      </c>
      <c r="R261" s="3">
        <v>0</v>
      </c>
      <c r="S261" s="4">
        <v>0</v>
      </c>
      <c r="T261" s="4">
        <v>14</v>
      </c>
      <c r="U261" s="4">
        <v>52</v>
      </c>
      <c r="V261" s="4">
        <f>IF(ISERROR(VLOOKUP($S$261,'TAR FIN'!$A$1:$O$85,15,0)),0,VLOOKUP($S$261,'TAR FIN'!$A$1:$O$85,15,0))</f>
        <v>0</v>
      </c>
      <c r="W261" s="4">
        <f>IF(ISERROR(VLOOKUP($T$261,'TAR FIN'!$A$1:$O$85,15,0)),0,VLOOKUP($T$261,'TAR FIN'!$A$1:$O$85,15,0))</f>
        <v>106.78</v>
      </c>
      <c r="X261" s="4">
        <f>IF(ISERROR(VLOOKUP($U$261,'TAR FIN'!$A$1:$O$85,15,0)),0,VLOOKUP($U$261,'TAR FIN'!$A$1:$O$85,15,0))</f>
        <v>102.15</v>
      </c>
      <c r="Y261" s="4"/>
      <c r="Z261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261" s="4">
        <f>('TE BE'!$AB$12+'TE BF'!$AB$12+'TE CVA'!$AB$12)*(1-CUSTOS!$M$34)</f>
        <v>74.820652168737524</v>
      </c>
      <c r="AB261" s="4">
        <f>$K$261*$V$261</f>
        <v>0</v>
      </c>
      <c r="AC261" s="4">
        <f>$M$261*$W$261</f>
        <v>1002.6642000000001</v>
      </c>
      <c r="AD261" s="4">
        <f>$O$261*$X$261</f>
        <v>959.18850000000009</v>
      </c>
      <c r="AE261" s="4">
        <f>$K$261*$Y$261</f>
        <v>0</v>
      </c>
      <c r="AF261" s="4">
        <f ca="1">$M$261*$Z$261</f>
        <v>1062.9160190987725</v>
      </c>
      <c r="AG261" s="4">
        <f>$O$261*$AA$261</f>
        <v>702.56592386444538</v>
      </c>
    </row>
    <row r="262" spans="1:33" ht="11.25" customHeight="1" x14ac:dyDescent="0.3">
      <c r="A262" s="3" t="s">
        <v>21</v>
      </c>
      <c r="B262" s="3" t="s">
        <v>22</v>
      </c>
      <c r="C262" s="3" t="s">
        <v>23</v>
      </c>
      <c r="D262" s="3" t="s">
        <v>24</v>
      </c>
      <c r="E262" s="3" t="s">
        <v>28</v>
      </c>
      <c r="F262" s="3" t="s">
        <v>25</v>
      </c>
      <c r="G262" s="3" t="s">
        <v>25</v>
      </c>
      <c r="H262" s="3" t="s">
        <v>25</v>
      </c>
      <c r="I262" s="6">
        <v>44713</v>
      </c>
      <c r="J262" s="4">
        <v>0</v>
      </c>
      <c r="K262" s="4">
        <v>0</v>
      </c>
      <c r="L262" s="4">
        <v>9</v>
      </c>
      <c r="M262" s="4">
        <v>9</v>
      </c>
      <c r="N262" s="4">
        <v>9</v>
      </c>
      <c r="O262" s="4">
        <v>9</v>
      </c>
      <c r="P262" s="4">
        <v>14</v>
      </c>
      <c r="Q262" s="3" t="s">
        <v>26</v>
      </c>
      <c r="R262" s="3">
        <v>0</v>
      </c>
      <c r="S262" s="4">
        <v>0</v>
      </c>
      <c r="T262" s="4">
        <v>14</v>
      </c>
      <c r="U262" s="4">
        <v>52</v>
      </c>
      <c r="V262" s="4">
        <f>IF(ISERROR(VLOOKUP($S$262,'TAR FIN'!$A$1:$O$85,15,0)),0,VLOOKUP($S$262,'TAR FIN'!$A$1:$O$85,15,0))</f>
        <v>0</v>
      </c>
      <c r="W262" s="4">
        <f>IF(ISERROR(VLOOKUP($T$262,'TAR FIN'!$A$1:$O$85,15,0)),0,VLOOKUP($T$262,'TAR FIN'!$A$1:$O$85,15,0))</f>
        <v>106.78</v>
      </c>
      <c r="X262" s="4">
        <f>IF(ISERROR(VLOOKUP($U$262,'TAR FIN'!$A$1:$O$85,15,0)),0,VLOOKUP($U$262,'TAR FIN'!$A$1:$O$85,15,0))</f>
        <v>102.15</v>
      </c>
      <c r="Y262" s="4"/>
      <c r="Z262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262" s="4">
        <f>('TE BE'!$AB$12+'TE BF'!$AB$12+'TE CVA'!$AB$12)*(1-CUSTOS!$M$34)</f>
        <v>74.820652168737524</v>
      </c>
      <c r="AB262" s="4">
        <f>$K$262*$V$262</f>
        <v>0</v>
      </c>
      <c r="AC262" s="4">
        <f>$M$262*$W$262</f>
        <v>961.02</v>
      </c>
      <c r="AD262" s="4">
        <f>$O$262*$X$262</f>
        <v>919.35</v>
      </c>
      <c r="AE262" s="4">
        <f>$K$262*$Y$262</f>
        <v>0</v>
      </c>
      <c r="AF262" s="4">
        <f ca="1">$M$262*$Z$262</f>
        <v>1018.7693473790152</v>
      </c>
      <c r="AG262" s="4">
        <f>$O$262*$AA$262</f>
        <v>673.38586951863772</v>
      </c>
    </row>
    <row r="263" spans="1:33" ht="11.25" customHeight="1" x14ac:dyDescent="0.3">
      <c r="A263" s="3" t="s">
        <v>21</v>
      </c>
      <c r="B263" s="3" t="s">
        <v>22</v>
      </c>
      <c r="C263" s="3" t="s">
        <v>23</v>
      </c>
      <c r="D263" s="3" t="s">
        <v>24</v>
      </c>
      <c r="E263" s="3" t="s">
        <v>28</v>
      </c>
      <c r="F263" s="3" t="s">
        <v>25</v>
      </c>
      <c r="G263" s="3" t="s">
        <v>25</v>
      </c>
      <c r="H263" s="3" t="s">
        <v>25</v>
      </c>
      <c r="I263" s="6">
        <v>44743</v>
      </c>
      <c r="J263" s="4">
        <v>0</v>
      </c>
      <c r="K263" s="4">
        <v>0</v>
      </c>
      <c r="L263" s="4">
        <v>7.83</v>
      </c>
      <c r="M263" s="4">
        <v>7.83</v>
      </c>
      <c r="N263" s="4">
        <v>7.83</v>
      </c>
      <c r="O263" s="4">
        <v>7.83</v>
      </c>
      <c r="P263" s="4">
        <v>10</v>
      </c>
      <c r="Q263" s="3" t="s">
        <v>26</v>
      </c>
      <c r="R263" s="3">
        <v>0</v>
      </c>
      <c r="S263" s="4">
        <v>0</v>
      </c>
      <c r="T263" s="4">
        <v>14</v>
      </c>
      <c r="U263" s="4">
        <v>52</v>
      </c>
      <c r="V263" s="4">
        <f>IF(ISERROR(VLOOKUP($S$263,'TAR FIN'!$A$1:$O$85,15,0)),0,VLOOKUP($S$263,'TAR FIN'!$A$1:$O$85,15,0))</f>
        <v>0</v>
      </c>
      <c r="W263" s="4">
        <f>IF(ISERROR(VLOOKUP($T$263,'TAR FIN'!$A$1:$O$85,15,0)),0,VLOOKUP($T$263,'TAR FIN'!$A$1:$O$85,15,0))</f>
        <v>106.78</v>
      </c>
      <c r="X263" s="4">
        <f>IF(ISERROR(VLOOKUP($U$263,'TAR FIN'!$A$1:$O$85,15,0)),0,VLOOKUP($U$263,'TAR FIN'!$A$1:$O$85,15,0))</f>
        <v>102.15</v>
      </c>
      <c r="Y263" s="4"/>
      <c r="Z263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263" s="4">
        <f>('TE BE'!$AB$12+'TE BF'!$AB$12+'TE CVA'!$AB$12)*(1-CUSTOS!$M$34)</f>
        <v>74.820652168737524</v>
      </c>
      <c r="AB263" s="4">
        <f>$K$263*$V$263</f>
        <v>0</v>
      </c>
      <c r="AC263" s="4">
        <f>$M$263*$W$263</f>
        <v>836.0874</v>
      </c>
      <c r="AD263" s="4">
        <f>$O$263*$X$263</f>
        <v>799.83450000000005</v>
      </c>
      <c r="AE263" s="4">
        <f>$K$263*$Y$263</f>
        <v>0</v>
      </c>
      <c r="AF263" s="4">
        <f ca="1">$M$263*$Z$263</f>
        <v>886.32933221974326</v>
      </c>
      <c r="AG263" s="4">
        <f>$O$263*$AA$263</f>
        <v>585.84570648121485</v>
      </c>
    </row>
    <row r="264" spans="1:33" ht="11.25" customHeight="1" x14ac:dyDescent="0.3">
      <c r="A264" s="3" t="s">
        <v>53</v>
      </c>
      <c r="B264" s="3" t="s">
        <v>22</v>
      </c>
      <c r="C264" s="3" t="s">
        <v>23</v>
      </c>
      <c r="D264" s="3" t="s">
        <v>24</v>
      </c>
      <c r="E264" s="3" t="s">
        <v>28</v>
      </c>
      <c r="F264" s="3" t="s">
        <v>25</v>
      </c>
      <c r="G264" s="3" t="s">
        <v>25</v>
      </c>
      <c r="H264" s="3" t="s">
        <v>25</v>
      </c>
      <c r="I264" s="6">
        <v>44774</v>
      </c>
      <c r="J264" s="4">
        <v>0</v>
      </c>
      <c r="K264" s="4">
        <v>0</v>
      </c>
      <c r="L264" s="4">
        <v>7.83</v>
      </c>
      <c r="M264" s="4">
        <v>7.83</v>
      </c>
      <c r="N264" s="4">
        <v>7.83</v>
      </c>
      <c r="O264" s="4">
        <v>7.83</v>
      </c>
      <c r="P264" s="4">
        <v>10</v>
      </c>
      <c r="Q264" s="3" t="s">
        <v>26</v>
      </c>
      <c r="R264" s="3">
        <v>0</v>
      </c>
      <c r="S264" s="4">
        <v>0</v>
      </c>
      <c r="T264" s="4">
        <v>14</v>
      </c>
      <c r="U264" s="4">
        <v>52</v>
      </c>
      <c r="V264" s="4">
        <f>IF(ISERROR(VLOOKUP($S$264,'TAR FIN'!$A$1:$O$85,15,0)),0,VLOOKUP($S$264,'TAR FIN'!$A$1:$O$85,15,0))</f>
        <v>0</v>
      </c>
      <c r="W264" s="4">
        <f>IF(ISERROR(VLOOKUP($T$264,'TAR FIN'!$A$1:$O$85,15,0)),0,VLOOKUP($T$264,'TAR FIN'!$A$1:$O$85,15,0))</f>
        <v>106.78</v>
      </c>
      <c r="X264" s="4">
        <f>IF(ISERROR(VLOOKUP($U$264,'TAR FIN'!$A$1:$O$85,15,0)),0,VLOOKUP($U$264,'TAR FIN'!$A$1:$O$85,15,0))</f>
        <v>102.15</v>
      </c>
      <c r="Y264" s="4"/>
      <c r="Z264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264" s="4">
        <f>('TE BE'!$AB$12+'TE BF'!$AB$12+'TE CVA'!$AB$12)*(1-CUSTOS!$M$34)</f>
        <v>74.820652168737524</v>
      </c>
      <c r="AB264" s="4">
        <f>$K$264*$V$264</f>
        <v>0</v>
      </c>
      <c r="AC264" s="4">
        <f>$M$264*$W$264</f>
        <v>836.0874</v>
      </c>
      <c r="AD264" s="4">
        <f>$O$264*$X$264</f>
        <v>799.83450000000005</v>
      </c>
      <c r="AE264" s="4">
        <f>$K$264*$Y$264</f>
        <v>0</v>
      </c>
      <c r="AF264" s="4">
        <f ca="1">$M$264*$Z$264</f>
        <v>886.32933221974326</v>
      </c>
      <c r="AG264" s="4">
        <f>$O$264*$AA$264</f>
        <v>585.84570648121485</v>
      </c>
    </row>
    <row r="265" spans="1:33" ht="11.25" customHeight="1" x14ac:dyDescent="0.3">
      <c r="A265" s="3" t="s">
        <v>21</v>
      </c>
      <c r="B265" s="3" t="s">
        <v>22</v>
      </c>
      <c r="C265" s="3" t="s">
        <v>23</v>
      </c>
      <c r="D265" s="3" t="s">
        <v>24</v>
      </c>
      <c r="E265" s="3" t="s">
        <v>29</v>
      </c>
      <c r="F265" s="3" t="s">
        <v>25</v>
      </c>
      <c r="G265" s="3" t="s">
        <v>25</v>
      </c>
      <c r="H265" s="3" t="s">
        <v>25</v>
      </c>
      <c r="I265" s="6">
        <v>44440</v>
      </c>
      <c r="J265" s="4">
        <v>0</v>
      </c>
      <c r="K265" s="4">
        <v>0</v>
      </c>
      <c r="L265" s="4">
        <v>11.752000000000001</v>
      </c>
      <c r="M265" s="4">
        <v>11.752000000000001</v>
      </c>
      <c r="N265" s="4">
        <v>11.752000000000001</v>
      </c>
      <c r="O265" s="4">
        <v>11.752000000000001</v>
      </c>
      <c r="P265" s="4">
        <v>28</v>
      </c>
      <c r="Q265" s="3" t="s">
        <v>26</v>
      </c>
      <c r="R265" s="3">
        <v>0</v>
      </c>
      <c r="S265" s="4">
        <v>0</v>
      </c>
      <c r="T265" s="4">
        <v>12</v>
      </c>
      <c r="U265" s="4">
        <v>63</v>
      </c>
      <c r="V265" s="4">
        <f>IF(ISERROR(VLOOKUP($S$265,'TAR FIN'!$A$1:$O$85,15,0)),0,VLOOKUP($S$265,'TAR FIN'!$A$1:$O$85,15,0))</f>
        <v>0</v>
      </c>
      <c r="W265" s="4">
        <f>IF(ISERROR(VLOOKUP($T$265,'TAR FIN'!$A$1:$O$85,15,0)),0,VLOOKUP($T$265,'TAR FIN'!$A$1:$O$85,15,0))</f>
        <v>183.06</v>
      </c>
      <c r="X265" s="4">
        <f>IF(ISERROR(VLOOKUP($U$265,'TAR FIN'!$A$1:$O$85,15,0)),0,VLOOKUP($U$265,'TAR FIN'!$A$1:$O$85,15,0))</f>
        <v>175.11</v>
      </c>
      <c r="Y265" s="4"/>
      <c r="Z265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265" s="4">
        <f>('TE BE'!$AB$13+'TE BF'!$AB$13+'TE CVA'!$AB$13)*(1-CUSTOS!$M$35)</f>
        <v>128.26397514640718</v>
      </c>
      <c r="AB265" s="4">
        <f>$K$265*$V$265</f>
        <v>0</v>
      </c>
      <c r="AC265" s="4">
        <f>$M$265*$W$265</f>
        <v>2151.3211200000001</v>
      </c>
      <c r="AD265" s="4">
        <f>$O$265*$X$265</f>
        <v>2057.8927200000003</v>
      </c>
      <c r="AE265" s="4">
        <f>$K$265*$Y$265</f>
        <v>0</v>
      </c>
      <c r="AF265" s="4">
        <f ca="1">$M$265*$Z$265</f>
        <v>2280.4909276948933</v>
      </c>
      <c r="AG265" s="4">
        <f>$O$265*$AA$265</f>
        <v>1507.3582359205773</v>
      </c>
    </row>
    <row r="266" spans="1:33" ht="11.25" customHeight="1" x14ac:dyDescent="0.3">
      <c r="A266" s="3" t="s">
        <v>21</v>
      </c>
      <c r="B266" s="3" t="s">
        <v>22</v>
      </c>
      <c r="C266" s="3" t="s">
        <v>23</v>
      </c>
      <c r="D266" s="3" t="s">
        <v>24</v>
      </c>
      <c r="E266" s="3" t="s">
        <v>29</v>
      </c>
      <c r="F266" s="3" t="s">
        <v>25</v>
      </c>
      <c r="G266" s="3" t="s">
        <v>25</v>
      </c>
      <c r="H266" s="3" t="s">
        <v>25</v>
      </c>
      <c r="I266" s="6">
        <v>44470</v>
      </c>
      <c r="J266" s="4">
        <v>0</v>
      </c>
      <c r="K266" s="4">
        <v>0</v>
      </c>
      <c r="L266" s="4">
        <v>11.974</v>
      </c>
      <c r="M266" s="4">
        <v>11.974</v>
      </c>
      <c r="N266" s="4">
        <v>11.974</v>
      </c>
      <c r="O266" s="4">
        <v>11.974</v>
      </c>
      <c r="P266" s="4">
        <v>24</v>
      </c>
      <c r="Q266" s="3" t="s">
        <v>26</v>
      </c>
      <c r="R266" s="3">
        <v>0</v>
      </c>
      <c r="S266" s="4">
        <v>0</v>
      </c>
      <c r="T266" s="4">
        <v>12</v>
      </c>
      <c r="U266" s="4">
        <v>63</v>
      </c>
      <c r="V266" s="4">
        <f>IF(ISERROR(VLOOKUP($S$266,'TAR FIN'!$A$1:$O$85,15,0)),0,VLOOKUP($S$266,'TAR FIN'!$A$1:$O$85,15,0))</f>
        <v>0</v>
      </c>
      <c r="W266" s="4">
        <f>IF(ISERROR(VLOOKUP($T$266,'TAR FIN'!$A$1:$O$85,15,0)),0,VLOOKUP($T$266,'TAR FIN'!$A$1:$O$85,15,0))</f>
        <v>183.06</v>
      </c>
      <c r="X266" s="4">
        <f>IF(ISERROR(VLOOKUP($U$266,'TAR FIN'!$A$1:$O$85,15,0)),0,VLOOKUP($U$266,'TAR FIN'!$A$1:$O$85,15,0))</f>
        <v>175.11</v>
      </c>
      <c r="Y266" s="4"/>
      <c r="Z266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266" s="4">
        <f>('TE BE'!$AB$13+'TE BF'!$AB$13+'TE CVA'!$AB$13)*(1-CUSTOS!$M$35)</f>
        <v>128.26397514640718</v>
      </c>
      <c r="AB266" s="4">
        <f>$K$266*$V$266</f>
        <v>0</v>
      </c>
      <c r="AC266" s="4">
        <f>$M$266*$W$266</f>
        <v>2191.9604400000003</v>
      </c>
      <c r="AD266" s="4">
        <f>$O$266*$X$266</f>
        <v>2096.7671400000004</v>
      </c>
      <c r="AE266" s="4">
        <f>$K$266*$Y$266</f>
        <v>0</v>
      </c>
      <c r="AF266" s="4">
        <f ca="1">$M$266*$Z$266</f>
        <v>2323.5703172412059</v>
      </c>
      <c r="AG266" s="4">
        <f>$O$266*$AA$266</f>
        <v>1535.8328384030794</v>
      </c>
    </row>
    <row r="267" spans="1:33" ht="11.25" customHeight="1" x14ac:dyDescent="0.3">
      <c r="A267" s="3" t="s">
        <v>21</v>
      </c>
      <c r="B267" s="3" t="s">
        <v>22</v>
      </c>
      <c r="C267" s="3" t="s">
        <v>23</v>
      </c>
      <c r="D267" s="3" t="s">
        <v>24</v>
      </c>
      <c r="E267" s="3" t="s">
        <v>29</v>
      </c>
      <c r="F267" s="3" t="s">
        <v>25</v>
      </c>
      <c r="G267" s="3" t="s">
        <v>25</v>
      </c>
      <c r="H267" s="3" t="s">
        <v>25</v>
      </c>
      <c r="I267" s="6">
        <v>44501</v>
      </c>
      <c r="J267" s="4">
        <v>0</v>
      </c>
      <c r="K267" s="4">
        <v>0</v>
      </c>
      <c r="L267" s="4">
        <v>12.063000000000001</v>
      </c>
      <c r="M267" s="4">
        <v>12.063000000000001</v>
      </c>
      <c r="N267" s="4">
        <v>12.063000000000001</v>
      </c>
      <c r="O267" s="4">
        <v>12.063000000000001</v>
      </c>
      <c r="P267" s="4">
        <v>21</v>
      </c>
      <c r="Q267" s="3" t="s">
        <v>26</v>
      </c>
      <c r="R267" s="3">
        <v>0</v>
      </c>
      <c r="S267" s="4">
        <v>0</v>
      </c>
      <c r="T267" s="4">
        <v>12</v>
      </c>
      <c r="U267" s="4">
        <v>63</v>
      </c>
      <c r="V267" s="4">
        <f>IF(ISERROR(VLOOKUP($S$267,'TAR FIN'!$A$1:$O$85,15,0)),0,VLOOKUP($S$267,'TAR FIN'!$A$1:$O$85,15,0))</f>
        <v>0</v>
      </c>
      <c r="W267" s="4">
        <f>IF(ISERROR(VLOOKUP($T$267,'TAR FIN'!$A$1:$O$85,15,0)),0,VLOOKUP($T$267,'TAR FIN'!$A$1:$O$85,15,0))</f>
        <v>183.06</v>
      </c>
      <c r="X267" s="4">
        <f>IF(ISERROR(VLOOKUP($U$267,'TAR FIN'!$A$1:$O$85,15,0)),0,VLOOKUP($U$267,'TAR FIN'!$A$1:$O$85,15,0))</f>
        <v>175.11</v>
      </c>
      <c r="Y267" s="4"/>
      <c r="Z267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267" s="4">
        <f>('TE BE'!$AB$13+'TE BF'!$AB$13+'TE CVA'!$AB$13)*(1-CUSTOS!$M$35)</f>
        <v>128.26397514640718</v>
      </c>
      <c r="AB267" s="4">
        <f>$K$267*$V$267</f>
        <v>0</v>
      </c>
      <c r="AC267" s="4">
        <f>$M$267*$W$267</f>
        <v>2208.2527800000003</v>
      </c>
      <c r="AD267" s="4">
        <f>$O$267*$X$267</f>
        <v>2112.3519300000003</v>
      </c>
      <c r="AE267" s="4">
        <f>$K$267*$Y$267</f>
        <v>0</v>
      </c>
      <c r="AF267" s="4">
        <f ca="1">$M$267*$Z$267</f>
        <v>2340.8408833205835</v>
      </c>
      <c r="AG267" s="4">
        <f>$O$267*$AA$267</f>
        <v>1547.2483321911097</v>
      </c>
    </row>
    <row r="268" spans="1:33" ht="11.25" customHeight="1" x14ac:dyDescent="0.3">
      <c r="A268" s="3" t="s">
        <v>21</v>
      </c>
      <c r="B268" s="3" t="s">
        <v>22</v>
      </c>
      <c r="C268" s="3" t="s">
        <v>23</v>
      </c>
      <c r="D268" s="3" t="s">
        <v>24</v>
      </c>
      <c r="E268" s="3" t="s">
        <v>29</v>
      </c>
      <c r="F268" s="3" t="s">
        <v>25</v>
      </c>
      <c r="G268" s="3" t="s">
        <v>25</v>
      </c>
      <c r="H268" s="3" t="s">
        <v>25</v>
      </c>
      <c r="I268" s="6">
        <v>44531</v>
      </c>
      <c r="J268" s="4">
        <v>0</v>
      </c>
      <c r="K268" s="4">
        <v>0</v>
      </c>
      <c r="L268" s="4">
        <v>11.632</v>
      </c>
      <c r="M268" s="4">
        <v>11.632</v>
      </c>
      <c r="N268" s="4">
        <v>11.632</v>
      </c>
      <c r="O268" s="4">
        <v>11.632</v>
      </c>
      <c r="P268" s="4">
        <v>33</v>
      </c>
      <c r="Q268" s="3" t="s">
        <v>26</v>
      </c>
      <c r="R268" s="3">
        <v>0</v>
      </c>
      <c r="S268" s="4">
        <v>0</v>
      </c>
      <c r="T268" s="4">
        <v>12</v>
      </c>
      <c r="U268" s="4">
        <v>63</v>
      </c>
      <c r="V268" s="4">
        <f>IF(ISERROR(VLOOKUP($S$268,'TAR FIN'!$A$1:$O$85,15,0)),0,VLOOKUP($S$268,'TAR FIN'!$A$1:$O$85,15,0))</f>
        <v>0</v>
      </c>
      <c r="W268" s="4">
        <f>IF(ISERROR(VLOOKUP($T$268,'TAR FIN'!$A$1:$O$85,15,0)),0,VLOOKUP($T$268,'TAR FIN'!$A$1:$O$85,15,0))</f>
        <v>183.06</v>
      </c>
      <c r="X268" s="4">
        <f>IF(ISERROR(VLOOKUP($U$268,'TAR FIN'!$A$1:$O$85,15,0)),0,VLOOKUP($U$268,'TAR FIN'!$A$1:$O$85,15,0))</f>
        <v>175.11</v>
      </c>
      <c r="Y268" s="4"/>
      <c r="Z268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268" s="4">
        <f>('TE BE'!$AB$13+'TE BF'!$AB$13+'TE CVA'!$AB$13)*(1-CUSTOS!$M$35)</f>
        <v>128.26397514640718</v>
      </c>
      <c r="AB268" s="4">
        <f>$K$268*$V$268</f>
        <v>0</v>
      </c>
      <c r="AC268" s="4">
        <f>$M$268*$W$268</f>
        <v>2129.35392</v>
      </c>
      <c r="AD268" s="4">
        <f>$O$268*$X$268</f>
        <v>2036.8795200000002</v>
      </c>
      <c r="AE268" s="4">
        <f>$K$268*$Y$268</f>
        <v>0</v>
      </c>
      <c r="AF268" s="4">
        <f ca="1">$M$268*$Z$268</f>
        <v>2257.2047711833725</v>
      </c>
      <c r="AG268" s="4">
        <f>$O$268*$AA$268</f>
        <v>1491.9665589030083</v>
      </c>
    </row>
    <row r="269" spans="1:33" ht="11.25" customHeight="1" x14ac:dyDescent="0.3">
      <c r="A269" s="3" t="s">
        <v>21</v>
      </c>
      <c r="B269" s="3" t="s">
        <v>22</v>
      </c>
      <c r="C269" s="3" t="s">
        <v>23</v>
      </c>
      <c r="D269" s="3" t="s">
        <v>24</v>
      </c>
      <c r="E269" s="3" t="s">
        <v>29</v>
      </c>
      <c r="F269" s="3" t="s">
        <v>25</v>
      </c>
      <c r="G269" s="3" t="s">
        <v>25</v>
      </c>
      <c r="H269" s="3" t="s">
        <v>25</v>
      </c>
      <c r="I269" s="6">
        <v>44562</v>
      </c>
      <c r="J269" s="4">
        <v>0</v>
      </c>
      <c r="K269" s="4">
        <v>0</v>
      </c>
      <c r="L269" s="4">
        <v>11.725</v>
      </c>
      <c r="M269" s="4">
        <v>11.725</v>
      </c>
      <c r="N269" s="4">
        <v>11.725</v>
      </c>
      <c r="O269" s="4">
        <v>11.725</v>
      </c>
      <c r="P269" s="4">
        <v>23</v>
      </c>
      <c r="Q269" s="3" t="s">
        <v>26</v>
      </c>
      <c r="R269" s="3">
        <v>0</v>
      </c>
      <c r="S269" s="4">
        <v>0</v>
      </c>
      <c r="T269" s="4">
        <v>12</v>
      </c>
      <c r="U269" s="4">
        <v>63</v>
      </c>
      <c r="V269" s="4">
        <f>IF(ISERROR(VLOOKUP($S$269,'TAR FIN'!$A$1:$O$85,15,0)),0,VLOOKUP($S$269,'TAR FIN'!$A$1:$O$85,15,0))</f>
        <v>0</v>
      </c>
      <c r="W269" s="4">
        <f>IF(ISERROR(VLOOKUP($T$269,'TAR FIN'!$A$1:$O$85,15,0)),0,VLOOKUP($T$269,'TAR FIN'!$A$1:$O$85,15,0))</f>
        <v>183.06</v>
      </c>
      <c r="X269" s="4">
        <f>IF(ISERROR(VLOOKUP($U$269,'TAR FIN'!$A$1:$O$85,15,0)),0,VLOOKUP($U$269,'TAR FIN'!$A$1:$O$85,15,0))</f>
        <v>175.11</v>
      </c>
      <c r="Y269" s="4"/>
      <c r="Z269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269" s="4">
        <f>('TE BE'!$AB$13+'TE BF'!$AB$13+'TE CVA'!$AB$13)*(1-CUSTOS!$M$35)</f>
        <v>128.26397514640718</v>
      </c>
      <c r="AB269" s="4">
        <f>$K$269*$V$269</f>
        <v>0</v>
      </c>
      <c r="AC269" s="4">
        <f>$M$269*$W$269</f>
        <v>2146.3784999999998</v>
      </c>
      <c r="AD269" s="4">
        <f>$O$269*$X$269</f>
        <v>2053.1647499999999</v>
      </c>
      <c r="AE269" s="4">
        <f>$K$269*$Y$269</f>
        <v>0</v>
      </c>
      <c r="AF269" s="4">
        <f ca="1">$M$269*$Z$269</f>
        <v>2275.2515424798007</v>
      </c>
      <c r="AG269" s="4">
        <f>$O$269*$AA$269</f>
        <v>1503.8951085916242</v>
      </c>
    </row>
    <row r="270" spans="1:33" ht="11.25" customHeight="1" x14ac:dyDescent="0.3">
      <c r="A270" s="3" t="s">
        <v>21</v>
      </c>
      <c r="B270" s="3" t="s">
        <v>22</v>
      </c>
      <c r="C270" s="3" t="s">
        <v>23</v>
      </c>
      <c r="D270" s="3" t="s">
        <v>24</v>
      </c>
      <c r="E270" s="3" t="s">
        <v>29</v>
      </c>
      <c r="F270" s="3" t="s">
        <v>25</v>
      </c>
      <c r="G270" s="3" t="s">
        <v>25</v>
      </c>
      <c r="H270" s="3" t="s">
        <v>25</v>
      </c>
      <c r="I270" s="6">
        <v>44593</v>
      </c>
      <c r="J270" s="4">
        <v>0</v>
      </c>
      <c r="K270" s="4">
        <v>0</v>
      </c>
      <c r="L270" s="4">
        <v>17.297000000000001</v>
      </c>
      <c r="M270" s="4">
        <v>17.297000000000001</v>
      </c>
      <c r="N270" s="4">
        <v>17.297000000000001</v>
      </c>
      <c r="O270" s="4">
        <v>17.297000000000001</v>
      </c>
      <c r="P270" s="4">
        <v>27</v>
      </c>
      <c r="Q270" s="3" t="s">
        <v>26</v>
      </c>
      <c r="R270" s="3">
        <v>0</v>
      </c>
      <c r="S270" s="4">
        <v>0</v>
      </c>
      <c r="T270" s="4">
        <v>12</v>
      </c>
      <c r="U270" s="4">
        <v>63</v>
      </c>
      <c r="V270" s="4">
        <f>IF(ISERROR(VLOOKUP($S$270,'TAR FIN'!$A$1:$O$85,15,0)),0,VLOOKUP($S$270,'TAR FIN'!$A$1:$O$85,15,0))</f>
        <v>0</v>
      </c>
      <c r="W270" s="4">
        <f>IF(ISERROR(VLOOKUP($T$270,'TAR FIN'!$A$1:$O$85,15,0)),0,VLOOKUP($T$270,'TAR FIN'!$A$1:$O$85,15,0))</f>
        <v>183.06</v>
      </c>
      <c r="X270" s="4">
        <f>IF(ISERROR(VLOOKUP($U$270,'TAR FIN'!$A$1:$O$85,15,0)),0,VLOOKUP($U$270,'TAR FIN'!$A$1:$O$85,15,0))</f>
        <v>175.11</v>
      </c>
      <c r="Y270" s="4"/>
      <c r="Z270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270" s="4">
        <f>('TE BE'!$AB$13+'TE BF'!$AB$13+'TE CVA'!$AB$13)*(1-CUSTOS!$M$35)</f>
        <v>128.26397514640718</v>
      </c>
      <c r="AB270" s="4">
        <f>$K$270*$V$270</f>
        <v>0</v>
      </c>
      <c r="AC270" s="4">
        <f>$M$270*$W$270</f>
        <v>3166.3888200000001</v>
      </c>
      <c r="AD270" s="4">
        <f>$O$270*$X$270</f>
        <v>3028.8776700000003</v>
      </c>
      <c r="AE270" s="4">
        <f>$K$270*$Y$270</f>
        <v>0</v>
      </c>
      <c r="AF270" s="4">
        <f ca="1">$M$270*$Z$270</f>
        <v>3356.5054098313958</v>
      </c>
      <c r="AG270" s="4">
        <f>$O$270*$AA$270</f>
        <v>2218.5819781074051</v>
      </c>
    </row>
    <row r="271" spans="1:33" ht="11.25" customHeight="1" x14ac:dyDescent="0.3">
      <c r="A271" s="3" t="s">
        <v>21</v>
      </c>
      <c r="B271" s="3" t="s">
        <v>22</v>
      </c>
      <c r="C271" s="3" t="s">
        <v>23</v>
      </c>
      <c r="D271" s="3" t="s">
        <v>24</v>
      </c>
      <c r="E271" s="3" t="s">
        <v>29</v>
      </c>
      <c r="F271" s="3" t="s">
        <v>25</v>
      </c>
      <c r="G271" s="3" t="s">
        <v>25</v>
      </c>
      <c r="H271" s="3" t="s">
        <v>25</v>
      </c>
      <c r="I271" s="6">
        <v>44621</v>
      </c>
      <c r="J271" s="4">
        <v>0</v>
      </c>
      <c r="K271" s="4">
        <v>0</v>
      </c>
      <c r="L271" s="4">
        <v>17.948</v>
      </c>
      <c r="M271" s="4">
        <v>17.948</v>
      </c>
      <c r="N271" s="4">
        <v>17.948</v>
      </c>
      <c r="O271" s="4">
        <v>17.948</v>
      </c>
      <c r="P271" s="4">
        <v>32</v>
      </c>
      <c r="Q271" s="3" t="s">
        <v>26</v>
      </c>
      <c r="R271" s="3">
        <v>0</v>
      </c>
      <c r="S271" s="4">
        <v>0</v>
      </c>
      <c r="T271" s="4">
        <v>12</v>
      </c>
      <c r="U271" s="4">
        <v>63</v>
      </c>
      <c r="V271" s="4">
        <f>IF(ISERROR(VLOOKUP($S$271,'TAR FIN'!$A$1:$O$85,15,0)),0,VLOOKUP($S$271,'TAR FIN'!$A$1:$O$85,15,0))</f>
        <v>0</v>
      </c>
      <c r="W271" s="4">
        <f>IF(ISERROR(VLOOKUP($T$271,'TAR FIN'!$A$1:$O$85,15,0)),0,VLOOKUP($T$271,'TAR FIN'!$A$1:$O$85,15,0))</f>
        <v>183.06</v>
      </c>
      <c r="X271" s="4">
        <f>IF(ISERROR(VLOOKUP($U$271,'TAR FIN'!$A$1:$O$85,15,0)),0,VLOOKUP($U$271,'TAR FIN'!$A$1:$O$85,15,0))</f>
        <v>175.11</v>
      </c>
      <c r="Y271" s="4"/>
      <c r="Z271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271" s="4">
        <f>('TE BE'!$AB$13+'TE BF'!$AB$13+'TE CVA'!$AB$13)*(1-CUSTOS!$M$35)</f>
        <v>128.26397514640718</v>
      </c>
      <c r="AB271" s="4">
        <f>$K$271*$V$271</f>
        <v>0</v>
      </c>
      <c r="AC271" s="4">
        <f>$M$271*$W$271</f>
        <v>3285.56088</v>
      </c>
      <c r="AD271" s="4">
        <f>$O$271*$X$271</f>
        <v>3142.8742800000005</v>
      </c>
      <c r="AE271" s="4">
        <f>$K$271*$Y$271</f>
        <v>0</v>
      </c>
      <c r="AF271" s="4">
        <f ca="1">$M$271*$Z$271</f>
        <v>3482.8328089063939</v>
      </c>
      <c r="AG271" s="4">
        <f>$O$271*$AA$271</f>
        <v>2302.0818259277162</v>
      </c>
    </row>
    <row r="272" spans="1:33" ht="11.25" customHeight="1" x14ac:dyDescent="0.3">
      <c r="A272" s="3" t="s">
        <v>21</v>
      </c>
      <c r="B272" s="3" t="s">
        <v>22</v>
      </c>
      <c r="C272" s="3" t="s">
        <v>23</v>
      </c>
      <c r="D272" s="3" t="s">
        <v>24</v>
      </c>
      <c r="E272" s="3" t="s">
        <v>29</v>
      </c>
      <c r="F272" s="3" t="s">
        <v>25</v>
      </c>
      <c r="G272" s="3" t="s">
        <v>25</v>
      </c>
      <c r="H272" s="3" t="s">
        <v>25</v>
      </c>
      <c r="I272" s="6">
        <v>44652</v>
      </c>
      <c r="J272" s="4">
        <v>0</v>
      </c>
      <c r="K272" s="4">
        <v>0</v>
      </c>
      <c r="L272" s="4">
        <v>18.116</v>
      </c>
      <c r="M272" s="4">
        <v>18.116</v>
      </c>
      <c r="N272" s="4">
        <v>18.116</v>
      </c>
      <c r="O272" s="4">
        <v>18.116</v>
      </c>
      <c r="P272" s="4">
        <v>38</v>
      </c>
      <c r="Q272" s="3" t="s">
        <v>26</v>
      </c>
      <c r="R272" s="3">
        <v>0</v>
      </c>
      <c r="S272" s="4">
        <v>0</v>
      </c>
      <c r="T272" s="4">
        <v>12</v>
      </c>
      <c r="U272" s="4">
        <v>63</v>
      </c>
      <c r="V272" s="4">
        <f>IF(ISERROR(VLOOKUP($S$272,'TAR FIN'!$A$1:$O$85,15,0)),0,VLOOKUP($S$272,'TAR FIN'!$A$1:$O$85,15,0))</f>
        <v>0</v>
      </c>
      <c r="W272" s="4">
        <f>IF(ISERROR(VLOOKUP($T$272,'TAR FIN'!$A$1:$O$85,15,0)),0,VLOOKUP($T$272,'TAR FIN'!$A$1:$O$85,15,0))</f>
        <v>183.06</v>
      </c>
      <c r="X272" s="4">
        <f>IF(ISERROR(VLOOKUP($U$272,'TAR FIN'!$A$1:$O$85,15,0)),0,VLOOKUP($U$272,'TAR FIN'!$A$1:$O$85,15,0))</f>
        <v>175.11</v>
      </c>
      <c r="Y272" s="4"/>
      <c r="Z272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272" s="4">
        <f>('TE BE'!$AB$13+'TE BF'!$AB$13+'TE CVA'!$AB$13)*(1-CUSTOS!$M$35)</f>
        <v>128.26397514640718</v>
      </c>
      <c r="AB272" s="4">
        <f>$K$272*$V$272</f>
        <v>0</v>
      </c>
      <c r="AC272" s="4">
        <f>$M$272*$W$272</f>
        <v>3316.3149600000002</v>
      </c>
      <c r="AD272" s="4">
        <f>$O$272*$X$272</f>
        <v>3172.2927600000003</v>
      </c>
      <c r="AE272" s="4">
        <f>$K$272*$Y$272</f>
        <v>0</v>
      </c>
      <c r="AF272" s="4">
        <f ca="1">$M$272*$Z$272</f>
        <v>3515.4334280225221</v>
      </c>
      <c r="AG272" s="4">
        <f>$O$272*$AA$272</f>
        <v>2323.6301737523122</v>
      </c>
    </row>
    <row r="273" spans="1:33" ht="11.25" customHeight="1" x14ac:dyDescent="0.3">
      <c r="A273" s="3" t="s">
        <v>21</v>
      </c>
      <c r="B273" s="3" t="s">
        <v>22</v>
      </c>
      <c r="C273" s="3" t="s">
        <v>23</v>
      </c>
      <c r="D273" s="3" t="s">
        <v>24</v>
      </c>
      <c r="E273" s="3" t="s">
        <v>29</v>
      </c>
      <c r="F273" s="3" t="s">
        <v>25</v>
      </c>
      <c r="G273" s="3" t="s">
        <v>25</v>
      </c>
      <c r="H273" s="3" t="s">
        <v>25</v>
      </c>
      <c r="I273" s="6">
        <v>44682</v>
      </c>
      <c r="J273" s="4">
        <v>0</v>
      </c>
      <c r="K273" s="4">
        <v>0</v>
      </c>
      <c r="L273" s="4">
        <v>19.456</v>
      </c>
      <c r="M273" s="4">
        <v>19.456</v>
      </c>
      <c r="N273" s="4">
        <v>19.456</v>
      </c>
      <c r="O273" s="4">
        <v>19.456</v>
      </c>
      <c r="P273" s="4">
        <v>50</v>
      </c>
      <c r="Q273" s="3" t="s">
        <v>26</v>
      </c>
      <c r="R273" s="3">
        <v>0</v>
      </c>
      <c r="S273" s="4">
        <v>0</v>
      </c>
      <c r="T273" s="4">
        <v>12</v>
      </c>
      <c r="U273" s="4">
        <v>63</v>
      </c>
      <c r="V273" s="4">
        <f>IF(ISERROR(VLOOKUP($S$273,'TAR FIN'!$A$1:$O$85,15,0)),0,VLOOKUP($S$273,'TAR FIN'!$A$1:$O$85,15,0))</f>
        <v>0</v>
      </c>
      <c r="W273" s="4">
        <f>IF(ISERROR(VLOOKUP($T$273,'TAR FIN'!$A$1:$O$85,15,0)),0,VLOOKUP($T$273,'TAR FIN'!$A$1:$O$85,15,0))</f>
        <v>183.06</v>
      </c>
      <c r="X273" s="4">
        <f>IF(ISERROR(VLOOKUP($U$273,'TAR FIN'!$A$1:$O$85,15,0)),0,VLOOKUP($U$273,'TAR FIN'!$A$1:$O$85,15,0))</f>
        <v>175.11</v>
      </c>
      <c r="Y273" s="4"/>
      <c r="Z273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273" s="4">
        <f>('TE BE'!$AB$13+'TE BF'!$AB$13+'TE CVA'!$AB$13)*(1-CUSTOS!$M$35)</f>
        <v>128.26397514640718</v>
      </c>
      <c r="AB273" s="4">
        <f>$K$273*$V$273</f>
        <v>0</v>
      </c>
      <c r="AC273" s="4">
        <f>$M$273*$W$273</f>
        <v>3561.6153599999998</v>
      </c>
      <c r="AD273" s="4">
        <f>$O$273*$X$273</f>
        <v>3406.9401600000001</v>
      </c>
      <c r="AE273" s="4">
        <f>$K$273*$Y$273</f>
        <v>0</v>
      </c>
      <c r="AF273" s="4">
        <f ca="1">$M$273*$Z$273</f>
        <v>3775.4621757344994</v>
      </c>
      <c r="AG273" s="4">
        <f>$O$273*$AA$273</f>
        <v>2495.5039004484979</v>
      </c>
    </row>
    <row r="274" spans="1:33" ht="11.25" customHeight="1" x14ac:dyDescent="0.3">
      <c r="A274" s="3" t="s">
        <v>21</v>
      </c>
      <c r="B274" s="3" t="s">
        <v>22</v>
      </c>
      <c r="C274" s="3" t="s">
        <v>23</v>
      </c>
      <c r="D274" s="3" t="s">
        <v>24</v>
      </c>
      <c r="E274" s="3" t="s">
        <v>29</v>
      </c>
      <c r="F274" s="3" t="s">
        <v>25</v>
      </c>
      <c r="G274" s="3" t="s">
        <v>25</v>
      </c>
      <c r="H274" s="3" t="s">
        <v>25</v>
      </c>
      <c r="I274" s="6">
        <v>44713</v>
      </c>
      <c r="J274" s="4">
        <v>0</v>
      </c>
      <c r="K274" s="4">
        <v>0</v>
      </c>
      <c r="L274" s="4">
        <v>18.814</v>
      </c>
      <c r="M274" s="4">
        <v>18.814</v>
      </c>
      <c r="N274" s="4">
        <v>18.814</v>
      </c>
      <c r="O274" s="4">
        <v>18.814</v>
      </c>
      <c r="P274" s="4">
        <v>41</v>
      </c>
      <c r="Q274" s="3" t="s">
        <v>26</v>
      </c>
      <c r="R274" s="3">
        <v>0</v>
      </c>
      <c r="S274" s="4">
        <v>0</v>
      </c>
      <c r="T274" s="4">
        <v>12</v>
      </c>
      <c r="U274" s="4">
        <v>63</v>
      </c>
      <c r="V274" s="4">
        <f>IF(ISERROR(VLOOKUP($S$274,'TAR FIN'!$A$1:$O$85,15,0)),0,VLOOKUP($S$274,'TAR FIN'!$A$1:$O$85,15,0))</f>
        <v>0</v>
      </c>
      <c r="W274" s="4">
        <f>IF(ISERROR(VLOOKUP($T$274,'TAR FIN'!$A$1:$O$85,15,0)),0,VLOOKUP($T$274,'TAR FIN'!$A$1:$O$85,15,0))</f>
        <v>183.06</v>
      </c>
      <c r="X274" s="4">
        <f>IF(ISERROR(VLOOKUP($U$274,'TAR FIN'!$A$1:$O$85,15,0)),0,VLOOKUP($U$274,'TAR FIN'!$A$1:$O$85,15,0))</f>
        <v>175.11</v>
      </c>
      <c r="Y274" s="4"/>
      <c r="Z274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274" s="4">
        <f>('TE BE'!$AB$13+'TE BF'!$AB$13+'TE CVA'!$AB$13)*(1-CUSTOS!$M$35)</f>
        <v>128.26397514640718</v>
      </c>
      <c r="AB274" s="4">
        <f>$K$274*$V$274</f>
        <v>0</v>
      </c>
      <c r="AC274" s="4">
        <f>$M$274*$W$274</f>
        <v>3444.0908399999998</v>
      </c>
      <c r="AD274" s="4">
        <f>$O$274*$X$274</f>
        <v>3294.5195400000002</v>
      </c>
      <c r="AE274" s="4">
        <f>$K$274*$Y$274</f>
        <v>0</v>
      </c>
      <c r="AF274" s="4">
        <f ca="1">$M$274*$Z$274</f>
        <v>3650.8812383978657</v>
      </c>
      <c r="AG274" s="4">
        <f>$O$274*$AA$274</f>
        <v>2413.1584284045048</v>
      </c>
    </row>
    <row r="275" spans="1:33" ht="11.25" customHeight="1" x14ac:dyDescent="0.3">
      <c r="A275" s="3" t="s">
        <v>21</v>
      </c>
      <c r="B275" s="3" t="s">
        <v>22</v>
      </c>
      <c r="C275" s="3" t="s">
        <v>23</v>
      </c>
      <c r="D275" s="3" t="s">
        <v>24</v>
      </c>
      <c r="E275" s="3" t="s">
        <v>29</v>
      </c>
      <c r="F275" s="3" t="s">
        <v>25</v>
      </c>
      <c r="G275" s="3" t="s">
        <v>25</v>
      </c>
      <c r="H275" s="3" t="s">
        <v>25</v>
      </c>
      <c r="I275" s="6">
        <v>44743</v>
      </c>
      <c r="J275" s="4">
        <v>0</v>
      </c>
      <c r="K275" s="4">
        <v>0</v>
      </c>
      <c r="L275" s="4">
        <v>16.195</v>
      </c>
      <c r="M275" s="4">
        <v>16.195</v>
      </c>
      <c r="N275" s="4">
        <v>16.195</v>
      </c>
      <c r="O275" s="4">
        <v>16.195</v>
      </c>
      <c r="P275" s="4">
        <v>47</v>
      </c>
      <c r="Q275" s="3" t="s">
        <v>26</v>
      </c>
      <c r="R275" s="3">
        <v>0</v>
      </c>
      <c r="S275" s="4">
        <v>0</v>
      </c>
      <c r="T275" s="4">
        <v>12</v>
      </c>
      <c r="U275" s="4">
        <v>63</v>
      </c>
      <c r="V275" s="4">
        <f>IF(ISERROR(VLOOKUP($S$275,'TAR FIN'!$A$1:$O$85,15,0)),0,VLOOKUP($S$275,'TAR FIN'!$A$1:$O$85,15,0))</f>
        <v>0</v>
      </c>
      <c r="W275" s="4">
        <f>IF(ISERROR(VLOOKUP($T$275,'TAR FIN'!$A$1:$O$85,15,0)),0,VLOOKUP($T$275,'TAR FIN'!$A$1:$O$85,15,0))</f>
        <v>183.06</v>
      </c>
      <c r="X275" s="4">
        <f>IF(ISERROR(VLOOKUP($U$275,'TAR FIN'!$A$1:$O$85,15,0)),0,VLOOKUP($U$275,'TAR FIN'!$A$1:$O$85,15,0))</f>
        <v>175.11</v>
      </c>
      <c r="Y275" s="4"/>
      <c r="Z275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275" s="4">
        <f>('TE BE'!$AB$13+'TE BF'!$AB$13+'TE CVA'!$AB$13)*(1-CUSTOS!$M$35)</f>
        <v>128.26397514640718</v>
      </c>
      <c r="AB275" s="4">
        <f>$K$275*$V$275</f>
        <v>0</v>
      </c>
      <c r="AC275" s="4">
        <f>$M$275*$W$275</f>
        <v>2964.6567</v>
      </c>
      <c r="AD275" s="4">
        <f>$O$275*$X$275</f>
        <v>2835.9064500000004</v>
      </c>
      <c r="AE275" s="4">
        <f>$K$275*$Y$275</f>
        <v>0</v>
      </c>
      <c r="AF275" s="4">
        <f ca="1">$M$275*$Z$275</f>
        <v>3142.6608725339343</v>
      </c>
      <c r="AG275" s="4">
        <f>$O$275*$AA$275</f>
        <v>2077.2350774960642</v>
      </c>
    </row>
    <row r="276" spans="1:33" ht="11.25" customHeight="1" x14ac:dyDescent="0.3">
      <c r="A276" s="3" t="s">
        <v>53</v>
      </c>
      <c r="B276" s="3" t="s">
        <v>22</v>
      </c>
      <c r="C276" s="3" t="s">
        <v>23</v>
      </c>
      <c r="D276" s="3" t="s">
        <v>24</v>
      </c>
      <c r="E276" s="3" t="s">
        <v>29</v>
      </c>
      <c r="F276" s="3" t="s">
        <v>25</v>
      </c>
      <c r="G276" s="3" t="s">
        <v>25</v>
      </c>
      <c r="H276" s="3" t="s">
        <v>25</v>
      </c>
      <c r="I276" s="6">
        <v>44774</v>
      </c>
      <c r="J276" s="4">
        <v>0</v>
      </c>
      <c r="K276" s="4">
        <v>0</v>
      </c>
      <c r="L276" s="4">
        <v>16.195</v>
      </c>
      <c r="M276" s="4">
        <v>16.195</v>
      </c>
      <c r="N276" s="4">
        <v>16.195</v>
      </c>
      <c r="O276" s="4">
        <v>16.195</v>
      </c>
      <c r="P276" s="4">
        <v>47</v>
      </c>
      <c r="Q276" s="3" t="s">
        <v>26</v>
      </c>
      <c r="R276" s="3">
        <v>0</v>
      </c>
      <c r="S276" s="4">
        <v>0</v>
      </c>
      <c r="T276" s="4">
        <v>12</v>
      </c>
      <c r="U276" s="4">
        <v>63</v>
      </c>
      <c r="V276" s="4">
        <f>IF(ISERROR(VLOOKUP($S$276,'TAR FIN'!$A$1:$O$85,15,0)),0,VLOOKUP($S$276,'TAR FIN'!$A$1:$O$85,15,0))</f>
        <v>0</v>
      </c>
      <c r="W276" s="4">
        <f>IF(ISERROR(VLOOKUP($T$276,'TAR FIN'!$A$1:$O$85,15,0)),0,VLOOKUP($T$276,'TAR FIN'!$A$1:$O$85,15,0))</f>
        <v>183.06</v>
      </c>
      <c r="X276" s="4">
        <f>IF(ISERROR(VLOOKUP($U$276,'TAR FIN'!$A$1:$O$85,15,0)),0,VLOOKUP($U$276,'TAR FIN'!$A$1:$O$85,15,0))</f>
        <v>175.11</v>
      </c>
      <c r="Y276" s="4"/>
      <c r="Z276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276" s="4">
        <f>('TE BE'!$AB$13+'TE BF'!$AB$13+'TE CVA'!$AB$13)*(1-CUSTOS!$M$35)</f>
        <v>128.26397514640718</v>
      </c>
      <c r="AB276" s="4">
        <f>$K$276*$V$276</f>
        <v>0</v>
      </c>
      <c r="AC276" s="4">
        <f>$M$276*$W$276</f>
        <v>2964.6567</v>
      </c>
      <c r="AD276" s="4">
        <f>$O$276*$X$276</f>
        <v>2835.9064500000004</v>
      </c>
      <c r="AE276" s="4">
        <f>$K$276*$Y$276</f>
        <v>0</v>
      </c>
      <c r="AF276" s="4">
        <f ca="1">$M$276*$Z$276</f>
        <v>3142.6608725339343</v>
      </c>
      <c r="AG276" s="4">
        <f>$O$276*$AA$276</f>
        <v>2077.2350774960642</v>
      </c>
    </row>
    <row r="277" spans="1:33" ht="11.25" customHeight="1" x14ac:dyDescent="0.3">
      <c r="A277" s="3" t="s">
        <v>21</v>
      </c>
      <c r="B277" s="3" t="s">
        <v>22</v>
      </c>
      <c r="C277" s="3" t="s">
        <v>23</v>
      </c>
      <c r="D277" s="3" t="s">
        <v>24</v>
      </c>
      <c r="E277" s="3" t="s">
        <v>30</v>
      </c>
      <c r="F277" s="3" t="s">
        <v>25</v>
      </c>
      <c r="G277" s="3" t="s">
        <v>25</v>
      </c>
      <c r="H277" s="3" t="s">
        <v>25</v>
      </c>
      <c r="I277" s="6">
        <v>44440</v>
      </c>
      <c r="J277" s="4">
        <v>0</v>
      </c>
      <c r="K277" s="4">
        <v>0</v>
      </c>
      <c r="L277" s="4">
        <v>12.407999999999999</v>
      </c>
      <c r="M277" s="4">
        <v>12.407999999999999</v>
      </c>
      <c r="N277" s="4">
        <v>12.407999999999999</v>
      </c>
      <c r="O277" s="4">
        <v>12.407999999999999</v>
      </c>
      <c r="P277" s="4">
        <v>98</v>
      </c>
      <c r="Q277" s="3" t="s">
        <v>26</v>
      </c>
      <c r="R277" s="3">
        <v>0</v>
      </c>
      <c r="S277" s="4">
        <v>0</v>
      </c>
      <c r="T277" s="4">
        <v>2</v>
      </c>
      <c r="U277" s="4">
        <v>60</v>
      </c>
      <c r="V277" s="4">
        <f>IF(ISERROR(VLOOKUP($S$277,'TAR FIN'!$A$1:$O$85,15,0)),0,VLOOKUP($S$277,'TAR FIN'!$A$1:$O$85,15,0))</f>
        <v>0</v>
      </c>
      <c r="W277" s="4">
        <f>IF(ISERROR(VLOOKUP($T$277,'TAR FIN'!$A$1:$O$85,15,0)),0,VLOOKUP($T$277,'TAR FIN'!$A$1:$O$85,15,0))</f>
        <v>274.58999999999997</v>
      </c>
      <c r="X277" s="4">
        <f>IF(ISERROR(VLOOKUP($U$277,'TAR FIN'!$A$1:$O$85,15,0)),0,VLOOKUP($U$277,'TAR FIN'!$A$1:$O$85,15,0))</f>
        <v>262.67</v>
      </c>
      <c r="Y277" s="4"/>
      <c r="Z277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277" s="4">
        <f>('TE BE'!$AB$14+'TE BF'!$AB$14+'TE CVA'!$AB$14)*(1-CUSTOS!$M$36)</f>
        <v>192.39596271961076</v>
      </c>
      <c r="AB277" s="4">
        <f>$K$277*$V$277</f>
        <v>0</v>
      </c>
      <c r="AC277" s="4">
        <f>$M$277*$W$277</f>
        <v>3407.1127199999996</v>
      </c>
      <c r="AD277" s="4">
        <f>$O$277*$X$277</f>
        <v>3259.2093599999998</v>
      </c>
      <c r="AE277" s="4">
        <f>$K$277*$Y$277</f>
        <v>0</v>
      </c>
      <c r="AF277" s="4">
        <f ca="1">$M$277*$Z$277</f>
        <v>3611.6828749368065</v>
      </c>
      <c r="AG277" s="4">
        <f>$O$277*$AA$277</f>
        <v>2387.2491054249303</v>
      </c>
    </row>
    <row r="278" spans="1:33" ht="11.25" customHeight="1" x14ac:dyDescent="0.3">
      <c r="A278" s="3" t="s">
        <v>21</v>
      </c>
      <c r="B278" s="3" t="s">
        <v>22</v>
      </c>
      <c r="C278" s="3" t="s">
        <v>23</v>
      </c>
      <c r="D278" s="3" t="s">
        <v>24</v>
      </c>
      <c r="E278" s="3" t="s">
        <v>30</v>
      </c>
      <c r="F278" s="3" t="s">
        <v>25</v>
      </c>
      <c r="G278" s="3" t="s">
        <v>25</v>
      </c>
      <c r="H278" s="3" t="s">
        <v>25</v>
      </c>
      <c r="I278" s="6">
        <v>44470</v>
      </c>
      <c r="J278" s="4">
        <v>0</v>
      </c>
      <c r="K278" s="4">
        <v>0</v>
      </c>
      <c r="L278" s="4">
        <v>12.455</v>
      </c>
      <c r="M278" s="4">
        <v>12.455</v>
      </c>
      <c r="N278" s="4">
        <v>12.455</v>
      </c>
      <c r="O278" s="4">
        <v>12.455</v>
      </c>
      <c r="P278" s="4">
        <v>98</v>
      </c>
      <c r="Q278" s="3" t="s">
        <v>26</v>
      </c>
      <c r="R278" s="3">
        <v>0</v>
      </c>
      <c r="S278" s="4">
        <v>0</v>
      </c>
      <c r="T278" s="4">
        <v>2</v>
      </c>
      <c r="U278" s="4">
        <v>60</v>
      </c>
      <c r="V278" s="4">
        <f>IF(ISERROR(VLOOKUP($S$278,'TAR FIN'!$A$1:$O$85,15,0)),0,VLOOKUP($S$278,'TAR FIN'!$A$1:$O$85,15,0))</f>
        <v>0</v>
      </c>
      <c r="W278" s="4">
        <f>IF(ISERROR(VLOOKUP($T$278,'TAR FIN'!$A$1:$O$85,15,0)),0,VLOOKUP($T$278,'TAR FIN'!$A$1:$O$85,15,0))</f>
        <v>274.58999999999997</v>
      </c>
      <c r="X278" s="4">
        <f>IF(ISERROR(VLOOKUP($U$278,'TAR FIN'!$A$1:$O$85,15,0)),0,VLOOKUP($U$278,'TAR FIN'!$A$1:$O$85,15,0))</f>
        <v>262.67</v>
      </c>
      <c r="Y278" s="4"/>
      <c r="Z278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278" s="4">
        <f>('TE BE'!$AB$14+'TE BF'!$AB$14+'TE CVA'!$AB$14)*(1-CUSTOS!$M$36)</f>
        <v>192.39596271961076</v>
      </c>
      <c r="AB278" s="4">
        <f>$K$278*$V$278</f>
        <v>0</v>
      </c>
      <c r="AC278" s="4">
        <f>$M$278*$W$278</f>
        <v>3420.0184499999996</v>
      </c>
      <c r="AD278" s="4">
        <f>$O$278*$X$278</f>
        <v>3271.5548500000004</v>
      </c>
      <c r="AE278" s="4">
        <f>$K$278*$Y$278</f>
        <v>0</v>
      </c>
      <c r="AF278" s="4">
        <f ca="1">$M$278*$Z$278</f>
        <v>3625.3634918873249</v>
      </c>
      <c r="AG278" s="4">
        <f>$O$278*$AA$278</f>
        <v>2396.2917156727522</v>
      </c>
    </row>
    <row r="279" spans="1:33" ht="11.25" customHeight="1" x14ac:dyDescent="0.3">
      <c r="A279" s="3" t="s">
        <v>21</v>
      </c>
      <c r="B279" s="3" t="s">
        <v>22</v>
      </c>
      <c r="C279" s="3" t="s">
        <v>23</v>
      </c>
      <c r="D279" s="3" t="s">
        <v>24</v>
      </c>
      <c r="E279" s="3" t="s">
        <v>30</v>
      </c>
      <c r="F279" s="3" t="s">
        <v>25</v>
      </c>
      <c r="G279" s="3" t="s">
        <v>25</v>
      </c>
      <c r="H279" s="3" t="s">
        <v>25</v>
      </c>
      <c r="I279" s="6">
        <v>44501</v>
      </c>
      <c r="J279" s="4">
        <v>0</v>
      </c>
      <c r="K279" s="4">
        <v>0</v>
      </c>
      <c r="L279" s="4">
        <v>13.506</v>
      </c>
      <c r="M279" s="4">
        <v>13.506</v>
      </c>
      <c r="N279" s="4">
        <v>13.506</v>
      </c>
      <c r="O279" s="4">
        <v>13.506</v>
      </c>
      <c r="P279" s="4">
        <v>101</v>
      </c>
      <c r="Q279" s="3" t="s">
        <v>26</v>
      </c>
      <c r="R279" s="3">
        <v>0</v>
      </c>
      <c r="S279" s="4">
        <v>0</v>
      </c>
      <c r="T279" s="4">
        <v>2</v>
      </c>
      <c r="U279" s="4">
        <v>60</v>
      </c>
      <c r="V279" s="4">
        <f>IF(ISERROR(VLOOKUP($S$279,'TAR FIN'!$A$1:$O$85,15,0)),0,VLOOKUP($S$279,'TAR FIN'!$A$1:$O$85,15,0))</f>
        <v>0</v>
      </c>
      <c r="W279" s="4">
        <f>IF(ISERROR(VLOOKUP($T$279,'TAR FIN'!$A$1:$O$85,15,0)),0,VLOOKUP($T$279,'TAR FIN'!$A$1:$O$85,15,0))</f>
        <v>274.58999999999997</v>
      </c>
      <c r="X279" s="4">
        <f>IF(ISERROR(VLOOKUP($U$279,'TAR FIN'!$A$1:$O$85,15,0)),0,VLOOKUP($U$279,'TAR FIN'!$A$1:$O$85,15,0))</f>
        <v>262.67</v>
      </c>
      <c r="Y279" s="4"/>
      <c r="Z279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279" s="4">
        <f>('TE BE'!$AB$14+'TE BF'!$AB$14+'TE CVA'!$AB$14)*(1-CUSTOS!$M$36)</f>
        <v>192.39596271961076</v>
      </c>
      <c r="AB279" s="4">
        <f>$K$279*$V$279</f>
        <v>0</v>
      </c>
      <c r="AC279" s="4">
        <f>$M$279*$W$279</f>
        <v>3708.6125399999996</v>
      </c>
      <c r="AD279" s="4">
        <f>$O$279*$X$279</f>
        <v>3547.6210200000005</v>
      </c>
      <c r="AE279" s="4">
        <f>$K$279*$Y$279</f>
        <v>0</v>
      </c>
      <c r="AF279" s="4">
        <f ca="1">$M$279*$Z$279</f>
        <v>3931.2853730574238</v>
      </c>
      <c r="AG279" s="4">
        <f>$O$279*$AA$279</f>
        <v>2598.4998724910629</v>
      </c>
    </row>
    <row r="280" spans="1:33" ht="11.25" customHeight="1" x14ac:dyDescent="0.3">
      <c r="A280" s="3" t="s">
        <v>21</v>
      </c>
      <c r="B280" s="3" t="s">
        <v>22</v>
      </c>
      <c r="C280" s="3" t="s">
        <v>23</v>
      </c>
      <c r="D280" s="3" t="s">
        <v>24</v>
      </c>
      <c r="E280" s="3" t="s">
        <v>30</v>
      </c>
      <c r="F280" s="3" t="s">
        <v>25</v>
      </c>
      <c r="G280" s="3" t="s">
        <v>25</v>
      </c>
      <c r="H280" s="3" t="s">
        <v>25</v>
      </c>
      <c r="I280" s="6">
        <v>44531</v>
      </c>
      <c r="J280" s="4">
        <v>0</v>
      </c>
      <c r="K280" s="4">
        <v>0</v>
      </c>
      <c r="L280" s="4">
        <v>11.481999999999999</v>
      </c>
      <c r="M280" s="4">
        <v>11.481999999999999</v>
      </c>
      <c r="N280" s="4">
        <v>11.481999999999999</v>
      </c>
      <c r="O280" s="4">
        <v>11.481999999999999</v>
      </c>
      <c r="P280" s="4">
        <v>97</v>
      </c>
      <c r="Q280" s="3" t="s">
        <v>26</v>
      </c>
      <c r="R280" s="3">
        <v>0</v>
      </c>
      <c r="S280" s="4">
        <v>0</v>
      </c>
      <c r="T280" s="4">
        <v>2</v>
      </c>
      <c r="U280" s="4">
        <v>60</v>
      </c>
      <c r="V280" s="4">
        <f>IF(ISERROR(VLOOKUP($S$280,'TAR FIN'!$A$1:$O$85,15,0)),0,VLOOKUP($S$280,'TAR FIN'!$A$1:$O$85,15,0))</f>
        <v>0</v>
      </c>
      <c r="W280" s="4">
        <f>IF(ISERROR(VLOOKUP($T$280,'TAR FIN'!$A$1:$O$85,15,0)),0,VLOOKUP($T$280,'TAR FIN'!$A$1:$O$85,15,0))</f>
        <v>274.58999999999997</v>
      </c>
      <c r="X280" s="4">
        <f>IF(ISERROR(VLOOKUP($U$280,'TAR FIN'!$A$1:$O$85,15,0)),0,VLOOKUP($U$280,'TAR FIN'!$A$1:$O$85,15,0))</f>
        <v>262.67</v>
      </c>
      <c r="Y280" s="4"/>
      <c r="Z280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280" s="4">
        <f>('TE BE'!$AB$14+'TE BF'!$AB$14+'TE CVA'!$AB$14)*(1-CUSTOS!$M$36)</f>
        <v>192.39596271961076</v>
      </c>
      <c r="AB280" s="4">
        <f>$K$280*$V$280</f>
        <v>0</v>
      </c>
      <c r="AC280" s="4">
        <f>$M$280*$W$280</f>
        <v>3152.8423799999996</v>
      </c>
      <c r="AD280" s="4">
        <f>$O$280*$X$280</f>
        <v>3015.97694</v>
      </c>
      <c r="AE280" s="4">
        <f>$K$280*$Y$280</f>
        <v>0</v>
      </c>
      <c r="AF280" s="4">
        <f ca="1">$M$280*$Z$280</f>
        <v>3342.1456133159586</v>
      </c>
      <c r="AG280" s="4">
        <f>$O$280*$AA$280</f>
        <v>2209.0904439465708</v>
      </c>
    </row>
    <row r="281" spans="1:33" ht="11.25" customHeight="1" x14ac:dyDescent="0.3">
      <c r="A281" s="3" t="s">
        <v>21</v>
      </c>
      <c r="B281" s="3" t="s">
        <v>22</v>
      </c>
      <c r="C281" s="3" t="s">
        <v>23</v>
      </c>
      <c r="D281" s="3" t="s">
        <v>24</v>
      </c>
      <c r="E281" s="3" t="s">
        <v>30</v>
      </c>
      <c r="F281" s="3" t="s">
        <v>25</v>
      </c>
      <c r="G281" s="3" t="s">
        <v>25</v>
      </c>
      <c r="H281" s="3" t="s">
        <v>25</v>
      </c>
      <c r="I281" s="6">
        <v>44562</v>
      </c>
      <c r="J281" s="4">
        <v>0</v>
      </c>
      <c r="K281" s="4">
        <v>0</v>
      </c>
      <c r="L281" s="4">
        <v>13.247999999999999</v>
      </c>
      <c r="M281" s="4">
        <v>13.247999999999999</v>
      </c>
      <c r="N281" s="4">
        <v>13.247999999999999</v>
      </c>
      <c r="O281" s="4">
        <v>13.247999999999999</v>
      </c>
      <c r="P281" s="4">
        <v>93</v>
      </c>
      <c r="Q281" s="3" t="s">
        <v>26</v>
      </c>
      <c r="R281" s="3">
        <v>0</v>
      </c>
      <c r="S281" s="4">
        <v>0</v>
      </c>
      <c r="T281" s="4">
        <v>2</v>
      </c>
      <c r="U281" s="4">
        <v>60</v>
      </c>
      <c r="V281" s="4">
        <f>IF(ISERROR(VLOOKUP($S$281,'TAR FIN'!$A$1:$O$85,15,0)),0,VLOOKUP($S$281,'TAR FIN'!$A$1:$O$85,15,0))</f>
        <v>0</v>
      </c>
      <c r="W281" s="4">
        <f>IF(ISERROR(VLOOKUP($T$281,'TAR FIN'!$A$1:$O$85,15,0)),0,VLOOKUP($T$281,'TAR FIN'!$A$1:$O$85,15,0))</f>
        <v>274.58999999999997</v>
      </c>
      <c r="X281" s="4">
        <f>IF(ISERROR(VLOOKUP($U$281,'TAR FIN'!$A$1:$O$85,15,0)),0,VLOOKUP($U$281,'TAR FIN'!$A$1:$O$85,15,0))</f>
        <v>262.67</v>
      </c>
      <c r="Y281" s="4"/>
      <c r="Z281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281" s="4">
        <f>('TE BE'!$AB$14+'TE BF'!$AB$14+'TE CVA'!$AB$14)*(1-CUSTOS!$M$36)</f>
        <v>192.39596271961076</v>
      </c>
      <c r="AB281" s="4">
        <f>$K$281*$V$281</f>
        <v>0</v>
      </c>
      <c r="AC281" s="4">
        <f>$M$281*$W$281</f>
        <v>3637.7683199999997</v>
      </c>
      <c r="AD281" s="4">
        <f>$O$281*$X$281</f>
        <v>3479.8521599999999</v>
      </c>
      <c r="AE281" s="4">
        <f>$K$281*$Y$281</f>
        <v>0</v>
      </c>
      <c r="AF281" s="4">
        <f ca="1">$M$281*$Z$281</f>
        <v>3856.1875183077705</v>
      </c>
      <c r="AG281" s="4">
        <f>$O$281*$AA$281</f>
        <v>2548.8617141094032</v>
      </c>
    </row>
    <row r="282" spans="1:33" ht="11.25" customHeight="1" x14ac:dyDescent="0.3">
      <c r="A282" s="3" t="s">
        <v>21</v>
      </c>
      <c r="B282" s="3" t="s">
        <v>22</v>
      </c>
      <c r="C282" s="3" t="s">
        <v>23</v>
      </c>
      <c r="D282" s="3" t="s">
        <v>24</v>
      </c>
      <c r="E282" s="3" t="s">
        <v>30</v>
      </c>
      <c r="F282" s="3" t="s">
        <v>25</v>
      </c>
      <c r="G282" s="3" t="s">
        <v>25</v>
      </c>
      <c r="H282" s="3" t="s">
        <v>25</v>
      </c>
      <c r="I282" s="6">
        <v>44593</v>
      </c>
      <c r="J282" s="4">
        <v>0</v>
      </c>
      <c r="K282" s="4">
        <v>0</v>
      </c>
      <c r="L282" s="4">
        <v>22.48</v>
      </c>
      <c r="M282" s="4">
        <v>22.48</v>
      </c>
      <c r="N282" s="4">
        <v>22.48</v>
      </c>
      <c r="O282" s="4">
        <v>22.48</v>
      </c>
      <c r="P282" s="4">
        <v>100</v>
      </c>
      <c r="Q282" s="3" t="s">
        <v>26</v>
      </c>
      <c r="R282" s="3">
        <v>0</v>
      </c>
      <c r="S282" s="4">
        <v>0</v>
      </c>
      <c r="T282" s="4">
        <v>2</v>
      </c>
      <c r="U282" s="4">
        <v>60</v>
      </c>
      <c r="V282" s="4">
        <f>IF(ISERROR(VLOOKUP($S$282,'TAR FIN'!$A$1:$O$85,15,0)),0,VLOOKUP($S$282,'TAR FIN'!$A$1:$O$85,15,0))</f>
        <v>0</v>
      </c>
      <c r="W282" s="4">
        <f>IF(ISERROR(VLOOKUP($T$282,'TAR FIN'!$A$1:$O$85,15,0)),0,VLOOKUP($T$282,'TAR FIN'!$A$1:$O$85,15,0))</f>
        <v>274.58999999999997</v>
      </c>
      <c r="X282" s="4">
        <f>IF(ISERROR(VLOOKUP($U$282,'TAR FIN'!$A$1:$O$85,15,0)),0,VLOOKUP($U$282,'TAR FIN'!$A$1:$O$85,15,0))</f>
        <v>262.67</v>
      </c>
      <c r="Y282" s="4"/>
      <c r="Z282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282" s="4">
        <f>('TE BE'!$AB$14+'TE BF'!$AB$14+'TE CVA'!$AB$14)*(1-CUSTOS!$M$36)</f>
        <v>192.39596271961076</v>
      </c>
      <c r="AB282" s="4">
        <f>$K$282*$V$282</f>
        <v>0</v>
      </c>
      <c r="AC282" s="4">
        <f>$M$282*$W$282</f>
        <v>6172.7831999999999</v>
      </c>
      <c r="AD282" s="4">
        <f>$O$282*$X$282</f>
        <v>5904.8216000000002</v>
      </c>
      <c r="AE282" s="4">
        <f>$K$282*$Y$282</f>
        <v>0</v>
      </c>
      <c r="AF282" s="4">
        <f ca="1">$M$282*$Z$282</f>
        <v>6543.4099797372191</v>
      </c>
      <c r="AG282" s="4">
        <f>$O$282*$AA$282</f>
        <v>4325.0612419368499</v>
      </c>
    </row>
    <row r="283" spans="1:33" ht="11.25" customHeight="1" x14ac:dyDescent="0.3">
      <c r="A283" s="3" t="s">
        <v>21</v>
      </c>
      <c r="B283" s="3" t="s">
        <v>22</v>
      </c>
      <c r="C283" s="3" t="s">
        <v>23</v>
      </c>
      <c r="D283" s="3" t="s">
        <v>24</v>
      </c>
      <c r="E283" s="3" t="s">
        <v>30</v>
      </c>
      <c r="F283" s="3" t="s">
        <v>25</v>
      </c>
      <c r="G283" s="3" t="s">
        <v>25</v>
      </c>
      <c r="H283" s="3" t="s">
        <v>25</v>
      </c>
      <c r="I283" s="6">
        <v>44621</v>
      </c>
      <c r="J283" s="4">
        <v>0</v>
      </c>
      <c r="K283" s="4">
        <v>0</v>
      </c>
      <c r="L283" s="4">
        <v>21.47</v>
      </c>
      <c r="M283" s="4">
        <v>21.47</v>
      </c>
      <c r="N283" s="4">
        <v>21.47</v>
      </c>
      <c r="O283" s="4">
        <v>21.47</v>
      </c>
      <c r="P283" s="4">
        <v>126</v>
      </c>
      <c r="Q283" s="3" t="s">
        <v>26</v>
      </c>
      <c r="R283" s="3">
        <v>0</v>
      </c>
      <c r="S283" s="4">
        <v>0</v>
      </c>
      <c r="T283" s="4">
        <v>2</v>
      </c>
      <c r="U283" s="4">
        <v>60</v>
      </c>
      <c r="V283" s="4">
        <f>IF(ISERROR(VLOOKUP($S$283,'TAR FIN'!$A$1:$O$85,15,0)),0,VLOOKUP($S$283,'TAR FIN'!$A$1:$O$85,15,0))</f>
        <v>0</v>
      </c>
      <c r="W283" s="4">
        <f>IF(ISERROR(VLOOKUP($T$283,'TAR FIN'!$A$1:$O$85,15,0)),0,VLOOKUP($T$283,'TAR FIN'!$A$1:$O$85,15,0))</f>
        <v>274.58999999999997</v>
      </c>
      <c r="X283" s="4">
        <f>IF(ISERROR(VLOOKUP($U$283,'TAR FIN'!$A$1:$O$85,15,0)),0,VLOOKUP($U$283,'TAR FIN'!$A$1:$O$85,15,0))</f>
        <v>262.67</v>
      </c>
      <c r="Y283" s="4"/>
      <c r="Z283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283" s="4">
        <f>('TE BE'!$AB$14+'TE BF'!$AB$14+'TE CVA'!$AB$14)*(1-CUSTOS!$M$36)</f>
        <v>192.39596271961076</v>
      </c>
      <c r="AB283" s="4">
        <f>$K$283*$V$283</f>
        <v>0</v>
      </c>
      <c r="AC283" s="4">
        <f>$M$283*$W$283</f>
        <v>5895.4472999999989</v>
      </c>
      <c r="AD283" s="4">
        <f>$O$283*$X$283</f>
        <v>5639.5249000000003</v>
      </c>
      <c r="AE283" s="4">
        <f>$K$283*$Y$283</f>
        <v>0</v>
      </c>
      <c r="AF283" s="4">
        <f ca="1">$M$283*$Z$283</f>
        <v>6249.4222537792748</v>
      </c>
      <c r="AG283" s="4">
        <f>$O$283*$AA$283</f>
        <v>4130.7413195900426</v>
      </c>
    </row>
    <row r="284" spans="1:33" ht="11.25" customHeight="1" x14ac:dyDescent="0.3">
      <c r="A284" s="3" t="s">
        <v>21</v>
      </c>
      <c r="B284" s="3" t="s">
        <v>22</v>
      </c>
      <c r="C284" s="3" t="s">
        <v>23</v>
      </c>
      <c r="D284" s="3" t="s">
        <v>24</v>
      </c>
      <c r="E284" s="3" t="s">
        <v>30</v>
      </c>
      <c r="F284" s="3" t="s">
        <v>25</v>
      </c>
      <c r="G284" s="3" t="s">
        <v>25</v>
      </c>
      <c r="H284" s="3" t="s">
        <v>25</v>
      </c>
      <c r="I284" s="6">
        <v>44652</v>
      </c>
      <c r="J284" s="4">
        <v>0</v>
      </c>
      <c r="K284" s="4">
        <v>0</v>
      </c>
      <c r="L284" s="4">
        <v>18.599</v>
      </c>
      <c r="M284" s="4">
        <v>18.599</v>
      </c>
      <c r="N284" s="4">
        <v>18.599</v>
      </c>
      <c r="O284" s="4">
        <v>18.599</v>
      </c>
      <c r="P284" s="4">
        <v>161</v>
      </c>
      <c r="Q284" s="3" t="s">
        <v>26</v>
      </c>
      <c r="R284" s="3">
        <v>0</v>
      </c>
      <c r="S284" s="4">
        <v>0</v>
      </c>
      <c r="T284" s="4">
        <v>2</v>
      </c>
      <c r="U284" s="4">
        <v>60</v>
      </c>
      <c r="V284" s="4">
        <f>IF(ISERROR(VLOOKUP($S$284,'TAR FIN'!$A$1:$O$85,15,0)),0,VLOOKUP($S$284,'TAR FIN'!$A$1:$O$85,15,0))</f>
        <v>0</v>
      </c>
      <c r="W284" s="4">
        <f>IF(ISERROR(VLOOKUP($T$284,'TAR FIN'!$A$1:$O$85,15,0)),0,VLOOKUP($T$284,'TAR FIN'!$A$1:$O$85,15,0))</f>
        <v>274.58999999999997</v>
      </c>
      <c r="X284" s="4">
        <f>IF(ISERROR(VLOOKUP($U$284,'TAR FIN'!$A$1:$O$85,15,0)),0,VLOOKUP($U$284,'TAR FIN'!$A$1:$O$85,15,0))</f>
        <v>262.67</v>
      </c>
      <c r="Y284" s="4"/>
      <c r="Z284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284" s="4">
        <f>('TE BE'!$AB$14+'TE BF'!$AB$14+'TE CVA'!$AB$14)*(1-CUSTOS!$M$36)</f>
        <v>192.39596271961076</v>
      </c>
      <c r="AB284" s="4">
        <f>$K$284*$V$284</f>
        <v>0</v>
      </c>
      <c r="AC284" s="4">
        <f>$M$284*$W$284</f>
        <v>5107.0994099999998</v>
      </c>
      <c r="AD284" s="4">
        <f>$O$284*$X$284</f>
        <v>4885.3993300000002</v>
      </c>
      <c r="AE284" s="4">
        <f>$K$284*$Y$284</f>
        <v>0</v>
      </c>
      <c r="AF284" s="4">
        <f ca="1">$M$284*$Z$284</f>
        <v>5413.7403119720884</v>
      </c>
      <c r="AG284" s="4">
        <f>$O$284*$AA$284</f>
        <v>3578.3725106220409</v>
      </c>
    </row>
    <row r="285" spans="1:33" ht="11.25" customHeight="1" x14ac:dyDescent="0.3">
      <c r="A285" s="3" t="s">
        <v>21</v>
      </c>
      <c r="B285" s="3" t="s">
        <v>22</v>
      </c>
      <c r="C285" s="3" t="s">
        <v>23</v>
      </c>
      <c r="D285" s="3" t="s">
        <v>24</v>
      </c>
      <c r="E285" s="3" t="s">
        <v>30</v>
      </c>
      <c r="F285" s="3" t="s">
        <v>25</v>
      </c>
      <c r="G285" s="3" t="s">
        <v>25</v>
      </c>
      <c r="H285" s="3" t="s">
        <v>25</v>
      </c>
      <c r="I285" s="6">
        <v>44682</v>
      </c>
      <c r="J285" s="4">
        <v>0</v>
      </c>
      <c r="K285" s="4">
        <v>0</v>
      </c>
      <c r="L285" s="4">
        <v>19.41</v>
      </c>
      <c r="M285" s="4">
        <v>19.41</v>
      </c>
      <c r="N285" s="4">
        <v>19.41</v>
      </c>
      <c r="O285" s="4">
        <v>19.41</v>
      </c>
      <c r="P285" s="4">
        <v>170</v>
      </c>
      <c r="Q285" s="3" t="s">
        <v>26</v>
      </c>
      <c r="R285" s="3">
        <v>0</v>
      </c>
      <c r="S285" s="4">
        <v>0</v>
      </c>
      <c r="T285" s="4">
        <v>2</v>
      </c>
      <c r="U285" s="4">
        <v>60</v>
      </c>
      <c r="V285" s="4">
        <f>IF(ISERROR(VLOOKUP($S$285,'TAR FIN'!$A$1:$O$85,15,0)),0,VLOOKUP($S$285,'TAR FIN'!$A$1:$O$85,15,0))</f>
        <v>0</v>
      </c>
      <c r="W285" s="4">
        <f>IF(ISERROR(VLOOKUP($T$285,'TAR FIN'!$A$1:$O$85,15,0)),0,VLOOKUP($T$285,'TAR FIN'!$A$1:$O$85,15,0))</f>
        <v>274.58999999999997</v>
      </c>
      <c r="X285" s="4">
        <f>IF(ISERROR(VLOOKUP($U$285,'TAR FIN'!$A$1:$O$85,15,0)),0,VLOOKUP($U$285,'TAR FIN'!$A$1:$O$85,15,0))</f>
        <v>262.67</v>
      </c>
      <c r="Y285" s="4"/>
      <c r="Z285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285" s="4">
        <f>('TE BE'!$AB$14+'TE BF'!$AB$14+'TE CVA'!$AB$14)*(1-CUSTOS!$M$36)</f>
        <v>192.39596271961076</v>
      </c>
      <c r="AB285" s="4">
        <f>$K$285*$V$285</f>
        <v>0</v>
      </c>
      <c r="AC285" s="4">
        <f>$M$285*$W$285</f>
        <v>5329.7918999999993</v>
      </c>
      <c r="AD285" s="4">
        <f>$O$285*$X$285</f>
        <v>5098.4247000000005</v>
      </c>
      <c r="AE285" s="4">
        <f>$K$285*$Y$285</f>
        <v>0</v>
      </c>
      <c r="AF285" s="4">
        <f ca="1">$M$285*$Z$285</f>
        <v>5649.8037236076261</v>
      </c>
      <c r="AG285" s="4">
        <f>$O$285*$AA$285</f>
        <v>3734.4056363876448</v>
      </c>
    </row>
    <row r="286" spans="1:33" ht="11.25" customHeight="1" x14ac:dyDescent="0.3">
      <c r="A286" s="3" t="s">
        <v>21</v>
      </c>
      <c r="B286" s="3" t="s">
        <v>22</v>
      </c>
      <c r="C286" s="3" t="s">
        <v>23</v>
      </c>
      <c r="D286" s="3" t="s">
        <v>24</v>
      </c>
      <c r="E286" s="3" t="s">
        <v>30</v>
      </c>
      <c r="F286" s="3" t="s">
        <v>25</v>
      </c>
      <c r="G286" s="3" t="s">
        <v>25</v>
      </c>
      <c r="H286" s="3" t="s">
        <v>25</v>
      </c>
      <c r="I286" s="6">
        <v>44713</v>
      </c>
      <c r="J286" s="4">
        <v>0</v>
      </c>
      <c r="K286" s="4">
        <v>0</v>
      </c>
      <c r="L286" s="4">
        <v>20.244</v>
      </c>
      <c r="M286" s="4">
        <v>20.244</v>
      </c>
      <c r="N286" s="4">
        <v>20.244</v>
      </c>
      <c r="O286" s="4">
        <v>20.244</v>
      </c>
      <c r="P286" s="4">
        <v>153</v>
      </c>
      <c r="Q286" s="3" t="s">
        <v>26</v>
      </c>
      <c r="R286" s="3">
        <v>0</v>
      </c>
      <c r="S286" s="4">
        <v>0</v>
      </c>
      <c r="T286" s="4">
        <v>2</v>
      </c>
      <c r="U286" s="4">
        <v>60</v>
      </c>
      <c r="V286" s="4">
        <f>IF(ISERROR(VLOOKUP($S$286,'TAR FIN'!$A$1:$O$85,15,0)),0,VLOOKUP($S$286,'TAR FIN'!$A$1:$O$85,15,0))</f>
        <v>0</v>
      </c>
      <c r="W286" s="4">
        <f>IF(ISERROR(VLOOKUP($T$286,'TAR FIN'!$A$1:$O$85,15,0)),0,VLOOKUP($T$286,'TAR FIN'!$A$1:$O$85,15,0))</f>
        <v>274.58999999999997</v>
      </c>
      <c r="X286" s="4">
        <f>IF(ISERROR(VLOOKUP($U$286,'TAR FIN'!$A$1:$O$85,15,0)),0,VLOOKUP($U$286,'TAR FIN'!$A$1:$O$85,15,0))</f>
        <v>262.67</v>
      </c>
      <c r="Y286" s="4"/>
      <c r="Z286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286" s="4">
        <f>('TE BE'!$AB$14+'TE BF'!$AB$14+'TE CVA'!$AB$14)*(1-CUSTOS!$M$36)</f>
        <v>192.39596271961076</v>
      </c>
      <c r="AB286" s="4">
        <f>$K$286*$V$286</f>
        <v>0</v>
      </c>
      <c r="AC286" s="4">
        <f>$M$286*$W$286</f>
        <v>5558.7999599999994</v>
      </c>
      <c r="AD286" s="4">
        <f>$O$286*$X$286</f>
        <v>5317.4914800000006</v>
      </c>
      <c r="AE286" s="4">
        <f>$K$286*$Y$286</f>
        <v>0</v>
      </c>
      <c r="AF286" s="4">
        <f ca="1">$M$286*$Z$286</f>
        <v>5892.5619052402253</v>
      </c>
      <c r="AG286" s="4">
        <f>$O$286*$AA$286</f>
        <v>3894.8638692958002</v>
      </c>
    </row>
    <row r="287" spans="1:33" ht="11.25" customHeight="1" x14ac:dyDescent="0.3">
      <c r="A287" s="3" t="s">
        <v>21</v>
      </c>
      <c r="B287" s="3" t="s">
        <v>22</v>
      </c>
      <c r="C287" s="3" t="s">
        <v>23</v>
      </c>
      <c r="D287" s="3" t="s">
        <v>24</v>
      </c>
      <c r="E287" s="3" t="s">
        <v>30</v>
      </c>
      <c r="F287" s="3" t="s">
        <v>25</v>
      </c>
      <c r="G287" s="3" t="s">
        <v>25</v>
      </c>
      <c r="H287" s="3" t="s">
        <v>25</v>
      </c>
      <c r="I287" s="6">
        <v>44743</v>
      </c>
      <c r="J287" s="4">
        <v>0</v>
      </c>
      <c r="K287" s="4">
        <v>0</v>
      </c>
      <c r="L287" s="4">
        <v>17.539000000000001</v>
      </c>
      <c r="M287" s="4">
        <v>17.539000000000001</v>
      </c>
      <c r="N287" s="4">
        <v>17.539000000000001</v>
      </c>
      <c r="O287" s="4">
        <v>17.539000000000001</v>
      </c>
      <c r="P287" s="4">
        <v>123</v>
      </c>
      <c r="Q287" s="3" t="s">
        <v>26</v>
      </c>
      <c r="R287" s="3">
        <v>0</v>
      </c>
      <c r="S287" s="4">
        <v>0</v>
      </c>
      <c r="T287" s="4">
        <v>2</v>
      </c>
      <c r="U287" s="4">
        <v>60</v>
      </c>
      <c r="V287" s="4">
        <f>IF(ISERROR(VLOOKUP($S$287,'TAR FIN'!$A$1:$O$85,15,0)),0,VLOOKUP($S$287,'TAR FIN'!$A$1:$O$85,15,0))</f>
        <v>0</v>
      </c>
      <c r="W287" s="4">
        <f>IF(ISERROR(VLOOKUP($T$287,'TAR FIN'!$A$1:$O$85,15,0)),0,VLOOKUP($T$287,'TAR FIN'!$A$1:$O$85,15,0))</f>
        <v>274.58999999999997</v>
      </c>
      <c r="X287" s="4">
        <f>IF(ISERROR(VLOOKUP($U$287,'TAR FIN'!$A$1:$O$85,15,0)),0,VLOOKUP($U$287,'TAR FIN'!$A$1:$O$85,15,0))</f>
        <v>262.67</v>
      </c>
      <c r="Y287" s="4"/>
      <c r="Z287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287" s="4">
        <f>('TE BE'!$AB$14+'TE BF'!$AB$14+'TE CVA'!$AB$14)*(1-CUSTOS!$M$36)</f>
        <v>192.39596271961076</v>
      </c>
      <c r="AB287" s="4">
        <f>$K$287*$V$287</f>
        <v>0</v>
      </c>
      <c r="AC287" s="4">
        <f>$M$287*$W$287</f>
        <v>4816.0340100000003</v>
      </c>
      <c r="AD287" s="4">
        <f>$O$287*$X$287</f>
        <v>4606.9691300000004</v>
      </c>
      <c r="AE287" s="4">
        <f>$K$287*$Y$287</f>
        <v>0</v>
      </c>
      <c r="AF287" s="4">
        <f ca="1">$M$287*$Z$287</f>
        <v>5105.1987381944436</v>
      </c>
      <c r="AG287" s="4">
        <f>$O$287*$AA$287</f>
        <v>3374.4327901392535</v>
      </c>
    </row>
    <row r="288" spans="1:33" ht="11.25" customHeight="1" x14ac:dyDescent="0.3">
      <c r="A288" s="3" t="s">
        <v>53</v>
      </c>
      <c r="B288" s="3" t="s">
        <v>22</v>
      </c>
      <c r="C288" s="3" t="s">
        <v>23</v>
      </c>
      <c r="D288" s="3" t="s">
        <v>24</v>
      </c>
      <c r="E288" s="3" t="s">
        <v>30</v>
      </c>
      <c r="F288" s="3" t="s">
        <v>25</v>
      </c>
      <c r="G288" s="3" t="s">
        <v>25</v>
      </c>
      <c r="H288" s="3" t="s">
        <v>25</v>
      </c>
      <c r="I288" s="6">
        <v>44774</v>
      </c>
      <c r="J288" s="4">
        <v>0</v>
      </c>
      <c r="K288" s="4">
        <v>0</v>
      </c>
      <c r="L288" s="4">
        <v>17.539000000000001</v>
      </c>
      <c r="M288" s="4">
        <v>17.539000000000001</v>
      </c>
      <c r="N288" s="4">
        <v>17.539000000000001</v>
      </c>
      <c r="O288" s="4">
        <v>17.539000000000001</v>
      </c>
      <c r="P288" s="4">
        <v>123</v>
      </c>
      <c r="Q288" s="3" t="s">
        <v>26</v>
      </c>
      <c r="R288" s="3">
        <v>0</v>
      </c>
      <c r="S288" s="4">
        <v>0</v>
      </c>
      <c r="T288" s="4">
        <v>2</v>
      </c>
      <c r="U288" s="4">
        <v>60</v>
      </c>
      <c r="V288" s="4">
        <f>IF(ISERROR(VLOOKUP($S$288,'TAR FIN'!$A$1:$O$85,15,0)),0,VLOOKUP($S$288,'TAR FIN'!$A$1:$O$85,15,0))</f>
        <v>0</v>
      </c>
      <c r="W288" s="4">
        <f>IF(ISERROR(VLOOKUP($T$288,'TAR FIN'!$A$1:$O$85,15,0)),0,VLOOKUP($T$288,'TAR FIN'!$A$1:$O$85,15,0))</f>
        <v>274.58999999999997</v>
      </c>
      <c r="X288" s="4">
        <f>IF(ISERROR(VLOOKUP($U$288,'TAR FIN'!$A$1:$O$85,15,0)),0,VLOOKUP($U$288,'TAR FIN'!$A$1:$O$85,15,0))</f>
        <v>262.67</v>
      </c>
      <c r="Y288" s="4"/>
      <c r="Z288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288" s="4">
        <f>('TE BE'!$AB$14+'TE BF'!$AB$14+'TE CVA'!$AB$14)*(1-CUSTOS!$M$36)</f>
        <v>192.39596271961076</v>
      </c>
      <c r="AB288" s="4">
        <f>$K$288*$V$288</f>
        <v>0</v>
      </c>
      <c r="AC288" s="4">
        <f>$M$288*$W$288</f>
        <v>4816.0340100000003</v>
      </c>
      <c r="AD288" s="4">
        <f>$O$288*$X$288</f>
        <v>4606.9691300000004</v>
      </c>
      <c r="AE288" s="4">
        <f>$K$288*$Y$288</f>
        <v>0</v>
      </c>
      <c r="AF288" s="4">
        <f ca="1">$M$288*$Z$288</f>
        <v>5105.1987381944436</v>
      </c>
      <c r="AG288" s="4">
        <f>$O$288*$AA$288</f>
        <v>3374.4327901392535</v>
      </c>
    </row>
    <row r="289" spans="1:33" ht="11.25" customHeight="1" x14ac:dyDescent="0.3">
      <c r="A289" s="3" t="s">
        <v>21</v>
      </c>
      <c r="B289" s="3" t="s">
        <v>22</v>
      </c>
      <c r="C289" s="3" t="s">
        <v>23</v>
      </c>
      <c r="D289" s="3" t="s">
        <v>24</v>
      </c>
      <c r="E289" s="3" t="s">
        <v>31</v>
      </c>
      <c r="F289" s="3" t="s">
        <v>25</v>
      </c>
      <c r="G289" s="3" t="s">
        <v>25</v>
      </c>
      <c r="H289" s="3" t="s">
        <v>25</v>
      </c>
      <c r="I289" s="6">
        <v>44440</v>
      </c>
      <c r="J289" s="4">
        <v>0</v>
      </c>
      <c r="K289" s="4">
        <v>0</v>
      </c>
      <c r="L289" s="4">
        <v>3.452</v>
      </c>
      <c r="M289" s="4">
        <v>3.452</v>
      </c>
      <c r="N289" s="4">
        <v>3.452</v>
      </c>
      <c r="O289" s="4">
        <v>3.452</v>
      </c>
      <c r="P289" s="4">
        <v>53</v>
      </c>
      <c r="Q289" s="3" t="s">
        <v>26</v>
      </c>
      <c r="R289" s="3">
        <v>0</v>
      </c>
      <c r="S289" s="4">
        <v>0</v>
      </c>
      <c r="T289" s="4">
        <v>6</v>
      </c>
      <c r="U289" s="4">
        <v>54</v>
      </c>
      <c r="V289" s="4">
        <f>IF(ISERROR(VLOOKUP($S$289,'TAR FIN'!$A$1:$O$85,15,0)),0,VLOOKUP($S$289,'TAR FIN'!$A$1:$O$85,15,0))</f>
        <v>0</v>
      </c>
      <c r="W289" s="4">
        <f>IF(ISERROR(VLOOKUP($T$289,'TAR FIN'!$A$1:$O$85,15,0)),0,VLOOKUP($T$289,'TAR FIN'!$A$1:$O$85,15,0))</f>
        <v>305.10000000000002</v>
      </c>
      <c r="X289" s="4">
        <f>IF(ISERROR(VLOOKUP($U$289,'TAR FIN'!$A$1:$O$85,15,0)),0,VLOOKUP($U$289,'TAR FIN'!$A$1:$O$85,15,0))</f>
        <v>291.85000000000002</v>
      </c>
      <c r="Y289" s="4"/>
      <c r="Z289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289" s="4">
        <f>('TE BE'!$AB$15+'TE BF'!$AB$15+'TE CVA'!$AB$15)*(1-CUSTOS!$M$37)</f>
        <v>213.77329191067864</v>
      </c>
      <c r="AB289" s="4">
        <f>$K$289*$V$289</f>
        <v>0</v>
      </c>
      <c r="AC289" s="4">
        <f>$M$289*$W$289</f>
        <v>1053.2052000000001</v>
      </c>
      <c r="AD289" s="4">
        <f>$O$289*$X$289</f>
        <v>1007.4662000000001</v>
      </c>
      <c r="AE289" s="4">
        <f>$K$289*$Y$289</f>
        <v>0</v>
      </c>
      <c r="AF289" s="4">
        <f ca="1">$M$289*$Z$289</f>
        <v>1116.4418371912257</v>
      </c>
      <c r="AG289" s="4">
        <f>$O$289*$AA$289</f>
        <v>737.94540367566265</v>
      </c>
    </row>
    <row r="290" spans="1:33" ht="11.25" customHeight="1" x14ac:dyDescent="0.3">
      <c r="A290" s="3" t="s">
        <v>21</v>
      </c>
      <c r="B290" s="3" t="s">
        <v>22</v>
      </c>
      <c r="C290" s="3" t="s">
        <v>23</v>
      </c>
      <c r="D290" s="3" t="s">
        <v>24</v>
      </c>
      <c r="E290" s="3" t="s">
        <v>31</v>
      </c>
      <c r="F290" s="3" t="s">
        <v>25</v>
      </c>
      <c r="G290" s="3" t="s">
        <v>25</v>
      </c>
      <c r="H290" s="3" t="s">
        <v>25</v>
      </c>
      <c r="I290" s="6">
        <v>44470</v>
      </c>
      <c r="J290" s="4">
        <v>0</v>
      </c>
      <c r="K290" s="4">
        <v>0</v>
      </c>
      <c r="L290" s="4">
        <v>4.0410000000000004</v>
      </c>
      <c r="M290" s="4">
        <v>4.0410000000000004</v>
      </c>
      <c r="N290" s="4">
        <v>4.0410000000000004</v>
      </c>
      <c r="O290" s="4">
        <v>4.0410000000000004</v>
      </c>
      <c r="P290" s="4">
        <v>57</v>
      </c>
      <c r="Q290" s="3" t="s">
        <v>26</v>
      </c>
      <c r="R290" s="3">
        <v>0</v>
      </c>
      <c r="S290" s="4">
        <v>0</v>
      </c>
      <c r="T290" s="4">
        <v>6</v>
      </c>
      <c r="U290" s="4">
        <v>54</v>
      </c>
      <c r="V290" s="4">
        <f>IF(ISERROR(VLOOKUP($S$290,'TAR FIN'!$A$1:$O$85,15,0)),0,VLOOKUP($S$290,'TAR FIN'!$A$1:$O$85,15,0))</f>
        <v>0</v>
      </c>
      <c r="W290" s="4">
        <f>IF(ISERROR(VLOOKUP($T$290,'TAR FIN'!$A$1:$O$85,15,0)),0,VLOOKUP($T$290,'TAR FIN'!$A$1:$O$85,15,0))</f>
        <v>305.10000000000002</v>
      </c>
      <c r="X290" s="4">
        <f>IF(ISERROR(VLOOKUP($U$290,'TAR FIN'!$A$1:$O$85,15,0)),0,VLOOKUP($U$290,'TAR FIN'!$A$1:$O$85,15,0))</f>
        <v>291.85000000000002</v>
      </c>
      <c r="Y290" s="4"/>
      <c r="Z290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290" s="4">
        <f>('TE BE'!$AB$15+'TE BF'!$AB$15+'TE CVA'!$AB$15)*(1-CUSTOS!$M$37)</f>
        <v>213.77329191067864</v>
      </c>
      <c r="AB290" s="4">
        <f>$K$290*$V$290</f>
        <v>0</v>
      </c>
      <c r="AC290" s="4">
        <f>$M$290*$W$290</f>
        <v>1232.9091000000003</v>
      </c>
      <c r="AD290" s="4">
        <f>$O$290*$X$290</f>
        <v>1179.3658500000001</v>
      </c>
      <c r="AE290" s="4">
        <f>$K$290*$Y$290</f>
        <v>0</v>
      </c>
      <c r="AF290" s="4">
        <f ca="1">$M$290*$Z$290</f>
        <v>1306.9355342090798</v>
      </c>
      <c r="AG290" s="4">
        <f>$O$290*$AA$290</f>
        <v>863.85787261105247</v>
      </c>
    </row>
    <row r="291" spans="1:33" ht="11.25" customHeight="1" x14ac:dyDescent="0.3">
      <c r="A291" s="3" t="s">
        <v>21</v>
      </c>
      <c r="B291" s="3" t="s">
        <v>22</v>
      </c>
      <c r="C291" s="3" t="s">
        <v>23</v>
      </c>
      <c r="D291" s="3" t="s">
        <v>24</v>
      </c>
      <c r="E291" s="3" t="s">
        <v>31</v>
      </c>
      <c r="F291" s="3" t="s">
        <v>25</v>
      </c>
      <c r="G291" s="3" t="s">
        <v>25</v>
      </c>
      <c r="H291" s="3" t="s">
        <v>25</v>
      </c>
      <c r="I291" s="6">
        <v>44501</v>
      </c>
      <c r="J291" s="4">
        <v>0</v>
      </c>
      <c r="K291" s="4">
        <v>0</v>
      </c>
      <c r="L291" s="4">
        <v>4.5439999999999996</v>
      </c>
      <c r="M291" s="4">
        <v>4.5439999999999996</v>
      </c>
      <c r="N291" s="4">
        <v>4.5439999999999996</v>
      </c>
      <c r="O291" s="4">
        <v>4.5439999999999996</v>
      </c>
      <c r="P291" s="4">
        <v>59</v>
      </c>
      <c r="Q291" s="3" t="s">
        <v>26</v>
      </c>
      <c r="R291" s="3">
        <v>0</v>
      </c>
      <c r="S291" s="4">
        <v>0</v>
      </c>
      <c r="T291" s="4">
        <v>6</v>
      </c>
      <c r="U291" s="4">
        <v>54</v>
      </c>
      <c r="V291" s="4">
        <f>IF(ISERROR(VLOOKUP($S$291,'TAR FIN'!$A$1:$O$85,15,0)),0,VLOOKUP($S$291,'TAR FIN'!$A$1:$O$85,15,0))</f>
        <v>0</v>
      </c>
      <c r="W291" s="4">
        <f>IF(ISERROR(VLOOKUP($T$291,'TAR FIN'!$A$1:$O$85,15,0)),0,VLOOKUP($T$291,'TAR FIN'!$A$1:$O$85,15,0))</f>
        <v>305.10000000000002</v>
      </c>
      <c r="X291" s="4">
        <f>IF(ISERROR(VLOOKUP($U$291,'TAR FIN'!$A$1:$O$85,15,0)),0,VLOOKUP($U$291,'TAR FIN'!$A$1:$O$85,15,0))</f>
        <v>291.85000000000002</v>
      </c>
      <c r="Y291" s="4"/>
      <c r="Z291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291" s="4">
        <f>('TE BE'!$AB$15+'TE BF'!$AB$15+'TE CVA'!$AB$15)*(1-CUSTOS!$M$37)</f>
        <v>213.77329191067864</v>
      </c>
      <c r="AB291" s="4">
        <f>$K$291*$V$291</f>
        <v>0</v>
      </c>
      <c r="AC291" s="4">
        <f>$M$291*$W$291</f>
        <v>1386.3743999999999</v>
      </c>
      <c r="AD291" s="4">
        <f>$O$291*$X$291</f>
        <v>1326.1664000000001</v>
      </c>
      <c r="AE291" s="4">
        <f>$K$291*$Y$291</f>
        <v>0</v>
      </c>
      <c r="AF291" s="4">
        <f ca="1">$M$291*$Z$291</f>
        <v>1469.6152109492841</v>
      </c>
      <c r="AG291" s="4">
        <f>$O$291*$AA$291</f>
        <v>971.3858384421236</v>
      </c>
    </row>
    <row r="292" spans="1:33" ht="11.25" customHeight="1" x14ac:dyDescent="0.3">
      <c r="A292" s="3" t="s">
        <v>21</v>
      </c>
      <c r="B292" s="3" t="s">
        <v>22</v>
      </c>
      <c r="C292" s="3" t="s">
        <v>23</v>
      </c>
      <c r="D292" s="3" t="s">
        <v>24</v>
      </c>
      <c r="E292" s="3" t="s">
        <v>31</v>
      </c>
      <c r="F292" s="3" t="s">
        <v>25</v>
      </c>
      <c r="G292" s="3" t="s">
        <v>25</v>
      </c>
      <c r="H292" s="3" t="s">
        <v>25</v>
      </c>
      <c r="I292" s="6">
        <v>44531</v>
      </c>
      <c r="J292" s="4">
        <v>0</v>
      </c>
      <c r="K292" s="4">
        <v>0</v>
      </c>
      <c r="L292" s="4">
        <v>2.8109999999999999</v>
      </c>
      <c r="M292" s="4">
        <v>2.8109999999999999</v>
      </c>
      <c r="N292" s="4">
        <v>2.8109999999999999</v>
      </c>
      <c r="O292" s="4">
        <v>2.8109999999999999</v>
      </c>
      <c r="P292" s="4">
        <v>48</v>
      </c>
      <c r="Q292" s="3" t="s">
        <v>26</v>
      </c>
      <c r="R292" s="3">
        <v>0</v>
      </c>
      <c r="S292" s="4">
        <v>0</v>
      </c>
      <c r="T292" s="4">
        <v>6</v>
      </c>
      <c r="U292" s="4">
        <v>54</v>
      </c>
      <c r="V292" s="4">
        <f>IF(ISERROR(VLOOKUP($S$292,'TAR FIN'!$A$1:$O$85,15,0)),0,VLOOKUP($S$292,'TAR FIN'!$A$1:$O$85,15,0))</f>
        <v>0</v>
      </c>
      <c r="W292" s="4">
        <f>IF(ISERROR(VLOOKUP($T$292,'TAR FIN'!$A$1:$O$85,15,0)),0,VLOOKUP($T$292,'TAR FIN'!$A$1:$O$85,15,0))</f>
        <v>305.10000000000002</v>
      </c>
      <c r="X292" s="4">
        <f>IF(ISERROR(VLOOKUP($U$292,'TAR FIN'!$A$1:$O$85,15,0)),0,VLOOKUP($U$292,'TAR FIN'!$A$1:$O$85,15,0))</f>
        <v>291.85000000000002</v>
      </c>
      <c r="Y292" s="4"/>
      <c r="Z292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292" s="4">
        <f>('TE BE'!$AB$15+'TE BF'!$AB$15+'TE CVA'!$AB$15)*(1-CUSTOS!$M$37)</f>
        <v>213.77329191067864</v>
      </c>
      <c r="AB292" s="4">
        <f>$K$292*$V$292</f>
        <v>0</v>
      </c>
      <c r="AC292" s="4">
        <f>$M$292*$W$292</f>
        <v>857.63610000000006</v>
      </c>
      <c r="AD292" s="4">
        <f>$O$292*$X$292</f>
        <v>820.39035000000001</v>
      </c>
      <c r="AE292" s="4">
        <f>$K$292*$Y$292</f>
        <v>0</v>
      </c>
      <c r="AF292" s="4">
        <f ca="1">$M$292*$Z$292</f>
        <v>909.130360470607</v>
      </c>
      <c r="AG292" s="4">
        <f>$O$292*$AA$292</f>
        <v>600.9167235609176</v>
      </c>
    </row>
    <row r="293" spans="1:33" ht="11.25" customHeight="1" x14ac:dyDescent="0.3">
      <c r="A293" s="3" t="s">
        <v>21</v>
      </c>
      <c r="B293" s="3" t="s">
        <v>22</v>
      </c>
      <c r="C293" s="3" t="s">
        <v>23</v>
      </c>
      <c r="D293" s="3" t="s">
        <v>24</v>
      </c>
      <c r="E293" s="3" t="s">
        <v>31</v>
      </c>
      <c r="F293" s="3" t="s">
        <v>25</v>
      </c>
      <c r="G293" s="3" t="s">
        <v>25</v>
      </c>
      <c r="H293" s="3" t="s">
        <v>25</v>
      </c>
      <c r="I293" s="6">
        <v>44562</v>
      </c>
      <c r="J293" s="4">
        <v>0</v>
      </c>
      <c r="K293" s="4">
        <v>0</v>
      </c>
      <c r="L293" s="4">
        <v>4.9960000000000004</v>
      </c>
      <c r="M293" s="4">
        <v>4.9960000000000004</v>
      </c>
      <c r="N293" s="4">
        <v>4.9960000000000004</v>
      </c>
      <c r="O293" s="4">
        <v>4.9960000000000004</v>
      </c>
      <c r="P293" s="4">
        <v>61</v>
      </c>
      <c r="Q293" s="3" t="s">
        <v>26</v>
      </c>
      <c r="R293" s="3">
        <v>0</v>
      </c>
      <c r="S293" s="4">
        <v>0</v>
      </c>
      <c r="T293" s="4">
        <v>6</v>
      </c>
      <c r="U293" s="4">
        <v>54</v>
      </c>
      <c r="V293" s="4">
        <f>IF(ISERROR(VLOOKUP($S$293,'TAR FIN'!$A$1:$O$85,15,0)),0,VLOOKUP($S$293,'TAR FIN'!$A$1:$O$85,15,0))</f>
        <v>0</v>
      </c>
      <c r="W293" s="4">
        <f>IF(ISERROR(VLOOKUP($T$293,'TAR FIN'!$A$1:$O$85,15,0)),0,VLOOKUP($T$293,'TAR FIN'!$A$1:$O$85,15,0))</f>
        <v>305.10000000000002</v>
      </c>
      <c r="X293" s="4">
        <f>IF(ISERROR(VLOOKUP($U$293,'TAR FIN'!$A$1:$O$85,15,0)),0,VLOOKUP($U$293,'TAR FIN'!$A$1:$O$85,15,0))</f>
        <v>291.85000000000002</v>
      </c>
      <c r="Y293" s="4"/>
      <c r="Z293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293" s="4">
        <f>('TE BE'!$AB$15+'TE BF'!$AB$15+'TE CVA'!$AB$15)*(1-CUSTOS!$M$37)</f>
        <v>213.77329191067864</v>
      </c>
      <c r="AB293" s="4">
        <f>$K$293*$V$293</f>
        <v>0</v>
      </c>
      <c r="AC293" s="4">
        <f>$M$293*$W$293</f>
        <v>1524.2796000000003</v>
      </c>
      <c r="AD293" s="4">
        <f>$O$293*$X$293</f>
        <v>1458.0826000000002</v>
      </c>
      <c r="AE293" s="4">
        <f>$K$293*$Y$293</f>
        <v>0</v>
      </c>
      <c r="AF293" s="4">
        <f ca="1">$M$293*$Z$293</f>
        <v>1615.8005268271622</v>
      </c>
      <c r="AG293" s="4">
        <f>$O$293*$AA$293</f>
        <v>1068.0113663857505</v>
      </c>
    </row>
    <row r="294" spans="1:33" ht="11.25" customHeight="1" x14ac:dyDescent="0.3">
      <c r="A294" s="3" t="s">
        <v>21</v>
      </c>
      <c r="B294" s="3" t="s">
        <v>22</v>
      </c>
      <c r="C294" s="3" t="s">
        <v>23</v>
      </c>
      <c r="D294" s="3" t="s">
        <v>24</v>
      </c>
      <c r="E294" s="3" t="s">
        <v>31</v>
      </c>
      <c r="F294" s="3" t="s">
        <v>25</v>
      </c>
      <c r="G294" s="3" t="s">
        <v>25</v>
      </c>
      <c r="H294" s="3" t="s">
        <v>25</v>
      </c>
      <c r="I294" s="6">
        <v>44593</v>
      </c>
      <c r="J294" s="4">
        <v>0</v>
      </c>
      <c r="K294" s="4">
        <v>0</v>
      </c>
      <c r="L294" s="4">
        <v>16.841000000000001</v>
      </c>
      <c r="M294" s="4">
        <v>16.841000000000001</v>
      </c>
      <c r="N294" s="4">
        <v>16.841000000000001</v>
      </c>
      <c r="O294" s="4">
        <v>16.841000000000001</v>
      </c>
      <c r="P294" s="4">
        <v>130</v>
      </c>
      <c r="Q294" s="3" t="s">
        <v>26</v>
      </c>
      <c r="R294" s="3">
        <v>0</v>
      </c>
      <c r="S294" s="4">
        <v>0</v>
      </c>
      <c r="T294" s="4">
        <v>6</v>
      </c>
      <c r="U294" s="4">
        <v>54</v>
      </c>
      <c r="V294" s="4">
        <f>IF(ISERROR(VLOOKUP($S$294,'TAR FIN'!$A$1:$O$85,15,0)),0,VLOOKUP($S$294,'TAR FIN'!$A$1:$O$85,15,0))</f>
        <v>0</v>
      </c>
      <c r="W294" s="4">
        <f>IF(ISERROR(VLOOKUP($T$294,'TAR FIN'!$A$1:$O$85,15,0)),0,VLOOKUP($T$294,'TAR FIN'!$A$1:$O$85,15,0))</f>
        <v>305.10000000000002</v>
      </c>
      <c r="X294" s="4">
        <f>IF(ISERROR(VLOOKUP($U$294,'TAR FIN'!$A$1:$O$85,15,0)),0,VLOOKUP($U$294,'TAR FIN'!$A$1:$O$85,15,0))</f>
        <v>291.85000000000002</v>
      </c>
      <c r="Y294" s="4"/>
      <c r="Z294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294" s="4">
        <f>('TE BE'!$AB$15+'TE BF'!$AB$15+'TE CVA'!$AB$15)*(1-CUSTOS!$M$37)</f>
        <v>213.77329191067864</v>
      </c>
      <c r="AB294" s="4">
        <f>$K$294*$V$294</f>
        <v>0</v>
      </c>
      <c r="AC294" s="4">
        <f>$M$294*$W$294</f>
        <v>5138.1891000000005</v>
      </c>
      <c r="AD294" s="4">
        <f>$O$294*$X$294</f>
        <v>4915.0458500000004</v>
      </c>
      <c r="AE294" s="4">
        <f>$K$294*$Y$294</f>
        <v>0</v>
      </c>
      <c r="AF294" s="4">
        <f ca="1">$M$294*$Z$294</f>
        <v>5446.6966918126982</v>
      </c>
      <c r="AG294" s="4">
        <f>$O$294*$AA$294</f>
        <v>3600.156009067739</v>
      </c>
    </row>
    <row r="295" spans="1:33" ht="11.25" customHeight="1" x14ac:dyDescent="0.3">
      <c r="A295" s="3" t="s">
        <v>21</v>
      </c>
      <c r="B295" s="3" t="s">
        <v>22</v>
      </c>
      <c r="C295" s="3" t="s">
        <v>23</v>
      </c>
      <c r="D295" s="3" t="s">
        <v>24</v>
      </c>
      <c r="E295" s="3" t="s">
        <v>31</v>
      </c>
      <c r="F295" s="3" t="s">
        <v>25</v>
      </c>
      <c r="G295" s="3" t="s">
        <v>25</v>
      </c>
      <c r="H295" s="3" t="s">
        <v>25</v>
      </c>
      <c r="I295" s="6">
        <v>44621</v>
      </c>
      <c r="J295" s="4">
        <v>0</v>
      </c>
      <c r="K295" s="4">
        <v>0</v>
      </c>
      <c r="L295" s="4">
        <v>11.708</v>
      </c>
      <c r="M295" s="4">
        <v>11.708</v>
      </c>
      <c r="N295" s="4">
        <v>11.708</v>
      </c>
      <c r="O295" s="4">
        <v>11.708</v>
      </c>
      <c r="P295" s="4">
        <v>110</v>
      </c>
      <c r="Q295" s="3" t="s">
        <v>26</v>
      </c>
      <c r="R295" s="3">
        <v>0</v>
      </c>
      <c r="S295" s="4">
        <v>0</v>
      </c>
      <c r="T295" s="4">
        <v>6</v>
      </c>
      <c r="U295" s="4">
        <v>54</v>
      </c>
      <c r="V295" s="4">
        <f>IF(ISERROR(VLOOKUP($S$295,'TAR FIN'!$A$1:$O$85,15,0)),0,VLOOKUP($S$295,'TAR FIN'!$A$1:$O$85,15,0))</f>
        <v>0</v>
      </c>
      <c r="W295" s="4">
        <f>IF(ISERROR(VLOOKUP($T$295,'TAR FIN'!$A$1:$O$85,15,0)),0,VLOOKUP($T$295,'TAR FIN'!$A$1:$O$85,15,0))</f>
        <v>305.10000000000002</v>
      </c>
      <c r="X295" s="4">
        <f>IF(ISERROR(VLOOKUP($U$295,'TAR FIN'!$A$1:$O$85,15,0)),0,VLOOKUP($U$295,'TAR FIN'!$A$1:$O$85,15,0))</f>
        <v>291.85000000000002</v>
      </c>
      <c r="Y295" s="4"/>
      <c r="Z295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295" s="4">
        <f>('TE BE'!$AB$15+'TE BF'!$AB$15+'TE CVA'!$AB$15)*(1-CUSTOS!$M$37)</f>
        <v>213.77329191067864</v>
      </c>
      <c r="AB295" s="4">
        <f>$K$295*$V$295</f>
        <v>0</v>
      </c>
      <c r="AC295" s="4">
        <f>$M$295*$W$295</f>
        <v>3572.1108000000004</v>
      </c>
      <c r="AD295" s="4">
        <f>$O$295*$X$295</f>
        <v>3416.9798000000005</v>
      </c>
      <c r="AE295" s="4">
        <f>$K$295*$Y$295</f>
        <v>0</v>
      </c>
      <c r="AF295" s="4">
        <f ca="1">$M$295*$Z$295</f>
        <v>3786.5877838455594</v>
      </c>
      <c r="AG295" s="4">
        <f>$O$295*$AA$295</f>
        <v>2502.8577016902254</v>
      </c>
    </row>
    <row r="296" spans="1:33" ht="11.25" customHeight="1" x14ac:dyDescent="0.3">
      <c r="A296" s="3" t="s">
        <v>21</v>
      </c>
      <c r="B296" s="3" t="s">
        <v>22</v>
      </c>
      <c r="C296" s="3" t="s">
        <v>23</v>
      </c>
      <c r="D296" s="3" t="s">
        <v>24</v>
      </c>
      <c r="E296" s="3" t="s">
        <v>31</v>
      </c>
      <c r="F296" s="3" t="s">
        <v>25</v>
      </c>
      <c r="G296" s="3" t="s">
        <v>25</v>
      </c>
      <c r="H296" s="3" t="s">
        <v>25</v>
      </c>
      <c r="I296" s="6">
        <v>44652</v>
      </c>
      <c r="J296" s="4">
        <v>0</v>
      </c>
      <c r="K296" s="4">
        <v>0</v>
      </c>
      <c r="L296" s="4">
        <v>5.2409999999999997</v>
      </c>
      <c r="M296" s="4">
        <v>5.2409999999999997</v>
      </c>
      <c r="N296" s="4">
        <v>5.2409999999999997</v>
      </c>
      <c r="O296" s="4">
        <v>5.2409999999999997</v>
      </c>
      <c r="P296" s="4">
        <v>74</v>
      </c>
      <c r="Q296" s="3" t="s">
        <v>26</v>
      </c>
      <c r="R296" s="3">
        <v>0</v>
      </c>
      <c r="S296" s="4">
        <v>0</v>
      </c>
      <c r="T296" s="4">
        <v>6</v>
      </c>
      <c r="U296" s="4">
        <v>54</v>
      </c>
      <c r="V296" s="4">
        <f>IF(ISERROR(VLOOKUP($S$296,'TAR FIN'!$A$1:$O$85,15,0)),0,VLOOKUP($S$296,'TAR FIN'!$A$1:$O$85,15,0))</f>
        <v>0</v>
      </c>
      <c r="W296" s="4">
        <f>IF(ISERROR(VLOOKUP($T$296,'TAR FIN'!$A$1:$O$85,15,0)),0,VLOOKUP($T$296,'TAR FIN'!$A$1:$O$85,15,0))</f>
        <v>305.10000000000002</v>
      </c>
      <c r="X296" s="4">
        <f>IF(ISERROR(VLOOKUP($U$296,'TAR FIN'!$A$1:$O$85,15,0)),0,VLOOKUP($U$296,'TAR FIN'!$A$1:$O$85,15,0))</f>
        <v>291.85000000000002</v>
      </c>
      <c r="Y296" s="4"/>
      <c r="Z296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296" s="4">
        <f>('TE BE'!$AB$15+'TE BF'!$AB$15+'TE CVA'!$AB$15)*(1-CUSTOS!$M$37)</f>
        <v>213.77329191067864</v>
      </c>
      <c r="AB296" s="4">
        <f>$K$296*$V$296</f>
        <v>0</v>
      </c>
      <c r="AC296" s="4">
        <f>$M$296*$W$296</f>
        <v>1599.0291</v>
      </c>
      <c r="AD296" s="4">
        <f>$O$296*$X$296</f>
        <v>1529.5858499999999</v>
      </c>
      <c r="AE296" s="4">
        <f>$K$296*$Y$296</f>
        <v>0</v>
      </c>
      <c r="AF296" s="4">
        <f ca="1">$M$296*$Z$296</f>
        <v>1695.0381427344187</v>
      </c>
      <c r="AG296" s="4">
        <f>$O$296*$AA$296</f>
        <v>1120.3858229038667</v>
      </c>
    </row>
    <row r="297" spans="1:33" ht="11.25" customHeight="1" x14ac:dyDescent="0.3">
      <c r="A297" s="3" t="s">
        <v>21</v>
      </c>
      <c r="B297" s="3" t="s">
        <v>22</v>
      </c>
      <c r="C297" s="3" t="s">
        <v>23</v>
      </c>
      <c r="D297" s="3" t="s">
        <v>24</v>
      </c>
      <c r="E297" s="3" t="s">
        <v>31</v>
      </c>
      <c r="F297" s="3" t="s">
        <v>25</v>
      </c>
      <c r="G297" s="3" t="s">
        <v>25</v>
      </c>
      <c r="H297" s="3" t="s">
        <v>25</v>
      </c>
      <c r="I297" s="6">
        <v>44682</v>
      </c>
      <c r="J297" s="4">
        <v>0</v>
      </c>
      <c r="K297" s="4">
        <v>0</v>
      </c>
      <c r="L297" s="4">
        <v>5.3920000000000003</v>
      </c>
      <c r="M297" s="4">
        <v>5.3920000000000003</v>
      </c>
      <c r="N297" s="4">
        <v>5.3920000000000003</v>
      </c>
      <c r="O297" s="4">
        <v>5.3920000000000003</v>
      </c>
      <c r="P297" s="4">
        <v>79</v>
      </c>
      <c r="Q297" s="3" t="s">
        <v>26</v>
      </c>
      <c r="R297" s="3">
        <v>0</v>
      </c>
      <c r="S297" s="4">
        <v>0</v>
      </c>
      <c r="T297" s="4">
        <v>6</v>
      </c>
      <c r="U297" s="4">
        <v>54</v>
      </c>
      <c r="V297" s="4">
        <f>IF(ISERROR(VLOOKUP($S$297,'TAR FIN'!$A$1:$O$85,15,0)),0,VLOOKUP($S$297,'TAR FIN'!$A$1:$O$85,15,0))</f>
        <v>0</v>
      </c>
      <c r="W297" s="4">
        <f>IF(ISERROR(VLOOKUP($T$297,'TAR FIN'!$A$1:$O$85,15,0)),0,VLOOKUP($T$297,'TAR FIN'!$A$1:$O$85,15,0))</f>
        <v>305.10000000000002</v>
      </c>
      <c r="X297" s="4">
        <f>IF(ISERROR(VLOOKUP($U$297,'TAR FIN'!$A$1:$O$85,15,0)),0,VLOOKUP($U$297,'TAR FIN'!$A$1:$O$85,15,0))</f>
        <v>291.85000000000002</v>
      </c>
      <c r="Y297" s="4"/>
      <c r="Z297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297" s="4">
        <f>('TE BE'!$AB$15+'TE BF'!$AB$15+'TE CVA'!$AB$15)*(1-CUSTOS!$M$37)</f>
        <v>213.77329191067864</v>
      </c>
      <c r="AB297" s="4">
        <f>$K$297*$V$297</f>
        <v>0</v>
      </c>
      <c r="AC297" s="4">
        <f>$M$297*$W$297</f>
        <v>1645.0992000000003</v>
      </c>
      <c r="AD297" s="4">
        <f>$O$297*$X$297</f>
        <v>1573.6552000000001</v>
      </c>
      <c r="AE297" s="4">
        <f>$K$297*$Y$297</f>
        <v>0</v>
      </c>
      <c r="AF297" s="4">
        <f ca="1">$M$297*$Z$297</f>
        <v>1743.8743876405242</v>
      </c>
      <c r="AG297" s="4">
        <f>$O$297*$AA$297</f>
        <v>1152.6655899823793</v>
      </c>
    </row>
    <row r="298" spans="1:33" ht="11.25" customHeight="1" x14ac:dyDescent="0.3">
      <c r="A298" s="3" t="s">
        <v>21</v>
      </c>
      <c r="B298" s="3" t="s">
        <v>22</v>
      </c>
      <c r="C298" s="3" t="s">
        <v>23</v>
      </c>
      <c r="D298" s="3" t="s">
        <v>24</v>
      </c>
      <c r="E298" s="3" t="s">
        <v>31</v>
      </c>
      <c r="F298" s="3" t="s">
        <v>25</v>
      </c>
      <c r="G298" s="3" t="s">
        <v>25</v>
      </c>
      <c r="H298" s="3" t="s">
        <v>25</v>
      </c>
      <c r="I298" s="6">
        <v>44713</v>
      </c>
      <c r="J298" s="4">
        <v>0</v>
      </c>
      <c r="K298" s="4">
        <v>0</v>
      </c>
      <c r="L298" s="4">
        <v>8.2720000000000002</v>
      </c>
      <c r="M298" s="4">
        <v>8.2720000000000002</v>
      </c>
      <c r="N298" s="4">
        <v>8.2720000000000002</v>
      </c>
      <c r="O298" s="4">
        <v>8.2720000000000002</v>
      </c>
      <c r="P298" s="4">
        <v>92</v>
      </c>
      <c r="Q298" s="3" t="s">
        <v>26</v>
      </c>
      <c r="R298" s="3">
        <v>0</v>
      </c>
      <c r="S298" s="4">
        <v>0</v>
      </c>
      <c r="T298" s="4">
        <v>6</v>
      </c>
      <c r="U298" s="4">
        <v>54</v>
      </c>
      <c r="V298" s="4">
        <f>IF(ISERROR(VLOOKUP($S$298,'TAR FIN'!$A$1:$O$85,15,0)),0,VLOOKUP($S$298,'TAR FIN'!$A$1:$O$85,15,0))</f>
        <v>0</v>
      </c>
      <c r="W298" s="4">
        <f>IF(ISERROR(VLOOKUP($T$298,'TAR FIN'!$A$1:$O$85,15,0)),0,VLOOKUP($T$298,'TAR FIN'!$A$1:$O$85,15,0))</f>
        <v>305.10000000000002</v>
      </c>
      <c r="X298" s="4">
        <f>IF(ISERROR(VLOOKUP($U$298,'TAR FIN'!$A$1:$O$85,15,0)),0,VLOOKUP($U$298,'TAR FIN'!$A$1:$O$85,15,0))</f>
        <v>291.85000000000002</v>
      </c>
      <c r="Y298" s="4"/>
      <c r="Z298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298" s="4">
        <f>('TE BE'!$AB$15+'TE BF'!$AB$15+'TE CVA'!$AB$15)*(1-CUSTOS!$M$37)</f>
        <v>213.77329191067864</v>
      </c>
      <c r="AB298" s="4">
        <f>$K$298*$V$298</f>
        <v>0</v>
      </c>
      <c r="AC298" s="4">
        <f>$M$298*$W$298</f>
        <v>2523.7872000000002</v>
      </c>
      <c r="AD298" s="4">
        <f>$O$298*$X$298</f>
        <v>2414.1832000000004</v>
      </c>
      <c r="AE298" s="4">
        <f>$K$298*$Y$298</f>
        <v>0</v>
      </c>
      <c r="AF298" s="4">
        <f ca="1">$M$298*$Z$298</f>
        <v>2675.3206481013381</v>
      </c>
      <c r="AG298" s="4">
        <f>$O$298*$AA$298</f>
        <v>1768.3326706851337</v>
      </c>
    </row>
    <row r="299" spans="1:33" ht="11.25" customHeight="1" x14ac:dyDescent="0.3">
      <c r="A299" s="3" t="s">
        <v>21</v>
      </c>
      <c r="B299" s="3" t="s">
        <v>22</v>
      </c>
      <c r="C299" s="3" t="s">
        <v>23</v>
      </c>
      <c r="D299" s="3" t="s">
        <v>24</v>
      </c>
      <c r="E299" s="3" t="s">
        <v>31</v>
      </c>
      <c r="F299" s="3" t="s">
        <v>25</v>
      </c>
      <c r="G299" s="3" t="s">
        <v>25</v>
      </c>
      <c r="H299" s="3" t="s">
        <v>25</v>
      </c>
      <c r="I299" s="6">
        <v>44743</v>
      </c>
      <c r="J299" s="4">
        <v>0</v>
      </c>
      <c r="K299" s="4">
        <v>0</v>
      </c>
      <c r="L299" s="4">
        <v>6.8289999999999997</v>
      </c>
      <c r="M299" s="4">
        <v>6.8289999999999997</v>
      </c>
      <c r="N299" s="4">
        <v>6.8289999999999997</v>
      </c>
      <c r="O299" s="4">
        <v>6.8289999999999997</v>
      </c>
      <c r="P299" s="4">
        <v>81</v>
      </c>
      <c r="Q299" s="3" t="s">
        <v>26</v>
      </c>
      <c r="R299" s="3">
        <v>0</v>
      </c>
      <c r="S299" s="4">
        <v>0</v>
      </c>
      <c r="T299" s="4">
        <v>6</v>
      </c>
      <c r="U299" s="4">
        <v>54</v>
      </c>
      <c r="V299" s="4">
        <f>IF(ISERROR(VLOOKUP($S$299,'TAR FIN'!$A$1:$O$85,15,0)),0,VLOOKUP($S$299,'TAR FIN'!$A$1:$O$85,15,0))</f>
        <v>0</v>
      </c>
      <c r="W299" s="4">
        <f>IF(ISERROR(VLOOKUP($T$299,'TAR FIN'!$A$1:$O$85,15,0)),0,VLOOKUP($T$299,'TAR FIN'!$A$1:$O$85,15,0))</f>
        <v>305.10000000000002</v>
      </c>
      <c r="X299" s="4">
        <f>IF(ISERROR(VLOOKUP($U$299,'TAR FIN'!$A$1:$O$85,15,0)),0,VLOOKUP($U$299,'TAR FIN'!$A$1:$O$85,15,0))</f>
        <v>291.85000000000002</v>
      </c>
      <c r="Y299" s="4"/>
      <c r="Z299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299" s="4">
        <f>('TE BE'!$AB$15+'TE BF'!$AB$15+'TE CVA'!$AB$15)*(1-CUSTOS!$M$37)</f>
        <v>213.77329191067864</v>
      </c>
      <c r="AB299" s="4">
        <f>$K$299*$V$299</f>
        <v>0</v>
      </c>
      <c r="AC299" s="4">
        <f>$M$299*$W$299</f>
        <v>2083.5279</v>
      </c>
      <c r="AD299" s="4">
        <f>$O$299*$X$299</f>
        <v>1993.0436500000001</v>
      </c>
      <c r="AE299" s="4">
        <f>$K$299*$Y$299</f>
        <v>0</v>
      </c>
      <c r="AF299" s="4">
        <f ca="1">$M$299*$Z$299</f>
        <v>2208.6272613496176</v>
      </c>
      <c r="AG299" s="4">
        <f>$O$299*$AA$299</f>
        <v>1459.8578104580245</v>
      </c>
    </row>
    <row r="300" spans="1:33" ht="11.25" customHeight="1" x14ac:dyDescent="0.3">
      <c r="A300" s="3" t="s">
        <v>53</v>
      </c>
      <c r="B300" s="3" t="s">
        <v>22</v>
      </c>
      <c r="C300" s="3" t="s">
        <v>23</v>
      </c>
      <c r="D300" s="3" t="s">
        <v>24</v>
      </c>
      <c r="E300" s="3" t="s">
        <v>31</v>
      </c>
      <c r="F300" s="3" t="s">
        <v>25</v>
      </c>
      <c r="G300" s="3" t="s">
        <v>25</v>
      </c>
      <c r="H300" s="3" t="s">
        <v>25</v>
      </c>
      <c r="I300" s="6">
        <v>44774</v>
      </c>
      <c r="J300" s="4">
        <v>0</v>
      </c>
      <c r="K300" s="4">
        <v>0</v>
      </c>
      <c r="L300" s="4">
        <v>6.8289999999999997</v>
      </c>
      <c r="M300" s="4">
        <v>6.8289999999999997</v>
      </c>
      <c r="N300" s="4">
        <v>6.8289999999999997</v>
      </c>
      <c r="O300" s="4">
        <v>6.8289999999999997</v>
      </c>
      <c r="P300" s="4">
        <v>81</v>
      </c>
      <c r="Q300" s="3" t="s">
        <v>26</v>
      </c>
      <c r="R300" s="3">
        <v>0</v>
      </c>
      <c r="S300" s="4">
        <v>0</v>
      </c>
      <c r="T300" s="4">
        <v>6</v>
      </c>
      <c r="U300" s="4">
        <v>54</v>
      </c>
      <c r="V300" s="4">
        <f>IF(ISERROR(VLOOKUP($S$300,'TAR FIN'!$A$1:$O$85,15,0)),0,VLOOKUP($S$300,'TAR FIN'!$A$1:$O$85,15,0))</f>
        <v>0</v>
      </c>
      <c r="W300" s="4">
        <f>IF(ISERROR(VLOOKUP($T$300,'TAR FIN'!$A$1:$O$85,15,0)),0,VLOOKUP($T$300,'TAR FIN'!$A$1:$O$85,15,0))</f>
        <v>305.10000000000002</v>
      </c>
      <c r="X300" s="4">
        <f>IF(ISERROR(VLOOKUP($U$300,'TAR FIN'!$A$1:$O$85,15,0)),0,VLOOKUP($U$300,'TAR FIN'!$A$1:$O$85,15,0))</f>
        <v>291.85000000000002</v>
      </c>
      <c r="Y300" s="4"/>
      <c r="Z300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300" s="4">
        <f>('TE BE'!$AB$15+'TE BF'!$AB$15+'TE CVA'!$AB$15)*(1-CUSTOS!$M$37)</f>
        <v>213.77329191067864</v>
      </c>
      <c r="AB300" s="4">
        <f>$K$300*$V$300</f>
        <v>0</v>
      </c>
      <c r="AC300" s="4">
        <f>$M$300*$W$300</f>
        <v>2083.5279</v>
      </c>
      <c r="AD300" s="4">
        <f>$O$300*$X$300</f>
        <v>1993.0436500000001</v>
      </c>
      <c r="AE300" s="4">
        <f>$K$300*$Y$300</f>
        <v>0</v>
      </c>
      <c r="AF300" s="4">
        <f ca="1">$M$300*$Z$300</f>
        <v>2208.6272613496176</v>
      </c>
      <c r="AG300" s="4">
        <f>$O$300*$AA$300</f>
        <v>1459.8578104580245</v>
      </c>
    </row>
    <row r="301" spans="1:33" ht="11.25" customHeight="1" x14ac:dyDescent="0.3">
      <c r="A301" s="3" t="s">
        <v>21</v>
      </c>
      <c r="B301" s="3" t="s">
        <v>40</v>
      </c>
      <c r="C301" s="3" t="s">
        <v>23</v>
      </c>
      <c r="D301" s="3" t="s">
        <v>41</v>
      </c>
      <c r="E301" s="3" t="s">
        <v>50</v>
      </c>
      <c r="F301" s="3" t="s">
        <v>51</v>
      </c>
      <c r="G301" s="3" t="s">
        <v>25</v>
      </c>
      <c r="H301" s="3" t="s">
        <v>25</v>
      </c>
      <c r="I301" s="6">
        <v>44440</v>
      </c>
      <c r="J301" s="4">
        <v>0</v>
      </c>
      <c r="K301" s="4">
        <v>0</v>
      </c>
      <c r="L301" s="4">
        <v>133.84200000000001</v>
      </c>
      <c r="M301" s="4">
        <v>133.84200000000001</v>
      </c>
      <c r="N301" s="4">
        <v>133.84200000000001</v>
      </c>
      <c r="O301" s="4">
        <v>133.84200000000001</v>
      </c>
      <c r="P301" s="4">
        <v>0</v>
      </c>
      <c r="Q301" s="3" t="s">
        <v>26</v>
      </c>
      <c r="R301" s="3">
        <v>0</v>
      </c>
      <c r="S301" s="4">
        <v>0</v>
      </c>
      <c r="T301" s="4">
        <v>36</v>
      </c>
      <c r="U301" s="4">
        <v>80</v>
      </c>
      <c r="V301" s="4">
        <f>IF(ISERROR(VLOOKUP($S$301,'TAR FIN'!$A$1:$O$85,15,0)),0,VLOOKUP($S$301,'TAR FIN'!$A$1:$O$85,15,0))</f>
        <v>0</v>
      </c>
      <c r="W301" s="4">
        <f>IF(ISERROR(VLOOKUP($T$301,'TAR FIN'!$A$1:$O$85,15,0)),0,VLOOKUP($T$301,'TAR FIN'!$A$1:$O$85,15,0))</f>
        <v>326.19</v>
      </c>
      <c r="X301" s="4">
        <f>IF(ISERROR(VLOOKUP($U$301,'TAR FIN'!$A$1:$O$85,15,0)),0,VLOOKUP($U$301,'TAR FIN'!$A$1:$O$85,15,0))</f>
        <v>256.83</v>
      </c>
      <c r="Y301" s="4"/>
      <c r="Z301" s="4">
        <f ca="1">('TUSD BE'!$AM$33+'TUSD BF'!$AM$33+'TUSD CVA'!$AM$33)*(1-CUSTOS!$M$38)</f>
        <v>403.45820595709068</v>
      </c>
      <c r="AA301" s="4">
        <f>('TE BE'!$AB$24+'TE BF'!$AB$24+'TE CVA'!$AB$24)*(1-CUSTOS!$M$38)</f>
        <v>200.94689439603792</v>
      </c>
      <c r="AB301" s="4">
        <f>$K$301*$V$301</f>
        <v>0</v>
      </c>
      <c r="AC301" s="4">
        <f>$M$301*$W$301</f>
        <v>43657.921980000006</v>
      </c>
      <c r="AD301" s="4">
        <f>$O$301*$X$301</f>
        <v>34374.64086</v>
      </c>
      <c r="AE301" s="4">
        <f>$K$301*$Y$301</f>
        <v>0</v>
      </c>
      <c r="AF301" s="4">
        <f ca="1">$M$301*$Z$301</f>
        <v>53999.653201708934</v>
      </c>
      <c r="AG301" s="4">
        <f>$O$301*$AA$301</f>
        <v>26895.134239754509</v>
      </c>
    </row>
    <row r="302" spans="1:33" ht="11.25" customHeight="1" x14ac:dyDescent="0.3">
      <c r="A302" s="3" t="s">
        <v>27</v>
      </c>
      <c r="B302" s="3" t="s">
        <v>40</v>
      </c>
      <c r="C302" s="3" t="s">
        <v>23</v>
      </c>
      <c r="D302" s="3" t="s">
        <v>41</v>
      </c>
      <c r="E302" s="3" t="s">
        <v>50</v>
      </c>
      <c r="F302" s="3" t="s">
        <v>51</v>
      </c>
      <c r="G302" s="3" t="s">
        <v>25</v>
      </c>
      <c r="H302" s="3" t="s">
        <v>25</v>
      </c>
      <c r="I302" s="6">
        <v>44440</v>
      </c>
      <c r="J302" s="4">
        <v>0</v>
      </c>
      <c r="K302" s="4">
        <v>0</v>
      </c>
      <c r="L302" s="4">
        <v>4.0759999999999996</v>
      </c>
      <c r="M302" s="4">
        <v>4.0759999999999996</v>
      </c>
      <c r="N302" s="4">
        <v>4.0759999999999996</v>
      </c>
      <c r="O302" s="4">
        <v>4.0759999999999996</v>
      </c>
      <c r="P302" s="4">
        <v>0</v>
      </c>
      <c r="Q302" s="3" t="s">
        <v>26</v>
      </c>
      <c r="R302" s="3">
        <v>0</v>
      </c>
      <c r="S302" s="4">
        <v>0</v>
      </c>
      <c r="T302" s="4">
        <v>36</v>
      </c>
      <c r="U302" s="4">
        <v>80</v>
      </c>
      <c r="V302" s="4">
        <f>IF(ISERROR(VLOOKUP($S$302,'TAR FIN'!$A$1:$O$85,15,0)),0,VLOOKUP($S$302,'TAR FIN'!$A$1:$O$85,15,0))</f>
        <v>0</v>
      </c>
      <c r="W302" s="4">
        <f>IF(ISERROR(VLOOKUP($T$302,'TAR FIN'!$A$1:$O$85,15,0)),0,VLOOKUP($T$302,'TAR FIN'!$A$1:$O$85,15,0))</f>
        <v>326.19</v>
      </c>
      <c r="X302" s="4">
        <f>IF(ISERROR(VLOOKUP($U$302,'TAR FIN'!$A$1:$O$85,15,0)),0,VLOOKUP($U$302,'TAR FIN'!$A$1:$O$85,15,0))</f>
        <v>256.83</v>
      </c>
      <c r="Y302" s="4"/>
      <c r="Z302" s="4">
        <f ca="1">('TUSD BE'!$AM$33+'TUSD BF'!$AM$33+'TUSD CVA'!$AM$33)*(1-CUSTOS!$M$38)</f>
        <v>403.45820595709068</v>
      </c>
      <c r="AA302" s="4">
        <f>('TE BE'!$AB$24+'TE BF'!$AB$24+'TE CVA'!$AB$24)*(1-CUSTOS!$M$38)</f>
        <v>200.94689439603792</v>
      </c>
      <c r="AB302" s="4">
        <f>$K$302*$V$302</f>
        <v>0</v>
      </c>
      <c r="AC302" s="4">
        <f>$M$302*$W$302</f>
        <v>1329.55044</v>
      </c>
      <c r="AD302" s="4">
        <f>$O$302*$X$302</f>
        <v>1046.8390799999997</v>
      </c>
      <c r="AE302" s="4">
        <f>$K$302*$Y$302</f>
        <v>0</v>
      </c>
      <c r="AF302" s="4">
        <f ca="1">$M$302*$Z$302</f>
        <v>1644.4956474811015</v>
      </c>
      <c r="AG302" s="4">
        <f>$O$302*$AA$302</f>
        <v>819.05954155825043</v>
      </c>
    </row>
    <row r="303" spans="1:33" ht="11.25" customHeight="1" x14ac:dyDescent="0.3">
      <c r="A303" s="3" t="s">
        <v>21</v>
      </c>
      <c r="B303" s="3" t="s">
        <v>40</v>
      </c>
      <c r="C303" s="3" t="s">
        <v>23</v>
      </c>
      <c r="D303" s="3" t="s">
        <v>41</v>
      </c>
      <c r="E303" s="3" t="s">
        <v>50</v>
      </c>
      <c r="F303" s="3" t="s">
        <v>51</v>
      </c>
      <c r="G303" s="3" t="s">
        <v>25</v>
      </c>
      <c r="H303" s="3" t="s">
        <v>25</v>
      </c>
      <c r="I303" s="6">
        <v>44470</v>
      </c>
      <c r="J303" s="4">
        <v>0</v>
      </c>
      <c r="K303" s="4">
        <v>0</v>
      </c>
      <c r="L303" s="4">
        <v>181.97499999999999</v>
      </c>
      <c r="M303" s="4">
        <v>181.97499999999999</v>
      </c>
      <c r="N303" s="4">
        <v>181.97499999999999</v>
      </c>
      <c r="O303" s="4">
        <v>181.97499999999999</v>
      </c>
      <c r="P303" s="4">
        <v>0</v>
      </c>
      <c r="Q303" s="3" t="s">
        <v>26</v>
      </c>
      <c r="R303" s="3">
        <v>0</v>
      </c>
      <c r="S303" s="4">
        <v>0</v>
      </c>
      <c r="T303" s="4">
        <v>36</v>
      </c>
      <c r="U303" s="4">
        <v>80</v>
      </c>
      <c r="V303" s="4">
        <f>IF(ISERROR(VLOOKUP($S$303,'TAR FIN'!$A$1:$O$85,15,0)),0,VLOOKUP($S$303,'TAR FIN'!$A$1:$O$85,15,0))</f>
        <v>0</v>
      </c>
      <c r="W303" s="4">
        <f>IF(ISERROR(VLOOKUP($T$303,'TAR FIN'!$A$1:$O$85,15,0)),0,VLOOKUP($T$303,'TAR FIN'!$A$1:$O$85,15,0))</f>
        <v>326.19</v>
      </c>
      <c r="X303" s="4">
        <f>IF(ISERROR(VLOOKUP($U$303,'TAR FIN'!$A$1:$O$85,15,0)),0,VLOOKUP($U$303,'TAR FIN'!$A$1:$O$85,15,0))</f>
        <v>256.83</v>
      </c>
      <c r="Y303" s="4"/>
      <c r="Z303" s="4">
        <f ca="1">('TUSD BE'!$AM$33+'TUSD BF'!$AM$33+'TUSD CVA'!$AM$33)*(1-CUSTOS!$M$38)</f>
        <v>403.45820595709068</v>
      </c>
      <c r="AA303" s="4">
        <f>('TE BE'!$AB$24+'TE BF'!$AB$24+'TE CVA'!$AB$24)*(1-CUSTOS!$M$38)</f>
        <v>200.94689439603792</v>
      </c>
      <c r="AB303" s="4">
        <f>$K$303*$V$303</f>
        <v>0</v>
      </c>
      <c r="AC303" s="4">
        <f>$M$303*$W$303</f>
        <v>59358.42525</v>
      </c>
      <c r="AD303" s="4">
        <f>$O$303*$X$303</f>
        <v>46736.639249999993</v>
      </c>
      <c r="AE303" s="4">
        <f>$K$303*$Y$303</f>
        <v>0</v>
      </c>
      <c r="AF303" s="4">
        <f ca="1">$M$303*$Z$303</f>
        <v>73419.307029041578</v>
      </c>
      <c r="AG303" s="4">
        <f>$O$303*$AA$303</f>
        <v>36567.311107718997</v>
      </c>
    </row>
    <row r="304" spans="1:33" ht="11.25" customHeight="1" x14ac:dyDescent="0.3">
      <c r="A304" s="3" t="s">
        <v>27</v>
      </c>
      <c r="B304" s="3" t="s">
        <v>40</v>
      </c>
      <c r="C304" s="3" t="s">
        <v>23</v>
      </c>
      <c r="D304" s="3" t="s">
        <v>41</v>
      </c>
      <c r="E304" s="3" t="s">
        <v>50</v>
      </c>
      <c r="F304" s="3" t="s">
        <v>51</v>
      </c>
      <c r="G304" s="3" t="s">
        <v>25</v>
      </c>
      <c r="H304" s="3" t="s">
        <v>25</v>
      </c>
      <c r="I304" s="6">
        <v>44470</v>
      </c>
      <c r="J304" s="4">
        <v>0</v>
      </c>
      <c r="K304" s="4">
        <v>0</v>
      </c>
      <c r="L304" s="4">
        <v>1.5580000000000001</v>
      </c>
      <c r="M304" s="4">
        <v>1.5580000000000001</v>
      </c>
      <c r="N304" s="4">
        <v>1.5580000000000001</v>
      </c>
      <c r="O304" s="4">
        <v>1.5580000000000001</v>
      </c>
      <c r="P304" s="4">
        <v>0</v>
      </c>
      <c r="Q304" s="3" t="s">
        <v>26</v>
      </c>
      <c r="R304" s="3">
        <v>0</v>
      </c>
      <c r="S304" s="4">
        <v>0</v>
      </c>
      <c r="T304" s="4">
        <v>36</v>
      </c>
      <c r="U304" s="4">
        <v>80</v>
      </c>
      <c r="V304" s="4">
        <f>IF(ISERROR(VLOOKUP($S$304,'TAR FIN'!$A$1:$O$85,15,0)),0,VLOOKUP($S$304,'TAR FIN'!$A$1:$O$85,15,0))</f>
        <v>0</v>
      </c>
      <c r="W304" s="4">
        <f>IF(ISERROR(VLOOKUP($T$304,'TAR FIN'!$A$1:$O$85,15,0)),0,VLOOKUP($T$304,'TAR FIN'!$A$1:$O$85,15,0))</f>
        <v>326.19</v>
      </c>
      <c r="X304" s="4">
        <f>IF(ISERROR(VLOOKUP($U$304,'TAR FIN'!$A$1:$O$85,15,0)),0,VLOOKUP($U$304,'TAR FIN'!$A$1:$O$85,15,0))</f>
        <v>256.83</v>
      </c>
      <c r="Y304" s="4"/>
      <c r="Z304" s="4">
        <f ca="1">('TUSD BE'!$AM$33+'TUSD BF'!$AM$33+'TUSD CVA'!$AM$33)*(1-CUSTOS!$M$38)</f>
        <v>403.45820595709068</v>
      </c>
      <c r="AA304" s="4">
        <f>('TE BE'!$AB$24+'TE BF'!$AB$24+'TE CVA'!$AB$24)*(1-CUSTOS!$M$38)</f>
        <v>200.94689439603792</v>
      </c>
      <c r="AB304" s="4">
        <f>$K$304*$V$304</f>
        <v>0</v>
      </c>
      <c r="AC304" s="4">
        <f>$M$304*$W$304</f>
        <v>508.20402000000001</v>
      </c>
      <c r="AD304" s="4">
        <f>$O$304*$X$304</f>
        <v>400.14114000000001</v>
      </c>
      <c r="AE304" s="4">
        <f>$K$304*$Y$304</f>
        <v>0</v>
      </c>
      <c r="AF304" s="4">
        <f ca="1">$M$304*$Z$304</f>
        <v>628.58788488114726</v>
      </c>
      <c r="AG304" s="4">
        <f>$O$304*$AA$304</f>
        <v>313.07526146902711</v>
      </c>
    </row>
    <row r="305" spans="1:33" ht="11.25" customHeight="1" x14ac:dyDescent="0.3">
      <c r="A305" s="3" t="s">
        <v>21</v>
      </c>
      <c r="B305" s="3" t="s">
        <v>40</v>
      </c>
      <c r="C305" s="3" t="s">
        <v>23</v>
      </c>
      <c r="D305" s="3" t="s">
        <v>41</v>
      </c>
      <c r="E305" s="3" t="s">
        <v>50</v>
      </c>
      <c r="F305" s="3" t="s">
        <v>51</v>
      </c>
      <c r="G305" s="3" t="s">
        <v>25</v>
      </c>
      <c r="H305" s="3" t="s">
        <v>25</v>
      </c>
      <c r="I305" s="6">
        <v>44501</v>
      </c>
      <c r="J305" s="4">
        <v>0</v>
      </c>
      <c r="K305" s="4">
        <v>0</v>
      </c>
      <c r="L305" s="4">
        <v>131.28299999999999</v>
      </c>
      <c r="M305" s="4">
        <v>131.28299999999999</v>
      </c>
      <c r="N305" s="4">
        <v>131.28299999999999</v>
      </c>
      <c r="O305" s="4">
        <v>131.28299999999999</v>
      </c>
      <c r="P305" s="4">
        <v>0</v>
      </c>
      <c r="Q305" s="3" t="s">
        <v>26</v>
      </c>
      <c r="R305" s="3">
        <v>0</v>
      </c>
      <c r="S305" s="4">
        <v>0</v>
      </c>
      <c r="T305" s="4">
        <v>36</v>
      </c>
      <c r="U305" s="4">
        <v>80</v>
      </c>
      <c r="V305" s="4">
        <f>IF(ISERROR(VLOOKUP($S$305,'TAR FIN'!$A$1:$O$85,15,0)),0,VLOOKUP($S$305,'TAR FIN'!$A$1:$O$85,15,0))</f>
        <v>0</v>
      </c>
      <c r="W305" s="4">
        <f>IF(ISERROR(VLOOKUP($T$305,'TAR FIN'!$A$1:$O$85,15,0)),0,VLOOKUP($T$305,'TAR FIN'!$A$1:$O$85,15,0))</f>
        <v>326.19</v>
      </c>
      <c r="X305" s="4">
        <f>IF(ISERROR(VLOOKUP($U$305,'TAR FIN'!$A$1:$O$85,15,0)),0,VLOOKUP($U$305,'TAR FIN'!$A$1:$O$85,15,0))</f>
        <v>256.83</v>
      </c>
      <c r="Y305" s="4"/>
      <c r="Z305" s="4">
        <f ca="1">('TUSD BE'!$AM$33+'TUSD BF'!$AM$33+'TUSD CVA'!$AM$33)*(1-CUSTOS!$M$38)</f>
        <v>403.45820595709068</v>
      </c>
      <c r="AA305" s="4">
        <f>('TE BE'!$AB$24+'TE BF'!$AB$24+'TE CVA'!$AB$24)*(1-CUSTOS!$M$38)</f>
        <v>200.94689439603792</v>
      </c>
      <c r="AB305" s="4">
        <f>$K$305*$V$305</f>
        <v>0</v>
      </c>
      <c r="AC305" s="4">
        <f>$M$305*$W$305</f>
        <v>42823.201769999992</v>
      </c>
      <c r="AD305" s="4">
        <f>$O$305*$X$305</f>
        <v>33717.412889999992</v>
      </c>
      <c r="AE305" s="4">
        <f>$K$305*$Y$305</f>
        <v>0</v>
      </c>
      <c r="AF305" s="4">
        <f ca="1">$M$305*$Z$305</f>
        <v>52967.203652664728</v>
      </c>
      <c r="AG305" s="4">
        <f>$O$305*$AA$305</f>
        <v>26380.911136995044</v>
      </c>
    </row>
    <row r="306" spans="1:33" ht="11.25" customHeight="1" x14ac:dyDescent="0.3">
      <c r="A306" s="3" t="s">
        <v>27</v>
      </c>
      <c r="B306" s="3" t="s">
        <v>40</v>
      </c>
      <c r="C306" s="3" t="s">
        <v>23</v>
      </c>
      <c r="D306" s="3" t="s">
        <v>41</v>
      </c>
      <c r="E306" s="3" t="s">
        <v>50</v>
      </c>
      <c r="F306" s="3" t="s">
        <v>51</v>
      </c>
      <c r="G306" s="3" t="s">
        <v>25</v>
      </c>
      <c r="H306" s="3" t="s">
        <v>25</v>
      </c>
      <c r="I306" s="6">
        <v>44501</v>
      </c>
      <c r="J306" s="4">
        <v>0</v>
      </c>
      <c r="K306" s="4">
        <v>0</v>
      </c>
      <c r="L306" s="4">
        <v>2.0630000000000002</v>
      </c>
      <c r="M306" s="4">
        <v>2.0630000000000002</v>
      </c>
      <c r="N306" s="4">
        <v>2.0630000000000002</v>
      </c>
      <c r="O306" s="4">
        <v>2.0630000000000002</v>
      </c>
      <c r="P306" s="4">
        <v>0</v>
      </c>
      <c r="Q306" s="3" t="s">
        <v>26</v>
      </c>
      <c r="R306" s="3">
        <v>0</v>
      </c>
      <c r="S306" s="4">
        <v>0</v>
      </c>
      <c r="T306" s="4">
        <v>36</v>
      </c>
      <c r="U306" s="4">
        <v>80</v>
      </c>
      <c r="V306" s="4">
        <f>IF(ISERROR(VLOOKUP($S$306,'TAR FIN'!$A$1:$O$85,15,0)),0,VLOOKUP($S$306,'TAR FIN'!$A$1:$O$85,15,0))</f>
        <v>0</v>
      </c>
      <c r="W306" s="4">
        <f>IF(ISERROR(VLOOKUP($T$306,'TAR FIN'!$A$1:$O$85,15,0)),0,VLOOKUP($T$306,'TAR FIN'!$A$1:$O$85,15,0))</f>
        <v>326.19</v>
      </c>
      <c r="X306" s="4">
        <f>IF(ISERROR(VLOOKUP($U$306,'TAR FIN'!$A$1:$O$85,15,0)),0,VLOOKUP($U$306,'TAR FIN'!$A$1:$O$85,15,0))</f>
        <v>256.83</v>
      </c>
      <c r="Y306" s="4"/>
      <c r="Z306" s="4">
        <f ca="1">('TUSD BE'!$AM$33+'TUSD BF'!$AM$33+'TUSD CVA'!$AM$33)*(1-CUSTOS!$M$38)</f>
        <v>403.45820595709068</v>
      </c>
      <c r="AA306" s="4">
        <f>('TE BE'!$AB$24+'TE BF'!$AB$24+'TE CVA'!$AB$24)*(1-CUSTOS!$M$38)</f>
        <v>200.94689439603792</v>
      </c>
      <c r="AB306" s="4">
        <f>$K$306*$V$306</f>
        <v>0</v>
      </c>
      <c r="AC306" s="4">
        <f>$M$306*$W$306</f>
        <v>672.92997000000003</v>
      </c>
      <c r="AD306" s="4">
        <f>$O$306*$X$306</f>
        <v>529.84028999999998</v>
      </c>
      <c r="AE306" s="4">
        <f>$K$306*$Y$306</f>
        <v>0</v>
      </c>
      <c r="AF306" s="4">
        <f ca="1">$M$306*$Z$306</f>
        <v>832.33427888947813</v>
      </c>
      <c r="AG306" s="4">
        <f>$O$306*$AA$306</f>
        <v>414.55344313902629</v>
      </c>
    </row>
    <row r="307" spans="1:33" ht="11.25" customHeight="1" x14ac:dyDescent="0.3">
      <c r="A307" s="3" t="s">
        <v>21</v>
      </c>
      <c r="B307" s="3" t="s">
        <v>40</v>
      </c>
      <c r="C307" s="3" t="s">
        <v>23</v>
      </c>
      <c r="D307" s="3" t="s">
        <v>41</v>
      </c>
      <c r="E307" s="3" t="s">
        <v>50</v>
      </c>
      <c r="F307" s="3" t="s">
        <v>51</v>
      </c>
      <c r="G307" s="3" t="s">
        <v>25</v>
      </c>
      <c r="H307" s="3" t="s">
        <v>25</v>
      </c>
      <c r="I307" s="6">
        <v>44531</v>
      </c>
      <c r="J307" s="4">
        <v>0</v>
      </c>
      <c r="K307" s="4">
        <v>0</v>
      </c>
      <c r="L307" s="4">
        <v>115.495</v>
      </c>
      <c r="M307" s="4">
        <v>115.495</v>
      </c>
      <c r="N307" s="4">
        <v>115.495</v>
      </c>
      <c r="O307" s="4">
        <v>115.495</v>
      </c>
      <c r="P307" s="4">
        <v>0</v>
      </c>
      <c r="Q307" s="3" t="s">
        <v>26</v>
      </c>
      <c r="R307" s="3">
        <v>0</v>
      </c>
      <c r="S307" s="4">
        <v>0</v>
      </c>
      <c r="T307" s="4">
        <v>36</v>
      </c>
      <c r="U307" s="4">
        <v>80</v>
      </c>
      <c r="V307" s="4">
        <f>IF(ISERROR(VLOOKUP($S$307,'TAR FIN'!$A$1:$O$85,15,0)),0,VLOOKUP($S$307,'TAR FIN'!$A$1:$O$85,15,0))</f>
        <v>0</v>
      </c>
      <c r="W307" s="4">
        <f>IF(ISERROR(VLOOKUP($T$307,'TAR FIN'!$A$1:$O$85,15,0)),0,VLOOKUP($T$307,'TAR FIN'!$A$1:$O$85,15,0))</f>
        <v>326.19</v>
      </c>
      <c r="X307" s="4">
        <f>IF(ISERROR(VLOOKUP($U$307,'TAR FIN'!$A$1:$O$85,15,0)),0,VLOOKUP($U$307,'TAR FIN'!$A$1:$O$85,15,0))</f>
        <v>256.83</v>
      </c>
      <c r="Y307" s="4"/>
      <c r="Z307" s="4">
        <f ca="1">('TUSD BE'!$AM$33+'TUSD BF'!$AM$33+'TUSD CVA'!$AM$33)*(1-CUSTOS!$M$38)</f>
        <v>403.45820595709068</v>
      </c>
      <c r="AA307" s="4">
        <f>('TE BE'!$AB$24+'TE BF'!$AB$24+'TE CVA'!$AB$24)*(1-CUSTOS!$M$38)</f>
        <v>200.94689439603792</v>
      </c>
      <c r="AB307" s="4">
        <f>$K$307*$V$307</f>
        <v>0</v>
      </c>
      <c r="AC307" s="4">
        <f>$M$307*$W$307</f>
        <v>37673.314050000001</v>
      </c>
      <c r="AD307" s="4">
        <f>$O$307*$X$307</f>
        <v>29662.580849999998</v>
      </c>
      <c r="AE307" s="4">
        <f>$K$307*$Y$307</f>
        <v>0</v>
      </c>
      <c r="AF307" s="4">
        <f ca="1">$M$307*$Z$307</f>
        <v>46597.405497014188</v>
      </c>
      <c r="AG307" s="4">
        <f>$O$307*$AA$307</f>
        <v>23208.3615682704</v>
      </c>
    </row>
    <row r="308" spans="1:33" ht="11.25" customHeight="1" x14ac:dyDescent="0.3">
      <c r="A308" s="3" t="s">
        <v>27</v>
      </c>
      <c r="B308" s="3" t="s">
        <v>40</v>
      </c>
      <c r="C308" s="3" t="s">
        <v>23</v>
      </c>
      <c r="D308" s="3" t="s">
        <v>41</v>
      </c>
      <c r="E308" s="3" t="s">
        <v>50</v>
      </c>
      <c r="F308" s="3" t="s">
        <v>51</v>
      </c>
      <c r="G308" s="3" t="s">
        <v>25</v>
      </c>
      <c r="H308" s="3" t="s">
        <v>25</v>
      </c>
      <c r="I308" s="6">
        <v>44531</v>
      </c>
      <c r="J308" s="4">
        <v>0</v>
      </c>
      <c r="K308" s="4">
        <v>0</v>
      </c>
      <c r="L308" s="4">
        <v>2.5190000000000001</v>
      </c>
      <c r="M308" s="4">
        <v>2.5190000000000001</v>
      </c>
      <c r="N308" s="4">
        <v>2.5190000000000001</v>
      </c>
      <c r="O308" s="4">
        <v>2.5190000000000001</v>
      </c>
      <c r="P308" s="4">
        <v>0</v>
      </c>
      <c r="Q308" s="3" t="s">
        <v>26</v>
      </c>
      <c r="R308" s="3">
        <v>0</v>
      </c>
      <c r="S308" s="4">
        <v>0</v>
      </c>
      <c r="T308" s="4">
        <v>36</v>
      </c>
      <c r="U308" s="4">
        <v>80</v>
      </c>
      <c r="V308" s="4">
        <f>IF(ISERROR(VLOOKUP($S$308,'TAR FIN'!$A$1:$O$85,15,0)),0,VLOOKUP($S$308,'TAR FIN'!$A$1:$O$85,15,0))</f>
        <v>0</v>
      </c>
      <c r="W308" s="4">
        <f>IF(ISERROR(VLOOKUP($T$308,'TAR FIN'!$A$1:$O$85,15,0)),0,VLOOKUP($T$308,'TAR FIN'!$A$1:$O$85,15,0))</f>
        <v>326.19</v>
      </c>
      <c r="X308" s="4">
        <f>IF(ISERROR(VLOOKUP($U$308,'TAR FIN'!$A$1:$O$85,15,0)),0,VLOOKUP($U$308,'TAR FIN'!$A$1:$O$85,15,0))</f>
        <v>256.83</v>
      </c>
      <c r="Y308" s="4"/>
      <c r="Z308" s="4">
        <f ca="1">('TUSD BE'!$AM$33+'TUSD BF'!$AM$33+'TUSD CVA'!$AM$33)*(1-CUSTOS!$M$38)</f>
        <v>403.45820595709068</v>
      </c>
      <c r="AA308" s="4">
        <f>('TE BE'!$AB$24+'TE BF'!$AB$24+'TE CVA'!$AB$24)*(1-CUSTOS!$M$38)</f>
        <v>200.94689439603792</v>
      </c>
      <c r="AB308" s="4">
        <f>$K$308*$V$308</f>
        <v>0</v>
      </c>
      <c r="AC308" s="4">
        <f>$M$308*$W$308</f>
        <v>821.67261000000008</v>
      </c>
      <c r="AD308" s="4">
        <f>$O$308*$X$308</f>
        <v>646.95476999999994</v>
      </c>
      <c r="AE308" s="4">
        <f>$K$308*$Y$308</f>
        <v>0</v>
      </c>
      <c r="AF308" s="4">
        <f ca="1">$M$308*$Z$308</f>
        <v>1016.3112208059115</v>
      </c>
      <c r="AG308" s="4">
        <f>$O$308*$AA$308</f>
        <v>506.18522698361954</v>
      </c>
    </row>
    <row r="309" spans="1:33" ht="11.25" customHeight="1" x14ac:dyDescent="0.3">
      <c r="A309" s="3" t="s">
        <v>21</v>
      </c>
      <c r="B309" s="3" t="s">
        <v>40</v>
      </c>
      <c r="C309" s="3" t="s">
        <v>23</v>
      </c>
      <c r="D309" s="3" t="s">
        <v>41</v>
      </c>
      <c r="E309" s="3" t="s">
        <v>50</v>
      </c>
      <c r="F309" s="3" t="s">
        <v>51</v>
      </c>
      <c r="G309" s="3" t="s">
        <v>25</v>
      </c>
      <c r="H309" s="3" t="s">
        <v>25</v>
      </c>
      <c r="I309" s="6">
        <v>44562</v>
      </c>
      <c r="J309" s="4">
        <v>0</v>
      </c>
      <c r="K309" s="4">
        <v>0</v>
      </c>
      <c r="L309" s="4">
        <v>131.422</v>
      </c>
      <c r="M309" s="4">
        <v>131.422</v>
      </c>
      <c r="N309" s="4">
        <v>131.422</v>
      </c>
      <c r="O309" s="4">
        <v>131.422</v>
      </c>
      <c r="P309" s="4">
        <v>0</v>
      </c>
      <c r="Q309" s="3" t="s">
        <v>26</v>
      </c>
      <c r="R309" s="3">
        <v>0</v>
      </c>
      <c r="S309" s="4">
        <v>0</v>
      </c>
      <c r="T309" s="4">
        <v>36</v>
      </c>
      <c r="U309" s="4">
        <v>80</v>
      </c>
      <c r="V309" s="4">
        <f>IF(ISERROR(VLOOKUP($S$309,'TAR FIN'!$A$1:$O$85,15,0)),0,VLOOKUP($S$309,'TAR FIN'!$A$1:$O$85,15,0))</f>
        <v>0</v>
      </c>
      <c r="W309" s="4">
        <f>IF(ISERROR(VLOOKUP($T$309,'TAR FIN'!$A$1:$O$85,15,0)),0,VLOOKUP($T$309,'TAR FIN'!$A$1:$O$85,15,0))</f>
        <v>326.19</v>
      </c>
      <c r="X309" s="4">
        <f>IF(ISERROR(VLOOKUP($U$309,'TAR FIN'!$A$1:$O$85,15,0)),0,VLOOKUP($U$309,'TAR FIN'!$A$1:$O$85,15,0))</f>
        <v>256.83</v>
      </c>
      <c r="Y309" s="4"/>
      <c r="Z309" s="4">
        <f ca="1">('TUSD BE'!$AM$33+'TUSD BF'!$AM$33+'TUSD CVA'!$AM$33)*(1-CUSTOS!$M$38)</f>
        <v>403.45820595709068</v>
      </c>
      <c r="AA309" s="4">
        <f>('TE BE'!$AB$24+'TE BF'!$AB$24+'TE CVA'!$AB$24)*(1-CUSTOS!$M$38)</f>
        <v>200.94689439603792</v>
      </c>
      <c r="AB309" s="4">
        <f>$K$309*$V$309</f>
        <v>0</v>
      </c>
      <c r="AC309" s="4">
        <f>$M$309*$W$309</f>
        <v>42868.542179999997</v>
      </c>
      <c r="AD309" s="4">
        <f>$O$309*$X$309</f>
        <v>33753.112259999994</v>
      </c>
      <c r="AE309" s="4">
        <f>$K$309*$Y$309</f>
        <v>0</v>
      </c>
      <c r="AF309" s="4">
        <f ca="1">$M$309*$Z$309</f>
        <v>53023.284343292769</v>
      </c>
      <c r="AG309" s="4">
        <f>$O$309*$AA$309</f>
        <v>26408.842755316095</v>
      </c>
    </row>
    <row r="310" spans="1:33" ht="11.25" customHeight="1" x14ac:dyDescent="0.3">
      <c r="A310" s="3" t="s">
        <v>27</v>
      </c>
      <c r="B310" s="3" t="s">
        <v>40</v>
      </c>
      <c r="C310" s="3" t="s">
        <v>23</v>
      </c>
      <c r="D310" s="3" t="s">
        <v>41</v>
      </c>
      <c r="E310" s="3" t="s">
        <v>50</v>
      </c>
      <c r="F310" s="3" t="s">
        <v>51</v>
      </c>
      <c r="G310" s="3" t="s">
        <v>25</v>
      </c>
      <c r="H310" s="3" t="s">
        <v>25</v>
      </c>
      <c r="I310" s="6">
        <v>44562</v>
      </c>
      <c r="J310" s="4">
        <v>0</v>
      </c>
      <c r="K310" s="4">
        <v>0</v>
      </c>
      <c r="L310" s="4">
        <v>5.9550000000000001</v>
      </c>
      <c r="M310" s="4">
        <v>5.9550000000000001</v>
      </c>
      <c r="N310" s="4">
        <v>5.9550000000000001</v>
      </c>
      <c r="O310" s="4">
        <v>5.9550000000000001</v>
      </c>
      <c r="P310" s="4">
        <v>0</v>
      </c>
      <c r="Q310" s="3" t="s">
        <v>26</v>
      </c>
      <c r="R310" s="3">
        <v>0</v>
      </c>
      <c r="S310" s="4">
        <v>0</v>
      </c>
      <c r="T310" s="4">
        <v>36</v>
      </c>
      <c r="U310" s="4">
        <v>80</v>
      </c>
      <c r="V310" s="4">
        <f>IF(ISERROR(VLOOKUP($S$310,'TAR FIN'!$A$1:$O$85,15,0)),0,VLOOKUP($S$310,'TAR FIN'!$A$1:$O$85,15,0))</f>
        <v>0</v>
      </c>
      <c r="W310" s="4">
        <f>IF(ISERROR(VLOOKUP($T$310,'TAR FIN'!$A$1:$O$85,15,0)),0,VLOOKUP($T$310,'TAR FIN'!$A$1:$O$85,15,0))</f>
        <v>326.19</v>
      </c>
      <c r="X310" s="4">
        <f>IF(ISERROR(VLOOKUP($U$310,'TAR FIN'!$A$1:$O$85,15,0)),0,VLOOKUP($U$310,'TAR FIN'!$A$1:$O$85,15,0))</f>
        <v>256.83</v>
      </c>
      <c r="Y310" s="4"/>
      <c r="Z310" s="4">
        <f ca="1">('TUSD BE'!$AM$33+'TUSD BF'!$AM$33+'TUSD CVA'!$AM$33)*(1-CUSTOS!$M$38)</f>
        <v>403.45820595709068</v>
      </c>
      <c r="AA310" s="4">
        <f>('TE BE'!$AB$24+'TE BF'!$AB$24+'TE CVA'!$AB$24)*(1-CUSTOS!$M$38)</f>
        <v>200.94689439603792</v>
      </c>
      <c r="AB310" s="4">
        <f>$K$310*$V$310</f>
        <v>0</v>
      </c>
      <c r="AC310" s="4">
        <f>$M$310*$W$310</f>
        <v>1942.46145</v>
      </c>
      <c r="AD310" s="4">
        <f>$O$310*$X$310</f>
        <v>1529.42265</v>
      </c>
      <c r="AE310" s="4">
        <f>$K$310*$Y$310</f>
        <v>0</v>
      </c>
      <c r="AF310" s="4">
        <f ca="1">$M$310*$Z$310</f>
        <v>2402.5936164744749</v>
      </c>
      <c r="AG310" s="4">
        <f>$O$310*$AA$310</f>
        <v>1196.6387561284059</v>
      </c>
    </row>
    <row r="311" spans="1:33" ht="11.25" customHeight="1" x14ac:dyDescent="0.3">
      <c r="A311" s="3" t="s">
        <v>21</v>
      </c>
      <c r="B311" s="3" t="s">
        <v>40</v>
      </c>
      <c r="C311" s="3" t="s">
        <v>23</v>
      </c>
      <c r="D311" s="3" t="s">
        <v>41</v>
      </c>
      <c r="E311" s="3" t="s">
        <v>50</v>
      </c>
      <c r="F311" s="3" t="s">
        <v>51</v>
      </c>
      <c r="G311" s="3" t="s">
        <v>25</v>
      </c>
      <c r="H311" s="3" t="s">
        <v>25</v>
      </c>
      <c r="I311" s="6">
        <v>44593</v>
      </c>
      <c r="J311" s="4">
        <v>0</v>
      </c>
      <c r="K311" s="4">
        <v>0</v>
      </c>
      <c r="L311" s="4">
        <v>146.76900000000001</v>
      </c>
      <c r="M311" s="4">
        <v>146.76900000000001</v>
      </c>
      <c r="N311" s="4">
        <v>146.76900000000001</v>
      </c>
      <c r="O311" s="4">
        <v>146.76900000000001</v>
      </c>
      <c r="P311" s="4">
        <v>0</v>
      </c>
      <c r="Q311" s="3" t="s">
        <v>26</v>
      </c>
      <c r="R311" s="3">
        <v>0</v>
      </c>
      <c r="S311" s="4">
        <v>0</v>
      </c>
      <c r="T311" s="4">
        <v>36</v>
      </c>
      <c r="U311" s="4">
        <v>80</v>
      </c>
      <c r="V311" s="4">
        <f>IF(ISERROR(VLOOKUP($S$311,'TAR FIN'!$A$1:$O$85,15,0)),0,VLOOKUP($S$311,'TAR FIN'!$A$1:$O$85,15,0))</f>
        <v>0</v>
      </c>
      <c r="W311" s="4">
        <f>IF(ISERROR(VLOOKUP($T$311,'TAR FIN'!$A$1:$O$85,15,0)),0,VLOOKUP($T$311,'TAR FIN'!$A$1:$O$85,15,0))</f>
        <v>326.19</v>
      </c>
      <c r="X311" s="4">
        <f>IF(ISERROR(VLOOKUP($U$311,'TAR FIN'!$A$1:$O$85,15,0)),0,VLOOKUP($U$311,'TAR FIN'!$A$1:$O$85,15,0))</f>
        <v>256.83</v>
      </c>
      <c r="Y311" s="4"/>
      <c r="Z311" s="4">
        <f ca="1">('TUSD BE'!$AM$33+'TUSD BF'!$AM$33+'TUSD CVA'!$AM$33)*(1-CUSTOS!$M$38)</f>
        <v>403.45820595709068</v>
      </c>
      <c r="AA311" s="4">
        <f>('TE BE'!$AB$24+'TE BF'!$AB$24+'TE CVA'!$AB$24)*(1-CUSTOS!$M$38)</f>
        <v>200.94689439603792</v>
      </c>
      <c r="AB311" s="4">
        <f>$K$311*$V$311</f>
        <v>0</v>
      </c>
      <c r="AC311" s="4">
        <f>$M$311*$W$311</f>
        <v>47874.580110000003</v>
      </c>
      <c r="AD311" s="4">
        <f>$O$311*$X$311</f>
        <v>37694.682269999998</v>
      </c>
      <c r="AE311" s="4">
        <f>$K$311*$Y$311</f>
        <v>0</v>
      </c>
      <c r="AF311" s="4">
        <f ca="1">$M$311*$Z$311</f>
        <v>59215.157430116247</v>
      </c>
      <c r="AG311" s="4">
        <f>$O$311*$AA$311</f>
        <v>29492.774743612092</v>
      </c>
    </row>
    <row r="312" spans="1:33" ht="11.25" customHeight="1" x14ac:dyDescent="0.3">
      <c r="A312" s="3" t="s">
        <v>27</v>
      </c>
      <c r="B312" s="3" t="s">
        <v>40</v>
      </c>
      <c r="C312" s="3" t="s">
        <v>23</v>
      </c>
      <c r="D312" s="3" t="s">
        <v>41</v>
      </c>
      <c r="E312" s="3" t="s">
        <v>50</v>
      </c>
      <c r="F312" s="3" t="s">
        <v>51</v>
      </c>
      <c r="G312" s="3" t="s">
        <v>25</v>
      </c>
      <c r="H312" s="3" t="s">
        <v>25</v>
      </c>
      <c r="I312" s="6">
        <v>44593</v>
      </c>
      <c r="J312" s="4">
        <v>0</v>
      </c>
      <c r="K312" s="4">
        <v>0</v>
      </c>
      <c r="L312" s="4">
        <v>3.589</v>
      </c>
      <c r="M312" s="4">
        <v>3.589</v>
      </c>
      <c r="N312" s="4">
        <v>3.589</v>
      </c>
      <c r="O312" s="4">
        <v>3.589</v>
      </c>
      <c r="P312" s="4">
        <v>0</v>
      </c>
      <c r="Q312" s="3" t="s">
        <v>26</v>
      </c>
      <c r="R312" s="3">
        <v>0</v>
      </c>
      <c r="S312" s="4">
        <v>0</v>
      </c>
      <c r="T312" s="4">
        <v>36</v>
      </c>
      <c r="U312" s="4">
        <v>80</v>
      </c>
      <c r="V312" s="4">
        <f>IF(ISERROR(VLOOKUP($S$312,'TAR FIN'!$A$1:$O$85,15,0)),0,VLOOKUP($S$312,'TAR FIN'!$A$1:$O$85,15,0))</f>
        <v>0</v>
      </c>
      <c r="W312" s="4">
        <f>IF(ISERROR(VLOOKUP($T$312,'TAR FIN'!$A$1:$O$85,15,0)),0,VLOOKUP($T$312,'TAR FIN'!$A$1:$O$85,15,0))</f>
        <v>326.19</v>
      </c>
      <c r="X312" s="4">
        <f>IF(ISERROR(VLOOKUP($U$312,'TAR FIN'!$A$1:$O$85,15,0)),0,VLOOKUP($U$312,'TAR FIN'!$A$1:$O$85,15,0))</f>
        <v>256.83</v>
      </c>
      <c r="Y312" s="4"/>
      <c r="Z312" s="4">
        <f ca="1">('TUSD BE'!$AM$33+'TUSD BF'!$AM$33+'TUSD CVA'!$AM$33)*(1-CUSTOS!$M$38)</f>
        <v>403.45820595709068</v>
      </c>
      <c r="AA312" s="4">
        <f>('TE BE'!$AB$24+'TE BF'!$AB$24+'TE CVA'!$AB$24)*(1-CUSTOS!$M$38)</f>
        <v>200.94689439603792</v>
      </c>
      <c r="AB312" s="4">
        <f>$K$312*$V$312</f>
        <v>0</v>
      </c>
      <c r="AC312" s="4">
        <f>$M$312*$W$312</f>
        <v>1170.6959099999999</v>
      </c>
      <c r="AD312" s="4">
        <f>$O$312*$X$312</f>
        <v>921.76286999999991</v>
      </c>
      <c r="AE312" s="4">
        <f>$K$312*$Y$312</f>
        <v>0</v>
      </c>
      <c r="AF312" s="4">
        <f ca="1">$M$312*$Z$312</f>
        <v>1448.0115011799985</v>
      </c>
      <c r="AG312" s="4">
        <f>$O$312*$AA$312</f>
        <v>721.19840398738006</v>
      </c>
    </row>
    <row r="313" spans="1:33" ht="11.25" customHeight="1" x14ac:dyDescent="0.3">
      <c r="A313" s="3" t="s">
        <v>21</v>
      </c>
      <c r="B313" s="3" t="s">
        <v>40</v>
      </c>
      <c r="C313" s="3" t="s">
        <v>23</v>
      </c>
      <c r="D313" s="3" t="s">
        <v>41</v>
      </c>
      <c r="E313" s="3" t="s">
        <v>50</v>
      </c>
      <c r="F313" s="3" t="s">
        <v>51</v>
      </c>
      <c r="G313" s="3" t="s">
        <v>25</v>
      </c>
      <c r="H313" s="3" t="s">
        <v>25</v>
      </c>
      <c r="I313" s="6">
        <v>44621</v>
      </c>
      <c r="J313" s="4">
        <v>0</v>
      </c>
      <c r="K313" s="4">
        <v>0</v>
      </c>
      <c r="L313" s="4">
        <v>170.96600000000001</v>
      </c>
      <c r="M313" s="4">
        <v>170.96600000000001</v>
      </c>
      <c r="N313" s="4">
        <v>170.96600000000001</v>
      </c>
      <c r="O313" s="4">
        <v>170.96600000000001</v>
      </c>
      <c r="P313" s="4">
        <v>0</v>
      </c>
      <c r="Q313" s="3" t="s">
        <v>26</v>
      </c>
      <c r="R313" s="3">
        <v>0</v>
      </c>
      <c r="S313" s="4">
        <v>0</v>
      </c>
      <c r="T313" s="4">
        <v>36</v>
      </c>
      <c r="U313" s="4">
        <v>80</v>
      </c>
      <c r="V313" s="4">
        <f>IF(ISERROR(VLOOKUP($S$313,'TAR FIN'!$A$1:$O$85,15,0)),0,VLOOKUP($S$313,'TAR FIN'!$A$1:$O$85,15,0))</f>
        <v>0</v>
      </c>
      <c r="W313" s="4">
        <f>IF(ISERROR(VLOOKUP($T$313,'TAR FIN'!$A$1:$O$85,15,0)),0,VLOOKUP($T$313,'TAR FIN'!$A$1:$O$85,15,0))</f>
        <v>326.19</v>
      </c>
      <c r="X313" s="4">
        <f>IF(ISERROR(VLOOKUP($U$313,'TAR FIN'!$A$1:$O$85,15,0)),0,VLOOKUP($U$313,'TAR FIN'!$A$1:$O$85,15,0))</f>
        <v>256.83</v>
      </c>
      <c r="Y313" s="4"/>
      <c r="Z313" s="4">
        <f ca="1">('TUSD BE'!$AM$33+'TUSD BF'!$AM$33+'TUSD CVA'!$AM$33)*(1-CUSTOS!$M$38)</f>
        <v>403.45820595709068</v>
      </c>
      <c r="AA313" s="4">
        <f>('TE BE'!$AB$24+'TE BF'!$AB$24+'TE CVA'!$AB$24)*(1-CUSTOS!$M$38)</f>
        <v>200.94689439603792</v>
      </c>
      <c r="AB313" s="4">
        <f>$K$313*$V$313</f>
        <v>0</v>
      </c>
      <c r="AC313" s="4">
        <f>$M$313*$W$313</f>
        <v>55767.399540000006</v>
      </c>
      <c r="AD313" s="4">
        <f>$O$313*$X$313</f>
        <v>43909.197780000002</v>
      </c>
      <c r="AE313" s="4">
        <f>$K$313*$Y$313</f>
        <v>0</v>
      </c>
      <c r="AF313" s="4">
        <f ca="1">$M$313*$Z$313</f>
        <v>68977.635639659973</v>
      </c>
      <c r="AG313" s="4">
        <f>$O$313*$AA$313</f>
        <v>34355.08674731302</v>
      </c>
    </row>
    <row r="314" spans="1:33" ht="11.25" customHeight="1" x14ac:dyDescent="0.3">
      <c r="A314" s="3" t="s">
        <v>27</v>
      </c>
      <c r="B314" s="3" t="s">
        <v>40</v>
      </c>
      <c r="C314" s="3" t="s">
        <v>23</v>
      </c>
      <c r="D314" s="3" t="s">
        <v>41</v>
      </c>
      <c r="E314" s="3" t="s">
        <v>50</v>
      </c>
      <c r="F314" s="3" t="s">
        <v>51</v>
      </c>
      <c r="G314" s="3" t="s">
        <v>25</v>
      </c>
      <c r="H314" s="3" t="s">
        <v>25</v>
      </c>
      <c r="I314" s="6">
        <v>44621</v>
      </c>
      <c r="J314" s="4">
        <v>0</v>
      </c>
      <c r="K314" s="4">
        <v>0</v>
      </c>
      <c r="L314" s="4">
        <v>10.715</v>
      </c>
      <c r="M314" s="4">
        <v>10.715</v>
      </c>
      <c r="N314" s="4">
        <v>10.715</v>
      </c>
      <c r="O314" s="4">
        <v>10.715</v>
      </c>
      <c r="P314" s="4">
        <v>0</v>
      </c>
      <c r="Q314" s="3" t="s">
        <v>26</v>
      </c>
      <c r="R314" s="3">
        <v>0</v>
      </c>
      <c r="S314" s="4">
        <v>0</v>
      </c>
      <c r="T314" s="4">
        <v>36</v>
      </c>
      <c r="U314" s="4">
        <v>80</v>
      </c>
      <c r="V314" s="4">
        <f>IF(ISERROR(VLOOKUP($S$314,'TAR FIN'!$A$1:$O$85,15,0)),0,VLOOKUP($S$314,'TAR FIN'!$A$1:$O$85,15,0))</f>
        <v>0</v>
      </c>
      <c r="W314" s="4">
        <f>IF(ISERROR(VLOOKUP($T$314,'TAR FIN'!$A$1:$O$85,15,0)),0,VLOOKUP($T$314,'TAR FIN'!$A$1:$O$85,15,0))</f>
        <v>326.19</v>
      </c>
      <c r="X314" s="4">
        <f>IF(ISERROR(VLOOKUP($U$314,'TAR FIN'!$A$1:$O$85,15,0)),0,VLOOKUP($U$314,'TAR FIN'!$A$1:$O$85,15,0))</f>
        <v>256.83</v>
      </c>
      <c r="Y314" s="4"/>
      <c r="Z314" s="4">
        <f ca="1">('TUSD BE'!$AM$33+'TUSD BF'!$AM$33+'TUSD CVA'!$AM$33)*(1-CUSTOS!$M$38)</f>
        <v>403.45820595709068</v>
      </c>
      <c r="AA314" s="4">
        <f>('TE BE'!$AB$24+'TE BF'!$AB$24+'TE CVA'!$AB$24)*(1-CUSTOS!$M$38)</f>
        <v>200.94689439603792</v>
      </c>
      <c r="AB314" s="4">
        <f>$K$314*$V$314</f>
        <v>0</v>
      </c>
      <c r="AC314" s="4">
        <f>$M$314*$W$314</f>
        <v>3495.1258499999999</v>
      </c>
      <c r="AD314" s="4">
        <f>$O$314*$X$314</f>
        <v>2751.93345</v>
      </c>
      <c r="AE314" s="4">
        <f>$K$314*$Y$314</f>
        <v>0</v>
      </c>
      <c r="AF314" s="4">
        <f ca="1">$M$314*$Z$314</f>
        <v>4323.0546768302265</v>
      </c>
      <c r="AG314" s="4">
        <f>$O$314*$AA$314</f>
        <v>2153.1459734535465</v>
      </c>
    </row>
    <row r="315" spans="1:33" ht="11.25" customHeight="1" x14ac:dyDescent="0.3">
      <c r="A315" s="3" t="s">
        <v>21</v>
      </c>
      <c r="B315" s="3" t="s">
        <v>40</v>
      </c>
      <c r="C315" s="3" t="s">
        <v>23</v>
      </c>
      <c r="D315" s="3" t="s">
        <v>41</v>
      </c>
      <c r="E315" s="3" t="s">
        <v>50</v>
      </c>
      <c r="F315" s="3" t="s">
        <v>51</v>
      </c>
      <c r="G315" s="3" t="s">
        <v>25</v>
      </c>
      <c r="H315" s="3" t="s">
        <v>25</v>
      </c>
      <c r="I315" s="6">
        <v>44652</v>
      </c>
      <c r="J315" s="4">
        <v>0</v>
      </c>
      <c r="K315" s="4">
        <v>0</v>
      </c>
      <c r="L315" s="4">
        <v>165.13200000000001</v>
      </c>
      <c r="M315" s="4">
        <v>165.13200000000001</v>
      </c>
      <c r="N315" s="4">
        <v>165.13200000000001</v>
      </c>
      <c r="O315" s="4">
        <v>165.13200000000001</v>
      </c>
      <c r="P315" s="4">
        <v>0</v>
      </c>
      <c r="Q315" s="3" t="s">
        <v>26</v>
      </c>
      <c r="R315" s="3">
        <v>0</v>
      </c>
      <c r="S315" s="4">
        <v>0</v>
      </c>
      <c r="T315" s="4">
        <v>36</v>
      </c>
      <c r="U315" s="4">
        <v>80</v>
      </c>
      <c r="V315" s="4">
        <f>IF(ISERROR(VLOOKUP($S$315,'TAR FIN'!$A$1:$O$85,15,0)),0,VLOOKUP($S$315,'TAR FIN'!$A$1:$O$85,15,0))</f>
        <v>0</v>
      </c>
      <c r="W315" s="4">
        <f>IF(ISERROR(VLOOKUP($T$315,'TAR FIN'!$A$1:$O$85,15,0)),0,VLOOKUP($T$315,'TAR FIN'!$A$1:$O$85,15,0))</f>
        <v>326.19</v>
      </c>
      <c r="X315" s="4">
        <f>IF(ISERROR(VLOOKUP($U$315,'TAR FIN'!$A$1:$O$85,15,0)),0,VLOOKUP($U$315,'TAR FIN'!$A$1:$O$85,15,0))</f>
        <v>256.83</v>
      </c>
      <c r="Y315" s="4"/>
      <c r="Z315" s="4">
        <f ca="1">('TUSD BE'!$AM$33+'TUSD BF'!$AM$33+'TUSD CVA'!$AM$33)*(1-CUSTOS!$M$38)</f>
        <v>403.45820595709068</v>
      </c>
      <c r="AA315" s="4">
        <f>('TE BE'!$AB$24+'TE BF'!$AB$24+'TE CVA'!$AB$24)*(1-CUSTOS!$M$38)</f>
        <v>200.94689439603792</v>
      </c>
      <c r="AB315" s="4">
        <f>$K$315*$V$315</f>
        <v>0</v>
      </c>
      <c r="AC315" s="4">
        <f>$M$315*$W$315</f>
        <v>53864.407080000004</v>
      </c>
      <c r="AD315" s="4">
        <f>$O$315*$X$315</f>
        <v>42410.851559999996</v>
      </c>
      <c r="AE315" s="4">
        <f>$K$315*$Y$315</f>
        <v>0</v>
      </c>
      <c r="AF315" s="4">
        <f ca="1">$M$315*$Z$315</f>
        <v>66623.8604661063</v>
      </c>
      <c r="AG315" s="4">
        <f>$O$315*$AA$315</f>
        <v>33182.762565406534</v>
      </c>
    </row>
    <row r="316" spans="1:33" ht="11.25" customHeight="1" x14ac:dyDescent="0.3">
      <c r="A316" s="3" t="s">
        <v>48</v>
      </c>
      <c r="B316" s="3" t="s">
        <v>40</v>
      </c>
      <c r="C316" s="3" t="s">
        <v>23</v>
      </c>
      <c r="D316" s="3" t="s">
        <v>41</v>
      </c>
      <c r="E316" s="3" t="s">
        <v>50</v>
      </c>
      <c r="F316" s="3" t="s">
        <v>51</v>
      </c>
      <c r="G316" s="3" t="s">
        <v>25</v>
      </c>
      <c r="H316" s="3" t="s">
        <v>25</v>
      </c>
      <c r="I316" s="6">
        <v>44652</v>
      </c>
      <c r="J316" s="4">
        <v>0</v>
      </c>
      <c r="K316" s="4">
        <v>0</v>
      </c>
      <c r="L316" s="4">
        <v>-0.29399999999999998</v>
      </c>
      <c r="M316" s="4">
        <v>-0.29399999999999998</v>
      </c>
      <c r="N316" s="4">
        <v>-0.29399999999999998</v>
      </c>
      <c r="O316" s="4">
        <v>-0.29399999999999998</v>
      </c>
      <c r="P316" s="4">
        <v>0</v>
      </c>
      <c r="Q316" s="3" t="s">
        <v>26</v>
      </c>
      <c r="R316" s="3">
        <v>0</v>
      </c>
      <c r="S316" s="4">
        <v>0</v>
      </c>
      <c r="T316" s="4">
        <v>36</v>
      </c>
      <c r="U316" s="4">
        <v>80</v>
      </c>
      <c r="V316" s="4">
        <f>IF(ISERROR(VLOOKUP($S$316,'TAR FIN'!$A$1:$O$85,15,0)),0,VLOOKUP($S$316,'TAR FIN'!$A$1:$O$85,15,0))</f>
        <v>0</v>
      </c>
      <c r="W316" s="4">
        <f>IF(ISERROR(VLOOKUP($T$316,'TAR FIN'!$A$1:$O$85,15,0)),0,VLOOKUP($T$316,'TAR FIN'!$A$1:$O$85,15,0))</f>
        <v>326.19</v>
      </c>
      <c r="X316" s="4">
        <f>IF(ISERROR(VLOOKUP($U$316,'TAR FIN'!$A$1:$O$85,15,0)),0,VLOOKUP($U$316,'TAR FIN'!$A$1:$O$85,15,0))</f>
        <v>256.83</v>
      </c>
      <c r="Y316" s="4"/>
      <c r="Z316" s="4">
        <f ca="1">('TUSD BE'!$AM$33+'TUSD BF'!$AM$33+'TUSD CVA'!$AM$33)*(1-CUSTOS!$M$38)</f>
        <v>403.45820595709068</v>
      </c>
      <c r="AA316" s="4">
        <f>('TE BE'!$AB$24+'TE BF'!$AB$24+'TE CVA'!$AB$24)*(1-CUSTOS!$M$38)</f>
        <v>200.94689439603792</v>
      </c>
      <c r="AB316" s="4">
        <f>$K$316*$V$316</f>
        <v>0</v>
      </c>
      <c r="AC316" s="4">
        <f>$M$316*$W$316</f>
        <v>-95.89985999999999</v>
      </c>
      <c r="AD316" s="4">
        <f>$O$316*$X$316</f>
        <v>-75.508019999999988</v>
      </c>
      <c r="AE316" s="4">
        <f>$K$316*$Y$316</f>
        <v>0</v>
      </c>
      <c r="AF316" s="4">
        <f ca="1">$M$316*$Z$316</f>
        <v>-118.61671255138465</v>
      </c>
      <c r="AG316" s="4">
        <f>$O$316*$AA$316</f>
        <v>-59.078386952435146</v>
      </c>
    </row>
    <row r="317" spans="1:33" ht="11.25" customHeight="1" x14ac:dyDescent="0.3">
      <c r="A317" s="3" t="s">
        <v>27</v>
      </c>
      <c r="B317" s="3" t="s">
        <v>40</v>
      </c>
      <c r="C317" s="3" t="s">
        <v>23</v>
      </c>
      <c r="D317" s="3" t="s">
        <v>41</v>
      </c>
      <c r="E317" s="3" t="s">
        <v>50</v>
      </c>
      <c r="F317" s="3" t="s">
        <v>51</v>
      </c>
      <c r="G317" s="3" t="s">
        <v>25</v>
      </c>
      <c r="H317" s="3" t="s">
        <v>25</v>
      </c>
      <c r="I317" s="6">
        <v>44652</v>
      </c>
      <c r="J317" s="4">
        <v>0</v>
      </c>
      <c r="K317" s="4">
        <v>0</v>
      </c>
      <c r="L317" s="4">
        <v>15.925000000000001</v>
      </c>
      <c r="M317" s="4">
        <v>15.925000000000001</v>
      </c>
      <c r="N317" s="4">
        <v>15.925000000000001</v>
      </c>
      <c r="O317" s="4">
        <v>15.925000000000001</v>
      </c>
      <c r="P317" s="4">
        <v>0</v>
      </c>
      <c r="Q317" s="3" t="s">
        <v>26</v>
      </c>
      <c r="R317" s="3">
        <v>0</v>
      </c>
      <c r="S317" s="4">
        <v>0</v>
      </c>
      <c r="T317" s="4">
        <v>36</v>
      </c>
      <c r="U317" s="4">
        <v>80</v>
      </c>
      <c r="V317" s="4">
        <f>IF(ISERROR(VLOOKUP($S$317,'TAR FIN'!$A$1:$O$85,15,0)),0,VLOOKUP($S$317,'TAR FIN'!$A$1:$O$85,15,0))</f>
        <v>0</v>
      </c>
      <c r="W317" s="4">
        <f>IF(ISERROR(VLOOKUP($T$317,'TAR FIN'!$A$1:$O$85,15,0)),0,VLOOKUP($T$317,'TAR FIN'!$A$1:$O$85,15,0))</f>
        <v>326.19</v>
      </c>
      <c r="X317" s="4">
        <f>IF(ISERROR(VLOOKUP($U$317,'TAR FIN'!$A$1:$O$85,15,0)),0,VLOOKUP($U$317,'TAR FIN'!$A$1:$O$85,15,0))</f>
        <v>256.83</v>
      </c>
      <c r="Y317" s="4"/>
      <c r="Z317" s="4">
        <f ca="1">('TUSD BE'!$AM$33+'TUSD BF'!$AM$33+'TUSD CVA'!$AM$33)*(1-CUSTOS!$M$38)</f>
        <v>403.45820595709068</v>
      </c>
      <c r="AA317" s="4">
        <f>('TE BE'!$AB$24+'TE BF'!$AB$24+'TE CVA'!$AB$24)*(1-CUSTOS!$M$38)</f>
        <v>200.94689439603792</v>
      </c>
      <c r="AB317" s="4">
        <f>$K$317*$V$317</f>
        <v>0</v>
      </c>
      <c r="AC317" s="4">
        <f>$M$317*$W$317</f>
        <v>5194.57575</v>
      </c>
      <c r="AD317" s="4">
        <f>$O$317*$X$317</f>
        <v>4090.01775</v>
      </c>
      <c r="AE317" s="4">
        <f>$K$317*$Y$317</f>
        <v>0</v>
      </c>
      <c r="AF317" s="4">
        <f ca="1">$M$317*$Z$317</f>
        <v>6425.0719298666691</v>
      </c>
      <c r="AG317" s="4">
        <f>$O$317*$AA$317</f>
        <v>3200.0792932569038</v>
      </c>
    </row>
    <row r="318" spans="1:33" ht="11.25" customHeight="1" x14ac:dyDescent="0.3">
      <c r="A318" s="3" t="s">
        <v>27</v>
      </c>
      <c r="B318" s="3" t="s">
        <v>40</v>
      </c>
      <c r="C318" s="3" t="s">
        <v>23</v>
      </c>
      <c r="D318" s="3" t="s">
        <v>41</v>
      </c>
      <c r="E318" s="3" t="s">
        <v>50</v>
      </c>
      <c r="F318" s="3" t="s">
        <v>51</v>
      </c>
      <c r="G318" s="3" t="s">
        <v>25</v>
      </c>
      <c r="H318" s="3" t="s">
        <v>25</v>
      </c>
      <c r="I318" s="6">
        <v>44652</v>
      </c>
      <c r="J318" s="4">
        <v>0</v>
      </c>
      <c r="K318" s="4">
        <v>0</v>
      </c>
      <c r="L318" s="4">
        <v>-14.53</v>
      </c>
      <c r="M318" s="4">
        <v>-14.53</v>
      </c>
      <c r="N318" s="4">
        <v>-14.53</v>
      </c>
      <c r="O318" s="4">
        <v>-14.53</v>
      </c>
      <c r="P318" s="4">
        <v>0</v>
      </c>
      <c r="Q318" s="3" t="s">
        <v>26</v>
      </c>
      <c r="R318" s="3">
        <v>0</v>
      </c>
      <c r="S318" s="4">
        <v>0</v>
      </c>
      <c r="T318" s="4">
        <v>36</v>
      </c>
      <c r="U318" s="4">
        <v>80</v>
      </c>
      <c r="V318" s="4">
        <f>IF(ISERROR(VLOOKUP($S$318,'TAR FIN'!$A$1:$O$85,15,0)),0,VLOOKUP($S$318,'TAR FIN'!$A$1:$O$85,15,0))</f>
        <v>0</v>
      </c>
      <c r="W318" s="4">
        <f>IF(ISERROR(VLOOKUP($T$318,'TAR FIN'!$A$1:$O$85,15,0)),0,VLOOKUP($T$318,'TAR FIN'!$A$1:$O$85,15,0))</f>
        <v>326.19</v>
      </c>
      <c r="X318" s="4">
        <f>IF(ISERROR(VLOOKUP($U$318,'TAR FIN'!$A$1:$O$85,15,0)),0,VLOOKUP($U$318,'TAR FIN'!$A$1:$O$85,15,0))</f>
        <v>256.83</v>
      </c>
      <c r="Y318" s="4"/>
      <c r="Z318" s="4">
        <f ca="1">('TUSD BE'!$AM$33+'TUSD BF'!$AM$33+'TUSD CVA'!$AM$33)*(1-CUSTOS!$M$38)</f>
        <v>403.45820595709068</v>
      </c>
      <c r="AA318" s="4">
        <f>('TE BE'!$AB$24+'TE BF'!$AB$24+'TE CVA'!$AB$24)*(1-CUSTOS!$M$38)</f>
        <v>200.94689439603792</v>
      </c>
      <c r="AB318" s="4">
        <f>$K$318*$V$318</f>
        <v>0</v>
      </c>
      <c r="AC318" s="4">
        <f>$M$318*$W$318</f>
        <v>-4739.5406999999996</v>
      </c>
      <c r="AD318" s="4">
        <f>$O$318*$X$318</f>
        <v>-3731.7398999999996</v>
      </c>
      <c r="AE318" s="4">
        <f>$K$318*$Y$318</f>
        <v>0</v>
      </c>
      <c r="AF318" s="4">
        <f ca="1">$M$318*$Z$318</f>
        <v>-5862.2477325565278</v>
      </c>
      <c r="AG318" s="4">
        <f>$O$318*$AA$318</f>
        <v>-2919.7583755744308</v>
      </c>
    </row>
    <row r="319" spans="1:33" ht="11.25" customHeight="1" x14ac:dyDescent="0.3">
      <c r="A319" s="3" t="s">
        <v>21</v>
      </c>
      <c r="B319" s="3" t="s">
        <v>40</v>
      </c>
      <c r="C319" s="3" t="s">
        <v>23</v>
      </c>
      <c r="D319" s="3" t="s">
        <v>41</v>
      </c>
      <c r="E319" s="3" t="s">
        <v>50</v>
      </c>
      <c r="F319" s="3" t="s">
        <v>51</v>
      </c>
      <c r="G319" s="3" t="s">
        <v>25</v>
      </c>
      <c r="H319" s="3" t="s">
        <v>25</v>
      </c>
      <c r="I319" s="6">
        <v>44682</v>
      </c>
      <c r="J319" s="4">
        <v>0</v>
      </c>
      <c r="K319" s="4">
        <v>0</v>
      </c>
      <c r="L319" s="4">
        <v>155.02699999999999</v>
      </c>
      <c r="M319" s="4">
        <v>155.02699999999999</v>
      </c>
      <c r="N319" s="4">
        <v>155.02699999999999</v>
      </c>
      <c r="O319" s="4">
        <v>155.02699999999999</v>
      </c>
      <c r="P319" s="4">
        <v>0</v>
      </c>
      <c r="Q319" s="3" t="s">
        <v>26</v>
      </c>
      <c r="R319" s="3">
        <v>0</v>
      </c>
      <c r="S319" s="4">
        <v>0</v>
      </c>
      <c r="T319" s="4">
        <v>36</v>
      </c>
      <c r="U319" s="4">
        <v>80</v>
      </c>
      <c r="V319" s="4">
        <f>IF(ISERROR(VLOOKUP($S$319,'TAR FIN'!$A$1:$O$85,15,0)),0,VLOOKUP($S$319,'TAR FIN'!$A$1:$O$85,15,0))</f>
        <v>0</v>
      </c>
      <c r="W319" s="4">
        <f>IF(ISERROR(VLOOKUP($T$319,'TAR FIN'!$A$1:$O$85,15,0)),0,VLOOKUP($T$319,'TAR FIN'!$A$1:$O$85,15,0))</f>
        <v>326.19</v>
      </c>
      <c r="X319" s="4">
        <f>IF(ISERROR(VLOOKUP($U$319,'TAR FIN'!$A$1:$O$85,15,0)),0,VLOOKUP($U$319,'TAR FIN'!$A$1:$O$85,15,0))</f>
        <v>256.83</v>
      </c>
      <c r="Y319" s="4"/>
      <c r="Z319" s="4">
        <f ca="1">('TUSD BE'!$AM$33+'TUSD BF'!$AM$33+'TUSD CVA'!$AM$33)*(1-CUSTOS!$M$38)</f>
        <v>403.45820595709068</v>
      </c>
      <c r="AA319" s="4">
        <f>('TE BE'!$AB$24+'TE BF'!$AB$24+'TE CVA'!$AB$24)*(1-CUSTOS!$M$38)</f>
        <v>200.94689439603792</v>
      </c>
      <c r="AB319" s="4">
        <f>$K$319*$V$319</f>
        <v>0</v>
      </c>
      <c r="AC319" s="4">
        <f>$M$319*$W$319</f>
        <v>50568.257129999998</v>
      </c>
      <c r="AD319" s="4">
        <f>$O$319*$X$319</f>
        <v>39815.584409999996</v>
      </c>
      <c r="AE319" s="4">
        <f>$K$319*$Y$319</f>
        <v>0</v>
      </c>
      <c r="AF319" s="4">
        <f ca="1">$M$319*$Z$319</f>
        <v>62546.915294909893</v>
      </c>
      <c r="AG319" s="4">
        <f>$O$319*$AA$319</f>
        <v>31152.194197534569</v>
      </c>
    </row>
    <row r="320" spans="1:33" ht="11.25" customHeight="1" x14ac:dyDescent="0.3">
      <c r="A320" s="3" t="s">
        <v>27</v>
      </c>
      <c r="B320" s="3" t="s">
        <v>40</v>
      </c>
      <c r="C320" s="3" t="s">
        <v>23</v>
      </c>
      <c r="D320" s="3" t="s">
        <v>41</v>
      </c>
      <c r="E320" s="3" t="s">
        <v>50</v>
      </c>
      <c r="F320" s="3" t="s">
        <v>51</v>
      </c>
      <c r="G320" s="3" t="s">
        <v>25</v>
      </c>
      <c r="H320" s="3" t="s">
        <v>25</v>
      </c>
      <c r="I320" s="6">
        <v>44682</v>
      </c>
      <c r="J320" s="4">
        <v>0</v>
      </c>
      <c r="K320" s="4">
        <v>0</v>
      </c>
      <c r="L320" s="4">
        <v>3.8679999999999999</v>
      </c>
      <c r="M320" s="4">
        <v>3.8679999999999999</v>
      </c>
      <c r="N320" s="4">
        <v>3.8679999999999999</v>
      </c>
      <c r="O320" s="4">
        <v>3.8679999999999999</v>
      </c>
      <c r="P320" s="4">
        <v>0</v>
      </c>
      <c r="Q320" s="3" t="s">
        <v>26</v>
      </c>
      <c r="R320" s="3">
        <v>0</v>
      </c>
      <c r="S320" s="4">
        <v>0</v>
      </c>
      <c r="T320" s="4">
        <v>36</v>
      </c>
      <c r="U320" s="4">
        <v>80</v>
      </c>
      <c r="V320" s="4">
        <f>IF(ISERROR(VLOOKUP($S$320,'TAR FIN'!$A$1:$O$85,15,0)),0,VLOOKUP($S$320,'TAR FIN'!$A$1:$O$85,15,0))</f>
        <v>0</v>
      </c>
      <c r="W320" s="4">
        <f>IF(ISERROR(VLOOKUP($T$320,'TAR FIN'!$A$1:$O$85,15,0)),0,VLOOKUP($T$320,'TAR FIN'!$A$1:$O$85,15,0))</f>
        <v>326.19</v>
      </c>
      <c r="X320" s="4">
        <f>IF(ISERROR(VLOOKUP($U$320,'TAR FIN'!$A$1:$O$85,15,0)),0,VLOOKUP($U$320,'TAR FIN'!$A$1:$O$85,15,0))</f>
        <v>256.83</v>
      </c>
      <c r="Y320" s="4"/>
      <c r="Z320" s="4">
        <f ca="1">('TUSD BE'!$AM$33+'TUSD BF'!$AM$33+'TUSD CVA'!$AM$33)*(1-CUSTOS!$M$38)</f>
        <v>403.45820595709068</v>
      </c>
      <c r="AA320" s="4">
        <f>('TE BE'!$AB$24+'TE BF'!$AB$24+'TE CVA'!$AB$24)*(1-CUSTOS!$M$38)</f>
        <v>200.94689439603792</v>
      </c>
      <c r="AB320" s="4">
        <f>$K$320*$V$320</f>
        <v>0</v>
      </c>
      <c r="AC320" s="4">
        <f>$M$320*$W$320</f>
        <v>1261.7029199999999</v>
      </c>
      <c r="AD320" s="4">
        <f>$O$320*$X$320</f>
        <v>993.41843999999992</v>
      </c>
      <c r="AE320" s="4">
        <f>$K$320*$Y$320</f>
        <v>0</v>
      </c>
      <c r="AF320" s="4">
        <f ca="1">$M$320*$Z$320</f>
        <v>1560.5763406420267</v>
      </c>
      <c r="AG320" s="4">
        <f>$O$320*$AA$320</f>
        <v>777.26258752387469</v>
      </c>
    </row>
    <row r="321" spans="1:33" ht="11.25" customHeight="1" x14ac:dyDescent="0.3">
      <c r="A321" s="3" t="s">
        <v>27</v>
      </c>
      <c r="B321" s="3" t="s">
        <v>40</v>
      </c>
      <c r="C321" s="3" t="s">
        <v>23</v>
      </c>
      <c r="D321" s="3" t="s">
        <v>41</v>
      </c>
      <c r="E321" s="3" t="s">
        <v>50</v>
      </c>
      <c r="F321" s="3" t="s">
        <v>51</v>
      </c>
      <c r="G321" s="3" t="s">
        <v>25</v>
      </c>
      <c r="H321" s="3" t="s">
        <v>25</v>
      </c>
      <c r="I321" s="6">
        <v>44682</v>
      </c>
      <c r="J321" s="4">
        <v>0</v>
      </c>
      <c r="K321" s="4">
        <v>0</v>
      </c>
      <c r="L321" s="4">
        <v>-11.319000000000001</v>
      </c>
      <c r="M321" s="4">
        <v>-11.319000000000001</v>
      </c>
      <c r="N321" s="4">
        <v>-11.319000000000001</v>
      </c>
      <c r="O321" s="4">
        <v>-11.319000000000001</v>
      </c>
      <c r="P321" s="4">
        <v>0</v>
      </c>
      <c r="Q321" s="3" t="s">
        <v>26</v>
      </c>
      <c r="R321" s="3">
        <v>0</v>
      </c>
      <c r="S321" s="4">
        <v>0</v>
      </c>
      <c r="T321" s="4">
        <v>36</v>
      </c>
      <c r="U321" s="4">
        <v>80</v>
      </c>
      <c r="V321" s="4">
        <f>IF(ISERROR(VLOOKUP($S$321,'TAR FIN'!$A$1:$O$85,15,0)),0,VLOOKUP($S$321,'TAR FIN'!$A$1:$O$85,15,0))</f>
        <v>0</v>
      </c>
      <c r="W321" s="4">
        <f>IF(ISERROR(VLOOKUP($T$321,'TAR FIN'!$A$1:$O$85,15,0)),0,VLOOKUP($T$321,'TAR FIN'!$A$1:$O$85,15,0))</f>
        <v>326.19</v>
      </c>
      <c r="X321" s="4">
        <f>IF(ISERROR(VLOOKUP($U$321,'TAR FIN'!$A$1:$O$85,15,0)),0,VLOOKUP($U$321,'TAR FIN'!$A$1:$O$85,15,0))</f>
        <v>256.83</v>
      </c>
      <c r="Y321" s="4"/>
      <c r="Z321" s="4">
        <f ca="1">('TUSD BE'!$AM$33+'TUSD BF'!$AM$33+'TUSD CVA'!$AM$33)*(1-CUSTOS!$M$38)</f>
        <v>403.45820595709068</v>
      </c>
      <c r="AA321" s="4">
        <f>('TE BE'!$AB$24+'TE BF'!$AB$24+'TE CVA'!$AB$24)*(1-CUSTOS!$M$38)</f>
        <v>200.94689439603792</v>
      </c>
      <c r="AB321" s="4">
        <f>$K$321*$V$321</f>
        <v>0</v>
      </c>
      <c r="AC321" s="4">
        <f>$M$321*$W$321</f>
        <v>-3692.1446100000003</v>
      </c>
      <c r="AD321" s="4">
        <f>$O$321*$X$321</f>
        <v>-2907.0587700000001</v>
      </c>
      <c r="AE321" s="4">
        <f>$K$321*$Y$321</f>
        <v>0</v>
      </c>
      <c r="AF321" s="4">
        <f ca="1">$M$321*$Z$321</f>
        <v>-4566.7434332283101</v>
      </c>
      <c r="AG321" s="4">
        <f>$O$321*$AA$321</f>
        <v>-2274.5178976687534</v>
      </c>
    </row>
    <row r="322" spans="1:33" ht="11.25" customHeight="1" x14ac:dyDescent="0.3">
      <c r="A322" s="3" t="s">
        <v>21</v>
      </c>
      <c r="B322" s="3" t="s">
        <v>40</v>
      </c>
      <c r="C322" s="3" t="s">
        <v>23</v>
      </c>
      <c r="D322" s="3" t="s">
        <v>41</v>
      </c>
      <c r="E322" s="3" t="s">
        <v>50</v>
      </c>
      <c r="F322" s="3" t="s">
        <v>51</v>
      </c>
      <c r="G322" s="3" t="s">
        <v>25</v>
      </c>
      <c r="H322" s="3" t="s">
        <v>25</v>
      </c>
      <c r="I322" s="6">
        <v>44713</v>
      </c>
      <c r="J322" s="4">
        <v>0</v>
      </c>
      <c r="K322" s="4">
        <v>0</v>
      </c>
      <c r="L322" s="4">
        <v>138.32900000000001</v>
      </c>
      <c r="M322" s="4">
        <v>138.32900000000001</v>
      </c>
      <c r="N322" s="4">
        <v>138.32900000000001</v>
      </c>
      <c r="O322" s="4">
        <v>138.32900000000001</v>
      </c>
      <c r="P322" s="4">
        <v>0</v>
      </c>
      <c r="Q322" s="3" t="s">
        <v>26</v>
      </c>
      <c r="R322" s="3">
        <v>0</v>
      </c>
      <c r="S322" s="4">
        <v>0</v>
      </c>
      <c r="T322" s="4">
        <v>36</v>
      </c>
      <c r="U322" s="4">
        <v>80</v>
      </c>
      <c r="V322" s="4">
        <f>IF(ISERROR(VLOOKUP($S$322,'TAR FIN'!$A$1:$O$85,15,0)),0,VLOOKUP($S$322,'TAR FIN'!$A$1:$O$85,15,0))</f>
        <v>0</v>
      </c>
      <c r="W322" s="4">
        <f>IF(ISERROR(VLOOKUP($T$322,'TAR FIN'!$A$1:$O$85,15,0)),0,VLOOKUP($T$322,'TAR FIN'!$A$1:$O$85,15,0))</f>
        <v>326.19</v>
      </c>
      <c r="X322" s="4">
        <f>IF(ISERROR(VLOOKUP($U$322,'TAR FIN'!$A$1:$O$85,15,0)),0,VLOOKUP($U$322,'TAR FIN'!$A$1:$O$85,15,0))</f>
        <v>256.83</v>
      </c>
      <c r="Y322" s="4"/>
      <c r="Z322" s="4">
        <f ca="1">('TUSD BE'!$AM$33+'TUSD BF'!$AM$33+'TUSD CVA'!$AM$33)*(1-CUSTOS!$M$38)</f>
        <v>403.45820595709068</v>
      </c>
      <c r="AA322" s="4">
        <f>('TE BE'!$AB$24+'TE BF'!$AB$24+'TE CVA'!$AB$24)*(1-CUSTOS!$M$38)</f>
        <v>200.94689439603792</v>
      </c>
      <c r="AB322" s="4">
        <f>$K$322*$V$322</f>
        <v>0</v>
      </c>
      <c r="AC322" s="4">
        <f>$M$322*$W$322</f>
        <v>45121.536510000005</v>
      </c>
      <c r="AD322" s="4">
        <f>$O$322*$X$322</f>
        <v>35527.037069999998</v>
      </c>
      <c r="AE322" s="4">
        <f>$K$322*$Y$322</f>
        <v>0</v>
      </c>
      <c r="AF322" s="4">
        <f ca="1">$M$322*$Z$322</f>
        <v>55809.970171838402</v>
      </c>
      <c r="AG322" s="4">
        <f>$O$322*$AA$322</f>
        <v>27796.78295490953</v>
      </c>
    </row>
    <row r="323" spans="1:33" ht="11.25" customHeight="1" x14ac:dyDescent="0.3">
      <c r="A323" s="3" t="s">
        <v>48</v>
      </c>
      <c r="B323" s="3" t="s">
        <v>40</v>
      </c>
      <c r="C323" s="3" t="s">
        <v>23</v>
      </c>
      <c r="D323" s="3" t="s">
        <v>41</v>
      </c>
      <c r="E323" s="3" t="s">
        <v>50</v>
      </c>
      <c r="F323" s="3" t="s">
        <v>51</v>
      </c>
      <c r="G323" s="3" t="s">
        <v>25</v>
      </c>
      <c r="H323" s="3" t="s">
        <v>25</v>
      </c>
      <c r="I323" s="6">
        <v>44713</v>
      </c>
      <c r="J323" s="4">
        <v>0</v>
      </c>
      <c r="K323" s="4">
        <v>0</v>
      </c>
      <c r="L323" s="4">
        <v>2E-3</v>
      </c>
      <c r="M323" s="4">
        <v>2E-3</v>
      </c>
      <c r="N323" s="4">
        <v>2E-3</v>
      </c>
      <c r="O323" s="4">
        <v>2E-3</v>
      </c>
      <c r="P323" s="4">
        <v>0</v>
      </c>
      <c r="Q323" s="3" t="s">
        <v>26</v>
      </c>
      <c r="R323" s="3">
        <v>0</v>
      </c>
      <c r="S323" s="4">
        <v>0</v>
      </c>
      <c r="T323" s="4">
        <v>36</v>
      </c>
      <c r="U323" s="4">
        <v>80</v>
      </c>
      <c r="V323" s="4">
        <f>IF(ISERROR(VLOOKUP($S$323,'TAR FIN'!$A$1:$O$85,15,0)),0,VLOOKUP($S$323,'TAR FIN'!$A$1:$O$85,15,0))</f>
        <v>0</v>
      </c>
      <c r="W323" s="4">
        <f>IF(ISERROR(VLOOKUP($T$323,'TAR FIN'!$A$1:$O$85,15,0)),0,VLOOKUP($T$323,'TAR FIN'!$A$1:$O$85,15,0))</f>
        <v>326.19</v>
      </c>
      <c r="X323" s="4">
        <f>IF(ISERROR(VLOOKUP($U$323,'TAR FIN'!$A$1:$O$85,15,0)),0,VLOOKUP($U$323,'TAR FIN'!$A$1:$O$85,15,0))</f>
        <v>256.83</v>
      </c>
      <c r="Y323" s="4"/>
      <c r="Z323" s="4">
        <f ca="1">('TUSD BE'!$AM$33+'TUSD BF'!$AM$33+'TUSD CVA'!$AM$33)*(1-CUSTOS!$M$38)</f>
        <v>403.45820595709068</v>
      </c>
      <c r="AA323" s="4">
        <f>('TE BE'!$AB$24+'TE BF'!$AB$24+'TE CVA'!$AB$24)*(1-CUSTOS!$M$38)</f>
        <v>200.94689439603792</v>
      </c>
      <c r="AB323" s="4">
        <f>$K$323*$V$323</f>
        <v>0</v>
      </c>
      <c r="AC323" s="4">
        <f>$M$323*$W$323</f>
        <v>0.65237999999999996</v>
      </c>
      <c r="AD323" s="4">
        <f>$O$323*$X$323</f>
        <v>0.51366000000000001</v>
      </c>
      <c r="AE323" s="4">
        <f>$K$323*$Y$323</f>
        <v>0</v>
      </c>
      <c r="AF323" s="4">
        <f ca="1">$M$323*$Z$323</f>
        <v>0.8069164119141814</v>
      </c>
      <c r="AG323" s="4">
        <f>$O$323*$AA$323</f>
        <v>0.40189378879207582</v>
      </c>
    </row>
    <row r="324" spans="1:33" ht="11.25" customHeight="1" x14ac:dyDescent="0.3">
      <c r="A324" s="3" t="s">
        <v>27</v>
      </c>
      <c r="B324" s="3" t="s">
        <v>40</v>
      </c>
      <c r="C324" s="3" t="s">
        <v>23</v>
      </c>
      <c r="D324" s="3" t="s">
        <v>41</v>
      </c>
      <c r="E324" s="3" t="s">
        <v>50</v>
      </c>
      <c r="F324" s="3" t="s">
        <v>51</v>
      </c>
      <c r="G324" s="3" t="s">
        <v>25</v>
      </c>
      <c r="H324" s="3" t="s">
        <v>25</v>
      </c>
      <c r="I324" s="6">
        <v>44713</v>
      </c>
      <c r="J324" s="4">
        <v>0</v>
      </c>
      <c r="K324" s="4">
        <v>0</v>
      </c>
      <c r="L324" s="4">
        <v>3.1179999999999999</v>
      </c>
      <c r="M324" s="4">
        <v>3.1179999999999999</v>
      </c>
      <c r="N324" s="4">
        <v>3.1179999999999999</v>
      </c>
      <c r="O324" s="4">
        <v>3.1179999999999999</v>
      </c>
      <c r="P324" s="4">
        <v>0</v>
      </c>
      <c r="Q324" s="3" t="s">
        <v>26</v>
      </c>
      <c r="R324" s="3">
        <v>0</v>
      </c>
      <c r="S324" s="4">
        <v>0</v>
      </c>
      <c r="T324" s="4">
        <v>36</v>
      </c>
      <c r="U324" s="4">
        <v>80</v>
      </c>
      <c r="V324" s="4">
        <f>IF(ISERROR(VLOOKUP($S$324,'TAR FIN'!$A$1:$O$85,15,0)),0,VLOOKUP($S$324,'TAR FIN'!$A$1:$O$85,15,0))</f>
        <v>0</v>
      </c>
      <c r="W324" s="4">
        <f>IF(ISERROR(VLOOKUP($T$324,'TAR FIN'!$A$1:$O$85,15,0)),0,VLOOKUP($T$324,'TAR FIN'!$A$1:$O$85,15,0))</f>
        <v>326.19</v>
      </c>
      <c r="X324" s="4">
        <f>IF(ISERROR(VLOOKUP($U$324,'TAR FIN'!$A$1:$O$85,15,0)),0,VLOOKUP($U$324,'TAR FIN'!$A$1:$O$85,15,0))</f>
        <v>256.83</v>
      </c>
      <c r="Y324" s="4"/>
      <c r="Z324" s="4">
        <f ca="1">('TUSD BE'!$AM$33+'TUSD BF'!$AM$33+'TUSD CVA'!$AM$33)*(1-CUSTOS!$M$38)</f>
        <v>403.45820595709068</v>
      </c>
      <c r="AA324" s="4">
        <f>('TE BE'!$AB$24+'TE BF'!$AB$24+'TE CVA'!$AB$24)*(1-CUSTOS!$M$38)</f>
        <v>200.94689439603792</v>
      </c>
      <c r="AB324" s="4">
        <f>$K$324*$V$324</f>
        <v>0</v>
      </c>
      <c r="AC324" s="4">
        <f>$M$324*$W$324</f>
        <v>1017.0604199999999</v>
      </c>
      <c r="AD324" s="4">
        <f>$O$324*$X$324</f>
        <v>800.79593999999997</v>
      </c>
      <c r="AE324" s="4">
        <f>$K$324*$Y$324</f>
        <v>0</v>
      </c>
      <c r="AF324" s="4">
        <f ca="1">$M$324*$Z$324</f>
        <v>1257.9826861742088</v>
      </c>
      <c r="AG324" s="4">
        <f>$O$324*$AA$324</f>
        <v>626.55241672684622</v>
      </c>
    </row>
    <row r="325" spans="1:33" ht="11.25" customHeight="1" x14ac:dyDescent="0.3">
      <c r="A325" s="3" t="s">
        <v>21</v>
      </c>
      <c r="B325" s="3" t="s">
        <v>40</v>
      </c>
      <c r="C325" s="3" t="s">
        <v>23</v>
      </c>
      <c r="D325" s="3" t="s">
        <v>41</v>
      </c>
      <c r="E325" s="3" t="s">
        <v>50</v>
      </c>
      <c r="F325" s="3" t="s">
        <v>51</v>
      </c>
      <c r="G325" s="3" t="s">
        <v>25</v>
      </c>
      <c r="H325" s="3" t="s">
        <v>25</v>
      </c>
      <c r="I325" s="6">
        <v>44743</v>
      </c>
      <c r="J325" s="4">
        <v>0</v>
      </c>
      <c r="K325" s="4">
        <v>0</v>
      </c>
      <c r="L325" s="4">
        <v>106.161</v>
      </c>
      <c r="M325" s="4">
        <v>106.161</v>
      </c>
      <c r="N325" s="4">
        <v>106.161</v>
      </c>
      <c r="O325" s="4">
        <v>106.161</v>
      </c>
      <c r="P325" s="4">
        <v>0</v>
      </c>
      <c r="Q325" s="3" t="s">
        <v>26</v>
      </c>
      <c r="R325" s="3">
        <v>0</v>
      </c>
      <c r="S325" s="4">
        <v>0</v>
      </c>
      <c r="T325" s="4">
        <v>36</v>
      </c>
      <c r="U325" s="4">
        <v>80</v>
      </c>
      <c r="V325" s="4">
        <f>IF(ISERROR(VLOOKUP($S$325,'TAR FIN'!$A$1:$O$85,15,0)),0,VLOOKUP($S$325,'TAR FIN'!$A$1:$O$85,15,0))</f>
        <v>0</v>
      </c>
      <c r="W325" s="4">
        <f>IF(ISERROR(VLOOKUP($T$325,'TAR FIN'!$A$1:$O$85,15,0)),0,VLOOKUP($T$325,'TAR FIN'!$A$1:$O$85,15,0))</f>
        <v>326.19</v>
      </c>
      <c r="X325" s="4">
        <f>IF(ISERROR(VLOOKUP($U$325,'TAR FIN'!$A$1:$O$85,15,0)),0,VLOOKUP($U$325,'TAR FIN'!$A$1:$O$85,15,0))</f>
        <v>256.83</v>
      </c>
      <c r="Y325" s="4"/>
      <c r="Z325" s="4">
        <f ca="1">('TUSD BE'!$AM$33+'TUSD BF'!$AM$33+'TUSD CVA'!$AM$33)*(1-CUSTOS!$M$38)</f>
        <v>403.45820595709068</v>
      </c>
      <c r="AA325" s="4">
        <f>('TE BE'!$AB$24+'TE BF'!$AB$24+'TE CVA'!$AB$24)*(1-CUSTOS!$M$38)</f>
        <v>200.94689439603792</v>
      </c>
      <c r="AB325" s="4">
        <f>$K$325*$V$325</f>
        <v>0</v>
      </c>
      <c r="AC325" s="4">
        <f>$M$325*$W$325</f>
        <v>34628.656589999999</v>
      </c>
      <c r="AD325" s="4">
        <f>$O$325*$X$325</f>
        <v>27265.32963</v>
      </c>
      <c r="AE325" s="4">
        <f>$K$325*$Y$325</f>
        <v>0</v>
      </c>
      <c r="AF325" s="4">
        <f ca="1">$M$325*$Z$325</f>
        <v>42831.526602610706</v>
      </c>
      <c r="AG325" s="4">
        <f>$O$325*$AA$325</f>
        <v>21332.72325597778</v>
      </c>
    </row>
    <row r="326" spans="1:33" ht="11.25" customHeight="1" x14ac:dyDescent="0.3">
      <c r="A326" s="3" t="s">
        <v>27</v>
      </c>
      <c r="B326" s="3" t="s">
        <v>40</v>
      </c>
      <c r="C326" s="3" t="s">
        <v>23</v>
      </c>
      <c r="D326" s="3" t="s">
        <v>41</v>
      </c>
      <c r="E326" s="3" t="s">
        <v>50</v>
      </c>
      <c r="F326" s="3" t="s">
        <v>51</v>
      </c>
      <c r="G326" s="3" t="s">
        <v>25</v>
      </c>
      <c r="H326" s="3" t="s">
        <v>25</v>
      </c>
      <c r="I326" s="6">
        <v>44743</v>
      </c>
      <c r="J326" s="4">
        <v>0</v>
      </c>
      <c r="K326" s="4">
        <v>0</v>
      </c>
      <c r="L326" s="4">
        <v>6.8719999999999999</v>
      </c>
      <c r="M326" s="4">
        <v>6.8719999999999999</v>
      </c>
      <c r="N326" s="4">
        <v>6.8719999999999999</v>
      </c>
      <c r="O326" s="4">
        <v>6.8719999999999999</v>
      </c>
      <c r="P326" s="4">
        <v>0</v>
      </c>
      <c r="Q326" s="3" t="s">
        <v>26</v>
      </c>
      <c r="R326" s="3">
        <v>0</v>
      </c>
      <c r="S326" s="4">
        <v>0</v>
      </c>
      <c r="T326" s="4">
        <v>36</v>
      </c>
      <c r="U326" s="4">
        <v>80</v>
      </c>
      <c r="V326" s="4">
        <f>IF(ISERROR(VLOOKUP($S$326,'TAR FIN'!$A$1:$O$85,15,0)),0,VLOOKUP($S$326,'TAR FIN'!$A$1:$O$85,15,0))</f>
        <v>0</v>
      </c>
      <c r="W326" s="4">
        <f>IF(ISERROR(VLOOKUP($T$326,'TAR FIN'!$A$1:$O$85,15,0)),0,VLOOKUP($T$326,'TAR FIN'!$A$1:$O$85,15,0))</f>
        <v>326.19</v>
      </c>
      <c r="X326" s="4">
        <f>IF(ISERROR(VLOOKUP($U$326,'TAR FIN'!$A$1:$O$85,15,0)),0,VLOOKUP($U$326,'TAR FIN'!$A$1:$O$85,15,0))</f>
        <v>256.83</v>
      </c>
      <c r="Y326" s="4"/>
      <c r="Z326" s="4">
        <f ca="1">('TUSD BE'!$AM$33+'TUSD BF'!$AM$33+'TUSD CVA'!$AM$33)*(1-CUSTOS!$M$38)</f>
        <v>403.45820595709068</v>
      </c>
      <c r="AA326" s="4">
        <f>('TE BE'!$AB$24+'TE BF'!$AB$24+'TE CVA'!$AB$24)*(1-CUSTOS!$M$38)</f>
        <v>200.94689439603792</v>
      </c>
      <c r="AB326" s="4">
        <f>$K$326*$V$326</f>
        <v>0</v>
      </c>
      <c r="AC326" s="4">
        <f>$M$326*$W$326</f>
        <v>2241.5776799999999</v>
      </c>
      <c r="AD326" s="4">
        <f>$O$326*$X$326</f>
        <v>1764.9357599999998</v>
      </c>
      <c r="AE326" s="4">
        <f>$K$326*$Y$326</f>
        <v>0</v>
      </c>
      <c r="AF326" s="4">
        <f ca="1">$M$326*$Z$326</f>
        <v>2772.5647913371272</v>
      </c>
      <c r="AG326" s="4">
        <f>$O$326*$AA$326</f>
        <v>1380.9070582895727</v>
      </c>
    </row>
    <row r="327" spans="1:33" ht="11.25" customHeight="1" x14ac:dyDescent="0.3">
      <c r="A327" s="3" t="s">
        <v>53</v>
      </c>
      <c r="B327" s="3" t="s">
        <v>40</v>
      </c>
      <c r="C327" s="3" t="s">
        <v>23</v>
      </c>
      <c r="D327" s="3" t="s">
        <v>41</v>
      </c>
      <c r="E327" s="3" t="s">
        <v>50</v>
      </c>
      <c r="F327" s="3" t="s">
        <v>51</v>
      </c>
      <c r="G327" s="3" t="s">
        <v>25</v>
      </c>
      <c r="H327" s="3" t="s">
        <v>25</v>
      </c>
      <c r="I327" s="6">
        <v>44774</v>
      </c>
      <c r="J327" s="4">
        <v>0</v>
      </c>
      <c r="K327" s="4">
        <v>0</v>
      </c>
      <c r="L327" s="4">
        <v>106.161</v>
      </c>
      <c r="M327" s="4">
        <v>106.161</v>
      </c>
      <c r="N327" s="4">
        <v>106.161</v>
      </c>
      <c r="O327" s="4">
        <v>106.161</v>
      </c>
      <c r="P327" s="4">
        <v>0</v>
      </c>
      <c r="Q327" s="3" t="s">
        <v>26</v>
      </c>
      <c r="R327" s="3">
        <v>0</v>
      </c>
      <c r="S327" s="4">
        <v>0</v>
      </c>
      <c r="T327" s="4">
        <v>36</v>
      </c>
      <c r="U327" s="4">
        <v>80</v>
      </c>
      <c r="V327" s="4">
        <f>IF(ISERROR(VLOOKUP($S$327,'TAR FIN'!$A$1:$O$85,15,0)),0,VLOOKUP($S$327,'TAR FIN'!$A$1:$O$85,15,0))</f>
        <v>0</v>
      </c>
      <c r="W327" s="4">
        <f>IF(ISERROR(VLOOKUP($T$327,'TAR FIN'!$A$1:$O$85,15,0)),0,VLOOKUP($T$327,'TAR FIN'!$A$1:$O$85,15,0))</f>
        <v>326.19</v>
      </c>
      <c r="X327" s="4">
        <f>IF(ISERROR(VLOOKUP($U$327,'TAR FIN'!$A$1:$O$85,15,0)),0,VLOOKUP($U$327,'TAR FIN'!$A$1:$O$85,15,0))</f>
        <v>256.83</v>
      </c>
      <c r="Y327" s="4"/>
      <c r="Z327" s="4">
        <f ca="1">('TUSD BE'!$AM$33+'TUSD BF'!$AM$33+'TUSD CVA'!$AM$33)*(1-CUSTOS!$M$38)</f>
        <v>403.45820595709068</v>
      </c>
      <c r="AA327" s="4">
        <f>('TE BE'!$AB$24+'TE BF'!$AB$24+'TE CVA'!$AB$24)*(1-CUSTOS!$M$38)</f>
        <v>200.94689439603792</v>
      </c>
      <c r="AB327" s="4">
        <f>$K$327*$V$327</f>
        <v>0</v>
      </c>
      <c r="AC327" s="4">
        <f>$M$327*$W$327</f>
        <v>34628.656589999999</v>
      </c>
      <c r="AD327" s="4">
        <f>$O$327*$X$327</f>
        <v>27265.32963</v>
      </c>
      <c r="AE327" s="4">
        <f>$K$327*$Y$327</f>
        <v>0</v>
      </c>
      <c r="AF327" s="4">
        <f ca="1">$M$327*$Z$327</f>
        <v>42831.526602610706</v>
      </c>
      <c r="AG327" s="4">
        <f>$O$327*$AA$327</f>
        <v>21332.72325597778</v>
      </c>
    </row>
    <row r="328" spans="1:33" ht="11.25" customHeight="1" x14ac:dyDescent="0.3">
      <c r="A328" s="3" t="s">
        <v>53</v>
      </c>
      <c r="B328" s="3" t="s">
        <v>40</v>
      </c>
      <c r="C328" s="3" t="s">
        <v>23</v>
      </c>
      <c r="D328" s="3" t="s">
        <v>41</v>
      </c>
      <c r="E328" s="3" t="s">
        <v>50</v>
      </c>
      <c r="F328" s="3" t="s">
        <v>51</v>
      </c>
      <c r="G328" s="3" t="s">
        <v>25</v>
      </c>
      <c r="H328" s="3" t="s">
        <v>25</v>
      </c>
      <c r="I328" s="6">
        <v>44774</v>
      </c>
      <c r="J328" s="4">
        <v>0</v>
      </c>
      <c r="K328" s="4">
        <v>0</v>
      </c>
      <c r="L328" s="4">
        <v>6.8719999999999999</v>
      </c>
      <c r="M328" s="4">
        <v>6.8719999999999999</v>
      </c>
      <c r="N328" s="4">
        <v>6.8719999999999999</v>
      </c>
      <c r="O328" s="4">
        <v>6.8719999999999999</v>
      </c>
      <c r="P328" s="4">
        <v>0</v>
      </c>
      <c r="Q328" s="3" t="s">
        <v>26</v>
      </c>
      <c r="R328" s="3">
        <v>0</v>
      </c>
      <c r="S328" s="4">
        <v>0</v>
      </c>
      <c r="T328" s="4">
        <v>36</v>
      </c>
      <c r="U328" s="4">
        <v>80</v>
      </c>
      <c r="V328" s="4">
        <f>IF(ISERROR(VLOOKUP($S$328,'TAR FIN'!$A$1:$O$85,15,0)),0,VLOOKUP($S$328,'TAR FIN'!$A$1:$O$85,15,0))</f>
        <v>0</v>
      </c>
      <c r="W328" s="4">
        <f>IF(ISERROR(VLOOKUP($T$328,'TAR FIN'!$A$1:$O$85,15,0)),0,VLOOKUP($T$328,'TAR FIN'!$A$1:$O$85,15,0))</f>
        <v>326.19</v>
      </c>
      <c r="X328" s="4">
        <f>IF(ISERROR(VLOOKUP($U$328,'TAR FIN'!$A$1:$O$85,15,0)),0,VLOOKUP($U$328,'TAR FIN'!$A$1:$O$85,15,0))</f>
        <v>256.83</v>
      </c>
      <c r="Y328" s="4"/>
      <c r="Z328" s="4">
        <f ca="1">('TUSD BE'!$AM$33+'TUSD BF'!$AM$33+'TUSD CVA'!$AM$33)*(1-CUSTOS!$M$38)</f>
        <v>403.45820595709068</v>
      </c>
      <c r="AA328" s="4">
        <f>('TE BE'!$AB$24+'TE BF'!$AB$24+'TE CVA'!$AB$24)*(1-CUSTOS!$M$38)</f>
        <v>200.94689439603792</v>
      </c>
      <c r="AB328" s="4">
        <f>$K$328*$V$328</f>
        <v>0</v>
      </c>
      <c r="AC328" s="4">
        <f>$M$328*$W$328</f>
        <v>2241.5776799999999</v>
      </c>
      <c r="AD328" s="4">
        <f>$O$328*$X$328</f>
        <v>1764.9357599999998</v>
      </c>
      <c r="AE328" s="4">
        <f>$K$328*$Y$328</f>
        <v>0</v>
      </c>
      <c r="AF328" s="4">
        <f ca="1">$M$328*$Z$328</f>
        <v>2772.5647913371272</v>
      </c>
      <c r="AG328" s="4">
        <f>$O$328*$AA$328</f>
        <v>1380.9070582895727</v>
      </c>
    </row>
    <row r="329" spans="1:33" ht="11.25" customHeight="1" x14ac:dyDescent="0.3">
      <c r="A329" s="3" t="s">
        <v>21</v>
      </c>
      <c r="B329" s="3" t="s">
        <v>40</v>
      </c>
      <c r="C329" s="3" t="s">
        <v>23</v>
      </c>
      <c r="D329" s="3" t="s">
        <v>41</v>
      </c>
      <c r="E329" s="3" t="s">
        <v>50</v>
      </c>
      <c r="F329" s="3" t="s">
        <v>52</v>
      </c>
      <c r="G329" s="3" t="s">
        <v>25</v>
      </c>
      <c r="H329" s="3" t="s">
        <v>25</v>
      </c>
      <c r="I329" s="6">
        <v>44440</v>
      </c>
      <c r="J329" s="4">
        <v>0</v>
      </c>
      <c r="K329" s="4">
        <v>0</v>
      </c>
      <c r="L329" s="4">
        <v>141.75899999999999</v>
      </c>
      <c r="M329" s="4">
        <v>56.703600000000002</v>
      </c>
      <c r="N329" s="4">
        <v>141.75899999999999</v>
      </c>
      <c r="O329" s="4">
        <v>56.703600000000002</v>
      </c>
      <c r="P329" s="4">
        <v>0</v>
      </c>
      <c r="Q329" s="3" t="s">
        <v>26</v>
      </c>
      <c r="R329" s="3">
        <v>0</v>
      </c>
      <c r="S329" s="4">
        <v>0</v>
      </c>
      <c r="T329" s="4">
        <v>36</v>
      </c>
      <c r="U329" s="4">
        <v>80</v>
      </c>
      <c r="V329" s="4">
        <f>IF(ISERROR(VLOOKUP($S$329,'TAR FIN'!$A$1:$O$85,15,0)),0,VLOOKUP($S$329,'TAR FIN'!$A$1:$O$85,15,0))</f>
        <v>0</v>
      </c>
      <c r="W329" s="4">
        <f>IF(ISERROR(VLOOKUP($T$329,'TAR FIN'!$A$1:$O$85,15,0)),0,VLOOKUP($T$329,'TAR FIN'!$A$1:$O$85,15,0))</f>
        <v>326.19</v>
      </c>
      <c r="X329" s="4">
        <f>IF(ISERROR(VLOOKUP($U$329,'TAR FIN'!$A$1:$O$85,15,0)),0,VLOOKUP($U$329,'TAR FIN'!$A$1:$O$85,15,0))</f>
        <v>256.83</v>
      </c>
      <c r="Y329" s="4"/>
      <c r="Z329" s="4">
        <f ca="1">('TUSD BE'!$AM$33+'TUSD BF'!$AM$33+'TUSD CVA'!$AM$33)*(1-CUSTOS!$M$38)</f>
        <v>403.45820595709068</v>
      </c>
      <c r="AA329" s="4">
        <f>('TE BE'!$AB$24+'TE BF'!$AB$24+'TE CVA'!$AB$24)*(1-CUSTOS!$M$38)</f>
        <v>200.94689439603792</v>
      </c>
      <c r="AB329" s="4">
        <f>$K$329*$V$329</f>
        <v>0</v>
      </c>
      <c r="AC329" s="4">
        <f>$M$329*$W$329</f>
        <v>18496.147283999999</v>
      </c>
      <c r="AD329" s="4">
        <f>$O$329*$X$329</f>
        <v>14563.185588</v>
      </c>
      <c r="AE329" s="4">
        <f>$K$329*$Y$329</f>
        <v>0</v>
      </c>
      <c r="AF329" s="4">
        <f ca="1">$M$329*$Z$329</f>
        <v>22877.532727308488</v>
      </c>
      <c r="AG329" s="4">
        <f>$O$329*$AA$329</f>
        <v>11394.412321075177</v>
      </c>
    </row>
    <row r="330" spans="1:33" ht="11.25" customHeight="1" x14ac:dyDescent="0.3">
      <c r="A330" s="3" t="s">
        <v>27</v>
      </c>
      <c r="B330" s="3" t="s">
        <v>40</v>
      </c>
      <c r="C330" s="3" t="s">
        <v>23</v>
      </c>
      <c r="D330" s="3" t="s">
        <v>41</v>
      </c>
      <c r="E330" s="3" t="s">
        <v>50</v>
      </c>
      <c r="F330" s="3" t="s">
        <v>52</v>
      </c>
      <c r="G330" s="3" t="s">
        <v>25</v>
      </c>
      <c r="H330" s="3" t="s">
        <v>25</v>
      </c>
      <c r="I330" s="6">
        <v>44440</v>
      </c>
      <c r="J330" s="4">
        <v>0</v>
      </c>
      <c r="K330" s="4">
        <v>0</v>
      </c>
      <c r="L330" s="4">
        <v>5.782</v>
      </c>
      <c r="M330" s="4">
        <v>5.782</v>
      </c>
      <c r="N330" s="4">
        <v>5.782</v>
      </c>
      <c r="O330" s="4">
        <v>5.782</v>
      </c>
      <c r="P330" s="4">
        <v>0</v>
      </c>
      <c r="Q330" s="3" t="s">
        <v>26</v>
      </c>
      <c r="R330" s="3">
        <v>0</v>
      </c>
      <c r="S330" s="4">
        <v>0</v>
      </c>
      <c r="T330" s="4">
        <v>36</v>
      </c>
      <c r="U330" s="4">
        <v>80</v>
      </c>
      <c r="V330" s="4">
        <f>IF(ISERROR(VLOOKUP($S$330,'TAR FIN'!$A$1:$O$85,15,0)),0,VLOOKUP($S$330,'TAR FIN'!$A$1:$O$85,15,0))</f>
        <v>0</v>
      </c>
      <c r="W330" s="4">
        <f>IF(ISERROR(VLOOKUP($T$330,'TAR FIN'!$A$1:$O$85,15,0)),0,VLOOKUP($T$330,'TAR FIN'!$A$1:$O$85,15,0))</f>
        <v>326.19</v>
      </c>
      <c r="X330" s="4">
        <f>IF(ISERROR(VLOOKUP($U$330,'TAR FIN'!$A$1:$O$85,15,0)),0,VLOOKUP($U$330,'TAR FIN'!$A$1:$O$85,15,0))</f>
        <v>256.83</v>
      </c>
      <c r="Y330" s="4"/>
      <c r="Z330" s="4">
        <f ca="1">('TUSD BE'!$AM$33+'TUSD BF'!$AM$33+'TUSD CVA'!$AM$33)*(1-CUSTOS!$M$38)</f>
        <v>403.45820595709068</v>
      </c>
      <c r="AA330" s="4">
        <f>('TE BE'!$AB$24+'TE BF'!$AB$24+'TE CVA'!$AB$24)*(1-CUSTOS!$M$38)</f>
        <v>200.94689439603792</v>
      </c>
      <c r="AB330" s="4">
        <f>$K$330*$V$330</f>
        <v>0</v>
      </c>
      <c r="AC330" s="4">
        <f>$M$330*$W$330</f>
        <v>1886.0305800000001</v>
      </c>
      <c r="AD330" s="4">
        <f>$O$330*$X$330</f>
        <v>1484.9910599999998</v>
      </c>
      <c r="AE330" s="4">
        <f>$K$330*$Y$330</f>
        <v>0</v>
      </c>
      <c r="AF330" s="4">
        <f ca="1">$M$330*$Z$330</f>
        <v>2332.7953468438982</v>
      </c>
      <c r="AG330" s="4">
        <f>$O$330*$AA$330</f>
        <v>1161.8749433978912</v>
      </c>
    </row>
    <row r="331" spans="1:33" ht="11.25" customHeight="1" x14ac:dyDescent="0.3">
      <c r="A331" s="3" t="s">
        <v>21</v>
      </c>
      <c r="B331" s="3" t="s">
        <v>40</v>
      </c>
      <c r="C331" s="3" t="s">
        <v>23</v>
      </c>
      <c r="D331" s="3" t="s">
        <v>41</v>
      </c>
      <c r="E331" s="3" t="s">
        <v>50</v>
      </c>
      <c r="F331" s="3" t="s">
        <v>52</v>
      </c>
      <c r="G331" s="3" t="s">
        <v>25</v>
      </c>
      <c r="H331" s="3" t="s">
        <v>25</v>
      </c>
      <c r="I331" s="6">
        <v>44470</v>
      </c>
      <c r="J331" s="4">
        <v>0</v>
      </c>
      <c r="K331" s="4">
        <v>0</v>
      </c>
      <c r="L331" s="4">
        <v>152.84700000000001</v>
      </c>
      <c r="M331" s="4">
        <v>61.138800000000003</v>
      </c>
      <c r="N331" s="4">
        <v>152.84700000000001</v>
      </c>
      <c r="O331" s="4">
        <v>61.138800000000003</v>
      </c>
      <c r="P331" s="4">
        <v>0</v>
      </c>
      <c r="Q331" s="3" t="s">
        <v>26</v>
      </c>
      <c r="R331" s="3">
        <v>0</v>
      </c>
      <c r="S331" s="4">
        <v>0</v>
      </c>
      <c r="T331" s="4">
        <v>36</v>
      </c>
      <c r="U331" s="4">
        <v>80</v>
      </c>
      <c r="V331" s="4">
        <f>IF(ISERROR(VLOOKUP($S$331,'TAR FIN'!$A$1:$O$85,15,0)),0,VLOOKUP($S$331,'TAR FIN'!$A$1:$O$85,15,0))</f>
        <v>0</v>
      </c>
      <c r="W331" s="4">
        <f>IF(ISERROR(VLOOKUP($T$331,'TAR FIN'!$A$1:$O$85,15,0)),0,VLOOKUP($T$331,'TAR FIN'!$A$1:$O$85,15,0))</f>
        <v>326.19</v>
      </c>
      <c r="X331" s="4">
        <f>IF(ISERROR(VLOOKUP($U$331,'TAR FIN'!$A$1:$O$85,15,0)),0,VLOOKUP($U$331,'TAR FIN'!$A$1:$O$85,15,0))</f>
        <v>256.83</v>
      </c>
      <c r="Y331" s="4"/>
      <c r="Z331" s="4">
        <f ca="1">('TUSD BE'!$AM$33+'TUSD BF'!$AM$33+'TUSD CVA'!$AM$33)*(1-CUSTOS!$M$38)</f>
        <v>403.45820595709068</v>
      </c>
      <c r="AA331" s="4">
        <f>('TE BE'!$AB$24+'TE BF'!$AB$24+'TE CVA'!$AB$24)*(1-CUSTOS!$M$38)</f>
        <v>200.94689439603792</v>
      </c>
      <c r="AB331" s="4">
        <f>$K$331*$V$331</f>
        <v>0</v>
      </c>
      <c r="AC331" s="4">
        <f>$M$331*$W$331</f>
        <v>19942.865172000002</v>
      </c>
      <c r="AD331" s="4">
        <f>$O$331*$X$331</f>
        <v>15702.278004</v>
      </c>
      <c r="AE331" s="4">
        <f>$K$331*$Y$331</f>
        <v>0</v>
      </c>
      <c r="AF331" s="4">
        <f ca="1">$M$331*$Z$331</f>
        <v>24666.950562369377</v>
      </c>
      <c r="AG331" s="4">
        <f>$O$331*$AA$331</f>
        <v>12285.651987100484</v>
      </c>
    </row>
    <row r="332" spans="1:33" ht="11.25" customHeight="1" x14ac:dyDescent="0.3">
      <c r="A332" s="3" t="s">
        <v>27</v>
      </c>
      <c r="B332" s="3" t="s">
        <v>40</v>
      </c>
      <c r="C332" s="3" t="s">
        <v>23</v>
      </c>
      <c r="D332" s="3" t="s">
        <v>41</v>
      </c>
      <c r="E332" s="3" t="s">
        <v>50</v>
      </c>
      <c r="F332" s="3" t="s">
        <v>52</v>
      </c>
      <c r="G332" s="3" t="s">
        <v>25</v>
      </c>
      <c r="H332" s="3" t="s">
        <v>25</v>
      </c>
      <c r="I332" s="6">
        <v>44470</v>
      </c>
      <c r="J332" s="4">
        <v>0</v>
      </c>
      <c r="K332" s="4">
        <v>0</v>
      </c>
      <c r="L332" s="4">
        <v>5.9429999999999996</v>
      </c>
      <c r="M332" s="4">
        <v>5.9429999999999996</v>
      </c>
      <c r="N332" s="4">
        <v>5.9429999999999996</v>
      </c>
      <c r="O332" s="4">
        <v>5.9429999999999996</v>
      </c>
      <c r="P332" s="4">
        <v>0</v>
      </c>
      <c r="Q332" s="3" t="s">
        <v>26</v>
      </c>
      <c r="R332" s="3">
        <v>0</v>
      </c>
      <c r="S332" s="4">
        <v>0</v>
      </c>
      <c r="T332" s="4">
        <v>36</v>
      </c>
      <c r="U332" s="4">
        <v>80</v>
      </c>
      <c r="V332" s="4">
        <f>IF(ISERROR(VLOOKUP($S$332,'TAR FIN'!$A$1:$O$85,15,0)),0,VLOOKUP($S$332,'TAR FIN'!$A$1:$O$85,15,0))</f>
        <v>0</v>
      </c>
      <c r="W332" s="4">
        <f>IF(ISERROR(VLOOKUP($T$332,'TAR FIN'!$A$1:$O$85,15,0)),0,VLOOKUP($T$332,'TAR FIN'!$A$1:$O$85,15,0))</f>
        <v>326.19</v>
      </c>
      <c r="X332" s="4">
        <f>IF(ISERROR(VLOOKUP($U$332,'TAR FIN'!$A$1:$O$85,15,0)),0,VLOOKUP($U$332,'TAR FIN'!$A$1:$O$85,15,0))</f>
        <v>256.83</v>
      </c>
      <c r="Y332" s="4"/>
      <c r="Z332" s="4">
        <f ca="1">('TUSD BE'!$AM$33+'TUSD BF'!$AM$33+'TUSD CVA'!$AM$33)*(1-CUSTOS!$M$38)</f>
        <v>403.45820595709068</v>
      </c>
      <c r="AA332" s="4">
        <f>('TE BE'!$AB$24+'TE BF'!$AB$24+'TE CVA'!$AB$24)*(1-CUSTOS!$M$38)</f>
        <v>200.94689439603792</v>
      </c>
      <c r="AB332" s="4">
        <f>$K$332*$V$332</f>
        <v>0</v>
      </c>
      <c r="AC332" s="4">
        <f>$M$332*$W$332</f>
        <v>1938.5471699999998</v>
      </c>
      <c r="AD332" s="4">
        <f>$O$332*$X$332</f>
        <v>1526.3406899999998</v>
      </c>
      <c r="AE332" s="4">
        <f>$K$332*$Y$332</f>
        <v>0</v>
      </c>
      <c r="AF332" s="4">
        <f ca="1">$M$332*$Z$332</f>
        <v>2397.7521180029898</v>
      </c>
      <c r="AG332" s="4">
        <f>$O$332*$AA$332</f>
        <v>1194.2273933956533</v>
      </c>
    </row>
    <row r="333" spans="1:33" ht="11.25" customHeight="1" x14ac:dyDescent="0.3">
      <c r="A333" s="3" t="s">
        <v>21</v>
      </c>
      <c r="B333" s="3" t="s">
        <v>40</v>
      </c>
      <c r="C333" s="3" t="s">
        <v>23</v>
      </c>
      <c r="D333" s="3" t="s">
        <v>41</v>
      </c>
      <c r="E333" s="3" t="s">
        <v>50</v>
      </c>
      <c r="F333" s="3" t="s">
        <v>52</v>
      </c>
      <c r="G333" s="3" t="s">
        <v>25</v>
      </c>
      <c r="H333" s="3" t="s">
        <v>25</v>
      </c>
      <c r="I333" s="6">
        <v>44501</v>
      </c>
      <c r="J333" s="4">
        <v>0</v>
      </c>
      <c r="K333" s="4">
        <v>0</v>
      </c>
      <c r="L333" s="4">
        <v>160.99299999999999</v>
      </c>
      <c r="M333" s="4">
        <v>64.397199999999998</v>
      </c>
      <c r="N333" s="4">
        <v>160.99299999999999</v>
      </c>
      <c r="O333" s="4">
        <v>64.397199999999998</v>
      </c>
      <c r="P333" s="4">
        <v>0</v>
      </c>
      <c r="Q333" s="3" t="s">
        <v>26</v>
      </c>
      <c r="R333" s="3">
        <v>0</v>
      </c>
      <c r="S333" s="4">
        <v>0</v>
      </c>
      <c r="T333" s="4">
        <v>36</v>
      </c>
      <c r="U333" s="4">
        <v>80</v>
      </c>
      <c r="V333" s="4">
        <f>IF(ISERROR(VLOOKUP($S$333,'TAR FIN'!$A$1:$O$85,15,0)),0,VLOOKUP($S$333,'TAR FIN'!$A$1:$O$85,15,0))</f>
        <v>0</v>
      </c>
      <c r="W333" s="4">
        <f>IF(ISERROR(VLOOKUP($T$333,'TAR FIN'!$A$1:$O$85,15,0)),0,VLOOKUP($T$333,'TAR FIN'!$A$1:$O$85,15,0))</f>
        <v>326.19</v>
      </c>
      <c r="X333" s="4">
        <f>IF(ISERROR(VLOOKUP($U$333,'TAR FIN'!$A$1:$O$85,15,0)),0,VLOOKUP($U$333,'TAR FIN'!$A$1:$O$85,15,0))</f>
        <v>256.83</v>
      </c>
      <c r="Y333" s="4"/>
      <c r="Z333" s="4">
        <f ca="1">('TUSD BE'!$AM$33+'TUSD BF'!$AM$33+'TUSD CVA'!$AM$33)*(1-CUSTOS!$M$38)</f>
        <v>403.45820595709068</v>
      </c>
      <c r="AA333" s="4">
        <f>('TE BE'!$AB$24+'TE BF'!$AB$24+'TE CVA'!$AB$24)*(1-CUSTOS!$M$38)</f>
        <v>200.94689439603792</v>
      </c>
      <c r="AB333" s="4">
        <f>$K$333*$V$333</f>
        <v>0</v>
      </c>
      <c r="AC333" s="4">
        <f>$M$333*$W$333</f>
        <v>21005.722667999999</v>
      </c>
      <c r="AD333" s="4">
        <f>$O$333*$X$333</f>
        <v>16539.132876</v>
      </c>
      <c r="AE333" s="4">
        <f>$K$333*$Y$333</f>
        <v>0</v>
      </c>
      <c r="AF333" s="4">
        <f ca="1">$M$333*$Z$333</f>
        <v>25981.578780659958</v>
      </c>
      <c r="AG333" s="4">
        <f>$O$333*$AA$333</f>
        <v>12940.417347800532</v>
      </c>
    </row>
    <row r="334" spans="1:33" ht="11.25" customHeight="1" x14ac:dyDescent="0.3">
      <c r="A334" s="3" t="s">
        <v>27</v>
      </c>
      <c r="B334" s="3" t="s">
        <v>40</v>
      </c>
      <c r="C334" s="3" t="s">
        <v>23</v>
      </c>
      <c r="D334" s="3" t="s">
        <v>41</v>
      </c>
      <c r="E334" s="3" t="s">
        <v>50</v>
      </c>
      <c r="F334" s="3" t="s">
        <v>52</v>
      </c>
      <c r="G334" s="3" t="s">
        <v>25</v>
      </c>
      <c r="H334" s="3" t="s">
        <v>25</v>
      </c>
      <c r="I334" s="6">
        <v>44501</v>
      </c>
      <c r="J334" s="4">
        <v>0</v>
      </c>
      <c r="K334" s="4">
        <v>0</v>
      </c>
      <c r="L334" s="4">
        <v>6.2729999999999997</v>
      </c>
      <c r="M334" s="4">
        <v>6.2729999999999997</v>
      </c>
      <c r="N334" s="4">
        <v>6.2729999999999997</v>
      </c>
      <c r="O334" s="4">
        <v>6.2729999999999997</v>
      </c>
      <c r="P334" s="4">
        <v>0</v>
      </c>
      <c r="Q334" s="3" t="s">
        <v>26</v>
      </c>
      <c r="R334" s="3">
        <v>0</v>
      </c>
      <c r="S334" s="4">
        <v>0</v>
      </c>
      <c r="T334" s="4">
        <v>36</v>
      </c>
      <c r="U334" s="4">
        <v>80</v>
      </c>
      <c r="V334" s="4">
        <f>IF(ISERROR(VLOOKUP($S$334,'TAR FIN'!$A$1:$O$85,15,0)),0,VLOOKUP($S$334,'TAR FIN'!$A$1:$O$85,15,0))</f>
        <v>0</v>
      </c>
      <c r="W334" s="4">
        <f>IF(ISERROR(VLOOKUP($T$334,'TAR FIN'!$A$1:$O$85,15,0)),0,VLOOKUP($T$334,'TAR FIN'!$A$1:$O$85,15,0))</f>
        <v>326.19</v>
      </c>
      <c r="X334" s="4">
        <f>IF(ISERROR(VLOOKUP($U$334,'TAR FIN'!$A$1:$O$85,15,0)),0,VLOOKUP($U$334,'TAR FIN'!$A$1:$O$85,15,0))</f>
        <v>256.83</v>
      </c>
      <c r="Y334" s="4"/>
      <c r="Z334" s="4">
        <f ca="1">('TUSD BE'!$AM$33+'TUSD BF'!$AM$33+'TUSD CVA'!$AM$33)*(1-CUSTOS!$M$38)</f>
        <v>403.45820595709068</v>
      </c>
      <c r="AA334" s="4">
        <f>('TE BE'!$AB$24+'TE BF'!$AB$24+'TE CVA'!$AB$24)*(1-CUSTOS!$M$38)</f>
        <v>200.94689439603792</v>
      </c>
      <c r="AB334" s="4">
        <f>$K$334*$V$334</f>
        <v>0</v>
      </c>
      <c r="AC334" s="4">
        <f>$M$334*$W$334</f>
        <v>2046.1898699999999</v>
      </c>
      <c r="AD334" s="4">
        <f>$O$334*$X$334</f>
        <v>1611.0945899999999</v>
      </c>
      <c r="AE334" s="4">
        <f>$K$334*$Y$334</f>
        <v>0</v>
      </c>
      <c r="AF334" s="4">
        <f ca="1">$M$334*$Z$334</f>
        <v>2530.8933259688297</v>
      </c>
      <c r="AG334" s="4">
        <f>$O$334*$AA$334</f>
        <v>1260.5398685463458</v>
      </c>
    </row>
    <row r="335" spans="1:33" ht="11.25" customHeight="1" x14ac:dyDescent="0.3">
      <c r="A335" s="3" t="s">
        <v>21</v>
      </c>
      <c r="B335" s="3" t="s">
        <v>40</v>
      </c>
      <c r="C335" s="3" t="s">
        <v>23</v>
      </c>
      <c r="D335" s="3" t="s">
        <v>41</v>
      </c>
      <c r="E335" s="3" t="s">
        <v>50</v>
      </c>
      <c r="F335" s="3" t="s">
        <v>52</v>
      </c>
      <c r="G335" s="3" t="s">
        <v>25</v>
      </c>
      <c r="H335" s="3" t="s">
        <v>25</v>
      </c>
      <c r="I335" s="6">
        <v>44531</v>
      </c>
      <c r="J335" s="4">
        <v>0</v>
      </c>
      <c r="K335" s="4">
        <v>0</v>
      </c>
      <c r="L335" s="4">
        <v>138.024</v>
      </c>
      <c r="M335" s="4">
        <v>55.209600000000002</v>
      </c>
      <c r="N335" s="4">
        <v>138.024</v>
      </c>
      <c r="O335" s="4">
        <v>55.209600000000002</v>
      </c>
      <c r="P335" s="4">
        <v>0</v>
      </c>
      <c r="Q335" s="3" t="s">
        <v>26</v>
      </c>
      <c r="R335" s="3">
        <v>0</v>
      </c>
      <c r="S335" s="4">
        <v>0</v>
      </c>
      <c r="T335" s="4">
        <v>36</v>
      </c>
      <c r="U335" s="4">
        <v>80</v>
      </c>
      <c r="V335" s="4">
        <f>IF(ISERROR(VLOOKUP($S$335,'TAR FIN'!$A$1:$O$85,15,0)),0,VLOOKUP($S$335,'TAR FIN'!$A$1:$O$85,15,0))</f>
        <v>0</v>
      </c>
      <c r="W335" s="4">
        <f>IF(ISERROR(VLOOKUP($T$335,'TAR FIN'!$A$1:$O$85,15,0)),0,VLOOKUP($T$335,'TAR FIN'!$A$1:$O$85,15,0))</f>
        <v>326.19</v>
      </c>
      <c r="X335" s="4">
        <f>IF(ISERROR(VLOOKUP($U$335,'TAR FIN'!$A$1:$O$85,15,0)),0,VLOOKUP($U$335,'TAR FIN'!$A$1:$O$85,15,0))</f>
        <v>256.83</v>
      </c>
      <c r="Y335" s="4"/>
      <c r="Z335" s="4">
        <f ca="1">('TUSD BE'!$AM$33+'TUSD BF'!$AM$33+'TUSD CVA'!$AM$33)*(1-CUSTOS!$M$38)</f>
        <v>403.45820595709068</v>
      </c>
      <c r="AA335" s="4">
        <f>('TE BE'!$AB$24+'TE BF'!$AB$24+'TE CVA'!$AB$24)*(1-CUSTOS!$M$38)</f>
        <v>200.94689439603792</v>
      </c>
      <c r="AB335" s="4">
        <f>$K$335*$V$335</f>
        <v>0</v>
      </c>
      <c r="AC335" s="4">
        <f>$M$335*$W$335</f>
        <v>18008.819424000001</v>
      </c>
      <c r="AD335" s="4">
        <f>$O$335*$X$335</f>
        <v>14179.481567999999</v>
      </c>
      <c r="AE335" s="4">
        <f>$K$335*$Y$335</f>
        <v>0</v>
      </c>
      <c r="AF335" s="4">
        <f ca="1">$M$335*$Z$335</f>
        <v>22274.766167608595</v>
      </c>
      <c r="AG335" s="4">
        <f>$O$335*$AA$335</f>
        <v>11094.197660847496</v>
      </c>
    </row>
    <row r="336" spans="1:33" ht="11.25" customHeight="1" x14ac:dyDescent="0.3">
      <c r="A336" s="3" t="s">
        <v>27</v>
      </c>
      <c r="B336" s="3" t="s">
        <v>40</v>
      </c>
      <c r="C336" s="3" t="s">
        <v>23</v>
      </c>
      <c r="D336" s="3" t="s">
        <v>41</v>
      </c>
      <c r="E336" s="3" t="s">
        <v>50</v>
      </c>
      <c r="F336" s="3" t="s">
        <v>52</v>
      </c>
      <c r="G336" s="3" t="s">
        <v>25</v>
      </c>
      <c r="H336" s="3" t="s">
        <v>25</v>
      </c>
      <c r="I336" s="6">
        <v>44531</v>
      </c>
      <c r="J336" s="4">
        <v>0</v>
      </c>
      <c r="K336" s="4">
        <v>0</v>
      </c>
      <c r="L336" s="4">
        <v>7.1980000000000004</v>
      </c>
      <c r="M336" s="4">
        <v>7.1980000000000004</v>
      </c>
      <c r="N336" s="4">
        <v>7.1980000000000004</v>
      </c>
      <c r="O336" s="4">
        <v>7.1980000000000004</v>
      </c>
      <c r="P336" s="4">
        <v>0</v>
      </c>
      <c r="Q336" s="3" t="s">
        <v>26</v>
      </c>
      <c r="R336" s="3">
        <v>0</v>
      </c>
      <c r="S336" s="4">
        <v>0</v>
      </c>
      <c r="T336" s="4">
        <v>36</v>
      </c>
      <c r="U336" s="4">
        <v>80</v>
      </c>
      <c r="V336" s="4">
        <f>IF(ISERROR(VLOOKUP($S$336,'TAR FIN'!$A$1:$O$85,15,0)),0,VLOOKUP($S$336,'TAR FIN'!$A$1:$O$85,15,0))</f>
        <v>0</v>
      </c>
      <c r="W336" s="4">
        <f>IF(ISERROR(VLOOKUP($T$336,'TAR FIN'!$A$1:$O$85,15,0)),0,VLOOKUP($T$336,'TAR FIN'!$A$1:$O$85,15,0))</f>
        <v>326.19</v>
      </c>
      <c r="X336" s="4">
        <f>IF(ISERROR(VLOOKUP($U$336,'TAR FIN'!$A$1:$O$85,15,0)),0,VLOOKUP($U$336,'TAR FIN'!$A$1:$O$85,15,0))</f>
        <v>256.83</v>
      </c>
      <c r="Y336" s="4"/>
      <c r="Z336" s="4">
        <f ca="1">('TUSD BE'!$AM$33+'TUSD BF'!$AM$33+'TUSD CVA'!$AM$33)*(1-CUSTOS!$M$38)</f>
        <v>403.45820595709068</v>
      </c>
      <c r="AA336" s="4">
        <f>('TE BE'!$AB$24+'TE BF'!$AB$24+'TE CVA'!$AB$24)*(1-CUSTOS!$M$38)</f>
        <v>200.94689439603792</v>
      </c>
      <c r="AB336" s="4">
        <f>$K$336*$V$336</f>
        <v>0</v>
      </c>
      <c r="AC336" s="4">
        <f>$M$336*$W$336</f>
        <v>2347.9156200000002</v>
      </c>
      <c r="AD336" s="4">
        <f>$O$336*$X$336</f>
        <v>1848.6623400000001</v>
      </c>
      <c r="AE336" s="4">
        <f>$K$336*$Y$336</f>
        <v>0</v>
      </c>
      <c r="AF336" s="4">
        <f ca="1">$M$336*$Z$336</f>
        <v>2904.092166479139</v>
      </c>
      <c r="AG336" s="4">
        <f>$O$336*$AA$336</f>
        <v>1446.415745862681</v>
      </c>
    </row>
    <row r="337" spans="1:33" ht="11.25" customHeight="1" x14ac:dyDescent="0.3">
      <c r="A337" s="3" t="s">
        <v>21</v>
      </c>
      <c r="B337" s="3" t="s">
        <v>40</v>
      </c>
      <c r="C337" s="3" t="s">
        <v>23</v>
      </c>
      <c r="D337" s="3" t="s">
        <v>41</v>
      </c>
      <c r="E337" s="3" t="s">
        <v>50</v>
      </c>
      <c r="F337" s="3" t="s">
        <v>52</v>
      </c>
      <c r="G337" s="3" t="s">
        <v>25</v>
      </c>
      <c r="H337" s="3" t="s">
        <v>25</v>
      </c>
      <c r="I337" s="6">
        <v>44562</v>
      </c>
      <c r="J337" s="4">
        <v>0</v>
      </c>
      <c r="K337" s="4">
        <v>0</v>
      </c>
      <c r="L337" s="4">
        <v>143.86799999999999</v>
      </c>
      <c r="M337" s="4">
        <v>57.547199999999997</v>
      </c>
      <c r="N337" s="4">
        <v>143.86799999999999</v>
      </c>
      <c r="O337" s="4">
        <v>57.547199999999997</v>
      </c>
      <c r="P337" s="4">
        <v>0</v>
      </c>
      <c r="Q337" s="3" t="s">
        <v>26</v>
      </c>
      <c r="R337" s="3">
        <v>0</v>
      </c>
      <c r="S337" s="4">
        <v>0</v>
      </c>
      <c r="T337" s="4">
        <v>36</v>
      </c>
      <c r="U337" s="4">
        <v>80</v>
      </c>
      <c r="V337" s="4">
        <f>IF(ISERROR(VLOOKUP($S$337,'TAR FIN'!$A$1:$O$85,15,0)),0,VLOOKUP($S$337,'TAR FIN'!$A$1:$O$85,15,0))</f>
        <v>0</v>
      </c>
      <c r="W337" s="4">
        <f>IF(ISERROR(VLOOKUP($T$337,'TAR FIN'!$A$1:$O$85,15,0)),0,VLOOKUP($T$337,'TAR FIN'!$A$1:$O$85,15,0))</f>
        <v>326.19</v>
      </c>
      <c r="X337" s="4">
        <f>IF(ISERROR(VLOOKUP($U$337,'TAR FIN'!$A$1:$O$85,15,0)),0,VLOOKUP($U$337,'TAR FIN'!$A$1:$O$85,15,0))</f>
        <v>256.83</v>
      </c>
      <c r="Y337" s="4"/>
      <c r="Z337" s="4">
        <f ca="1">('TUSD BE'!$AM$33+'TUSD BF'!$AM$33+'TUSD CVA'!$AM$33)*(1-CUSTOS!$M$38)</f>
        <v>403.45820595709068</v>
      </c>
      <c r="AA337" s="4">
        <f>('TE BE'!$AB$24+'TE BF'!$AB$24+'TE CVA'!$AB$24)*(1-CUSTOS!$M$38)</f>
        <v>200.94689439603792</v>
      </c>
      <c r="AB337" s="4">
        <f>$K$337*$V$337</f>
        <v>0</v>
      </c>
      <c r="AC337" s="4">
        <f>$M$337*$W$337</f>
        <v>18771.321167999999</v>
      </c>
      <c r="AD337" s="4">
        <f>$O$337*$X$337</f>
        <v>14779.847375999998</v>
      </c>
      <c r="AE337" s="4">
        <f>$K$337*$Y$337</f>
        <v>0</v>
      </c>
      <c r="AF337" s="4">
        <f ca="1">$M$337*$Z$337</f>
        <v>23217.890069853889</v>
      </c>
      <c r="AG337" s="4">
        <f>$O$337*$AA$337</f>
        <v>11563.931121187672</v>
      </c>
    </row>
    <row r="338" spans="1:33" ht="11.25" customHeight="1" x14ac:dyDescent="0.3">
      <c r="A338" s="3" t="s">
        <v>27</v>
      </c>
      <c r="B338" s="3" t="s">
        <v>40</v>
      </c>
      <c r="C338" s="3" t="s">
        <v>23</v>
      </c>
      <c r="D338" s="3" t="s">
        <v>41</v>
      </c>
      <c r="E338" s="3" t="s">
        <v>50</v>
      </c>
      <c r="F338" s="3" t="s">
        <v>52</v>
      </c>
      <c r="G338" s="3" t="s">
        <v>25</v>
      </c>
      <c r="H338" s="3" t="s">
        <v>25</v>
      </c>
      <c r="I338" s="6">
        <v>44562</v>
      </c>
      <c r="J338" s="4">
        <v>0</v>
      </c>
      <c r="K338" s="4">
        <v>0</v>
      </c>
      <c r="L338" s="4">
        <v>6.5640000000000001</v>
      </c>
      <c r="M338" s="4">
        <v>6.5640000000000001</v>
      </c>
      <c r="N338" s="4">
        <v>6.5640000000000001</v>
      </c>
      <c r="O338" s="4">
        <v>6.5640000000000001</v>
      </c>
      <c r="P338" s="4">
        <v>0</v>
      </c>
      <c r="Q338" s="3" t="s">
        <v>26</v>
      </c>
      <c r="R338" s="3">
        <v>0</v>
      </c>
      <c r="S338" s="4">
        <v>0</v>
      </c>
      <c r="T338" s="4">
        <v>36</v>
      </c>
      <c r="U338" s="4">
        <v>80</v>
      </c>
      <c r="V338" s="4">
        <f>IF(ISERROR(VLOOKUP($S$338,'TAR FIN'!$A$1:$O$85,15,0)),0,VLOOKUP($S$338,'TAR FIN'!$A$1:$O$85,15,0))</f>
        <v>0</v>
      </c>
      <c r="W338" s="4">
        <f>IF(ISERROR(VLOOKUP($T$338,'TAR FIN'!$A$1:$O$85,15,0)),0,VLOOKUP($T$338,'TAR FIN'!$A$1:$O$85,15,0))</f>
        <v>326.19</v>
      </c>
      <c r="X338" s="4">
        <f>IF(ISERROR(VLOOKUP($U$338,'TAR FIN'!$A$1:$O$85,15,0)),0,VLOOKUP($U$338,'TAR FIN'!$A$1:$O$85,15,0))</f>
        <v>256.83</v>
      </c>
      <c r="Y338" s="4"/>
      <c r="Z338" s="4">
        <f ca="1">('TUSD BE'!$AM$33+'TUSD BF'!$AM$33+'TUSD CVA'!$AM$33)*(1-CUSTOS!$M$38)</f>
        <v>403.45820595709068</v>
      </c>
      <c r="AA338" s="4">
        <f>('TE BE'!$AB$24+'TE BF'!$AB$24+'TE CVA'!$AB$24)*(1-CUSTOS!$M$38)</f>
        <v>200.94689439603792</v>
      </c>
      <c r="AB338" s="4">
        <f>$K$338*$V$338</f>
        <v>0</v>
      </c>
      <c r="AC338" s="4">
        <f>$M$338*$W$338</f>
        <v>2141.1111599999999</v>
      </c>
      <c r="AD338" s="4">
        <f>$O$338*$X$338</f>
        <v>1685.8321199999998</v>
      </c>
      <c r="AE338" s="4">
        <f>$K$338*$Y$338</f>
        <v>0</v>
      </c>
      <c r="AF338" s="4">
        <f ca="1">$M$338*$Z$338</f>
        <v>2648.2996639023431</v>
      </c>
      <c r="AG338" s="4">
        <f>$O$338*$AA$338</f>
        <v>1319.015414815593</v>
      </c>
    </row>
    <row r="339" spans="1:33" ht="11.25" customHeight="1" x14ac:dyDescent="0.3">
      <c r="A339" s="3" t="s">
        <v>21</v>
      </c>
      <c r="B339" s="3" t="s">
        <v>40</v>
      </c>
      <c r="C339" s="3" t="s">
        <v>23</v>
      </c>
      <c r="D339" s="3" t="s">
        <v>41</v>
      </c>
      <c r="E339" s="3" t="s">
        <v>50</v>
      </c>
      <c r="F339" s="3" t="s">
        <v>52</v>
      </c>
      <c r="G339" s="3" t="s">
        <v>25</v>
      </c>
      <c r="H339" s="3" t="s">
        <v>25</v>
      </c>
      <c r="I339" s="6">
        <v>44593</v>
      </c>
      <c r="J339" s="4">
        <v>0</v>
      </c>
      <c r="K339" s="4">
        <v>0</v>
      </c>
      <c r="L339" s="4">
        <v>168.44300000000001</v>
      </c>
      <c r="M339" s="4">
        <v>67.377200000000002</v>
      </c>
      <c r="N339" s="4">
        <v>168.44300000000001</v>
      </c>
      <c r="O339" s="4">
        <v>67.377200000000002</v>
      </c>
      <c r="P339" s="4">
        <v>0</v>
      </c>
      <c r="Q339" s="3" t="s">
        <v>26</v>
      </c>
      <c r="R339" s="3">
        <v>0</v>
      </c>
      <c r="S339" s="4">
        <v>0</v>
      </c>
      <c r="T339" s="4">
        <v>36</v>
      </c>
      <c r="U339" s="4">
        <v>80</v>
      </c>
      <c r="V339" s="4">
        <f>IF(ISERROR(VLOOKUP($S$339,'TAR FIN'!$A$1:$O$85,15,0)),0,VLOOKUP($S$339,'TAR FIN'!$A$1:$O$85,15,0))</f>
        <v>0</v>
      </c>
      <c r="W339" s="4">
        <f>IF(ISERROR(VLOOKUP($T$339,'TAR FIN'!$A$1:$O$85,15,0)),0,VLOOKUP($T$339,'TAR FIN'!$A$1:$O$85,15,0))</f>
        <v>326.19</v>
      </c>
      <c r="X339" s="4">
        <f>IF(ISERROR(VLOOKUP($U$339,'TAR FIN'!$A$1:$O$85,15,0)),0,VLOOKUP($U$339,'TAR FIN'!$A$1:$O$85,15,0))</f>
        <v>256.83</v>
      </c>
      <c r="Y339" s="4"/>
      <c r="Z339" s="4">
        <f ca="1">('TUSD BE'!$AM$33+'TUSD BF'!$AM$33+'TUSD CVA'!$AM$33)*(1-CUSTOS!$M$38)</f>
        <v>403.45820595709068</v>
      </c>
      <c r="AA339" s="4">
        <f>('TE BE'!$AB$24+'TE BF'!$AB$24+'TE CVA'!$AB$24)*(1-CUSTOS!$M$38)</f>
        <v>200.94689439603792</v>
      </c>
      <c r="AB339" s="4">
        <f>$K$339*$V$339</f>
        <v>0</v>
      </c>
      <c r="AC339" s="4">
        <f>$M$339*$W$339</f>
        <v>21977.768867999999</v>
      </c>
      <c r="AD339" s="4">
        <f>$O$339*$X$339</f>
        <v>17304.486276</v>
      </c>
      <c r="AE339" s="4">
        <f>$K$339*$Y$339</f>
        <v>0</v>
      </c>
      <c r="AF339" s="4">
        <f ca="1">$M$339*$Z$339</f>
        <v>27183.884234412089</v>
      </c>
      <c r="AG339" s="4">
        <f>$O$339*$AA$339</f>
        <v>13539.239093100727</v>
      </c>
    </row>
    <row r="340" spans="1:33" ht="11.25" customHeight="1" x14ac:dyDescent="0.3">
      <c r="A340" s="3" t="s">
        <v>27</v>
      </c>
      <c r="B340" s="3" t="s">
        <v>40</v>
      </c>
      <c r="C340" s="3" t="s">
        <v>23</v>
      </c>
      <c r="D340" s="3" t="s">
        <v>41</v>
      </c>
      <c r="E340" s="3" t="s">
        <v>50</v>
      </c>
      <c r="F340" s="3" t="s">
        <v>52</v>
      </c>
      <c r="G340" s="3" t="s">
        <v>25</v>
      </c>
      <c r="H340" s="3" t="s">
        <v>25</v>
      </c>
      <c r="I340" s="6">
        <v>44593</v>
      </c>
      <c r="J340" s="4">
        <v>0</v>
      </c>
      <c r="K340" s="4">
        <v>0</v>
      </c>
      <c r="L340" s="4">
        <v>4.17</v>
      </c>
      <c r="M340" s="4">
        <v>4.17</v>
      </c>
      <c r="N340" s="4">
        <v>4.17</v>
      </c>
      <c r="O340" s="4">
        <v>4.17</v>
      </c>
      <c r="P340" s="4">
        <v>0</v>
      </c>
      <c r="Q340" s="3" t="s">
        <v>26</v>
      </c>
      <c r="R340" s="3">
        <v>0</v>
      </c>
      <c r="S340" s="4">
        <v>0</v>
      </c>
      <c r="T340" s="4">
        <v>36</v>
      </c>
      <c r="U340" s="4">
        <v>80</v>
      </c>
      <c r="V340" s="4">
        <f>IF(ISERROR(VLOOKUP($S$340,'TAR FIN'!$A$1:$O$85,15,0)),0,VLOOKUP($S$340,'TAR FIN'!$A$1:$O$85,15,0))</f>
        <v>0</v>
      </c>
      <c r="W340" s="4">
        <f>IF(ISERROR(VLOOKUP($T$340,'TAR FIN'!$A$1:$O$85,15,0)),0,VLOOKUP($T$340,'TAR FIN'!$A$1:$O$85,15,0))</f>
        <v>326.19</v>
      </c>
      <c r="X340" s="4">
        <f>IF(ISERROR(VLOOKUP($U$340,'TAR FIN'!$A$1:$O$85,15,0)),0,VLOOKUP($U$340,'TAR FIN'!$A$1:$O$85,15,0))</f>
        <v>256.83</v>
      </c>
      <c r="Y340" s="4"/>
      <c r="Z340" s="4">
        <f ca="1">('TUSD BE'!$AM$33+'TUSD BF'!$AM$33+'TUSD CVA'!$AM$33)*(1-CUSTOS!$M$38)</f>
        <v>403.45820595709068</v>
      </c>
      <c r="AA340" s="4">
        <f>('TE BE'!$AB$24+'TE BF'!$AB$24+'TE CVA'!$AB$24)*(1-CUSTOS!$M$38)</f>
        <v>200.94689439603792</v>
      </c>
      <c r="AB340" s="4">
        <f>$K$340*$V$340</f>
        <v>0</v>
      </c>
      <c r="AC340" s="4">
        <f>$M$340*$W$340</f>
        <v>1360.2122999999999</v>
      </c>
      <c r="AD340" s="4">
        <f>$O$340*$X$340</f>
        <v>1070.9811</v>
      </c>
      <c r="AE340" s="4">
        <f>$K$340*$Y$340</f>
        <v>0</v>
      </c>
      <c r="AF340" s="4">
        <f ca="1">$M$340*$Z$340</f>
        <v>1682.420718841068</v>
      </c>
      <c r="AG340" s="4">
        <f>$O$340*$AA$340</f>
        <v>837.94854963147816</v>
      </c>
    </row>
    <row r="341" spans="1:33" ht="11.25" customHeight="1" x14ac:dyDescent="0.3">
      <c r="A341" s="3" t="s">
        <v>21</v>
      </c>
      <c r="B341" s="3" t="s">
        <v>40</v>
      </c>
      <c r="C341" s="3" t="s">
        <v>23</v>
      </c>
      <c r="D341" s="3" t="s">
        <v>41</v>
      </c>
      <c r="E341" s="3" t="s">
        <v>50</v>
      </c>
      <c r="F341" s="3" t="s">
        <v>52</v>
      </c>
      <c r="G341" s="3" t="s">
        <v>25</v>
      </c>
      <c r="H341" s="3" t="s">
        <v>25</v>
      </c>
      <c r="I341" s="6">
        <v>44621</v>
      </c>
      <c r="J341" s="4">
        <v>0</v>
      </c>
      <c r="K341" s="4">
        <v>0</v>
      </c>
      <c r="L341" s="4">
        <v>160.76499999999999</v>
      </c>
      <c r="M341" s="4">
        <v>64.305999999999997</v>
      </c>
      <c r="N341" s="4">
        <v>160.76499999999999</v>
      </c>
      <c r="O341" s="4">
        <v>64.305999999999997</v>
      </c>
      <c r="P341" s="4">
        <v>0</v>
      </c>
      <c r="Q341" s="3" t="s">
        <v>26</v>
      </c>
      <c r="R341" s="3">
        <v>0</v>
      </c>
      <c r="S341" s="4">
        <v>0</v>
      </c>
      <c r="T341" s="4">
        <v>36</v>
      </c>
      <c r="U341" s="4">
        <v>80</v>
      </c>
      <c r="V341" s="4">
        <f>IF(ISERROR(VLOOKUP($S$341,'TAR FIN'!$A$1:$O$85,15,0)),0,VLOOKUP($S$341,'TAR FIN'!$A$1:$O$85,15,0))</f>
        <v>0</v>
      </c>
      <c r="W341" s="4">
        <f>IF(ISERROR(VLOOKUP($T$341,'TAR FIN'!$A$1:$O$85,15,0)),0,VLOOKUP($T$341,'TAR FIN'!$A$1:$O$85,15,0))</f>
        <v>326.19</v>
      </c>
      <c r="X341" s="4">
        <f>IF(ISERROR(VLOOKUP($U$341,'TAR FIN'!$A$1:$O$85,15,0)),0,VLOOKUP($U$341,'TAR FIN'!$A$1:$O$85,15,0))</f>
        <v>256.83</v>
      </c>
      <c r="Y341" s="4"/>
      <c r="Z341" s="4">
        <f ca="1">('TUSD BE'!$AM$33+'TUSD BF'!$AM$33+'TUSD CVA'!$AM$33)*(1-CUSTOS!$M$38)</f>
        <v>403.45820595709068</v>
      </c>
      <c r="AA341" s="4">
        <f>('TE BE'!$AB$24+'TE BF'!$AB$24+'TE CVA'!$AB$24)*(1-CUSTOS!$M$38)</f>
        <v>200.94689439603792</v>
      </c>
      <c r="AB341" s="4">
        <f>$K$341*$V$341</f>
        <v>0</v>
      </c>
      <c r="AC341" s="4">
        <f>$M$341*$W$341</f>
        <v>20975.974139999998</v>
      </c>
      <c r="AD341" s="4">
        <f>$O$341*$X$341</f>
        <v>16515.70998</v>
      </c>
      <c r="AE341" s="4">
        <f>$K$341*$Y$341</f>
        <v>0</v>
      </c>
      <c r="AF341" s="4">
        <f ca="1">$M$341*$Z$341</f>
        <v>25944.783392276673</v>
      </c>
      <c r="AG341" s="4">
        <f>$O$341*$AA$341</f>
        <v>12922.090991031613</v>
      </c>
    </row>
    <row r="342" spans="1:33" ht="11.25" customHeight="1" x14ac:dyDescent="0.3">
      <c r="A342" s="3" t="s">
        <v>27</v>
      </c>
      <c r="B342" s="3" t="s">
        <v>40</v>
      </c>
      <c r="C342" s="3" t="s">
        <v>23</v>
      </c>
      <c r="D342" s="3" t="s">
        <v>41</v>
      </c>
      <c r="E342" s="3" t="s">
        <v>50</v>
      </c>
      <c r="F342" s="3" t="s">
        <v>52</v>
      </c>
      <c r="G342" s="3" t="s">
        <v>25</v>
      </c>
      <c r="H342" s="3" t="s">
        <v>25</v>
      </c>
      <c r="I342" s="6">
        <v>44621</v>
      </c>
      <c r="J342" s="4">
        <v>0</v>
      </c>
      <c r="K342" s="4">
        <v>0</v>
      </c>
      <c r="L342" s="4">
        <v>10.577999999999999</v>
      </c>
      <c r="M342" s="4">
        <v>10.577999999999999</v>
      </c>
      <c r="N342" s="4">
        <v>10.577999999999999</v>
      </c>
      <c r="O342" s="4">
        <v>10.577999999999999</v>
      </c>
      <c r="P342" s="4">
        <v>0</v>
      </c>
      <c r="Q342" s="3" t="s">
        <v>26</v>
      </c>
      <c r="R342" s="3">
        <v>0</v>
      </c>
      <c r="S342" s="4">
        <v>0</v>
      </c>
      <c r="T342" s="4">
        <v>36</v>
      </c>
      <c r="U342" s="4">
        <v>80</v>
      </c>
      <c r="V342" s="4">
        <f>IF(ISERROR(VLOOKUP($S$342,'TAR FIN'!$A$1:$O$85,15,0)),0,VLOOKUP($S$342,'TAR FIN'!$A$1:$O$85,15,0))</f>
        <v>0</v>
      </c>
      <c r="W342" s="4">
        <f>IF(ISERROR(VLOOKUP($T$342,'TAR FIN'!$A$1:$O$85,15,0)),0,VLOOKUP($T$342,'TAR FIN'!$A$1:$O$85,15,0))</f>
        <v>326.19</v>
      </c>
      <c r="X342" s="4">
        <f>IF(ISERROR(VLOOKUP($U$342,'TAR FIN'!$A$1:$O$85,15,0)),0,VLOOKUP($U$342,'TAR FIN'!$A$1:$O$85,15,0))</f>
        <v>256.83</v>
      </c>
      <c r="Y342" s="4"/>
      <c r="Z342" s="4">
        <f ca="1">('TUSD BE'!$AM$33+'TUSD BF'!$AM$33+'TUSD CVA'!$AM$33)*(1-CUSTOS!$M$38)</f>
        <v>403.45820595709068</v>
      </c>
      <c r="AA342" s="4">
        <f>('TE BE'!$AB$24+'TE BF'!$AB$24+'TE CVA'!$AB$24)*(1-CUSTOS!$M$38)</f>
        <v>200.94689439603792</v>
      </c>
      <c r="AB342" s="4">
        <f>$K$342*$V$342</f>
        <v>0</v>
      </c>
      <c r="AC342" s="4">
        <f>$M$342*$W$342</f>
        <v>3450.4378199999996</v>
      </c>
      <c r="AD342" s="4">
        <f>$O$342*$X$342</f>
        <v>2716.7477399999998</v>
      </c>
      <c r="AE342" s="4">
        <f>$K$342*$Y$342</f>
        <v>0</v>
      </c>
      <c r="AF342" s="4">
        <f ca="1">$M$342*$Z$342</f>
        <v>4267.7809026141049</v>
      </c>
      <c r="AG342" s="4">
        <f>$O$342*$AA$342</f>
        <v>2125.6162489212888</v>
      </c>
    </row>
    <row r="343" spans="1:33" ht="11.25" customHeight="1" x14ac:dyDescent="0.3">
      <c r="A343" s="3" t="s">
        <v>21</v>
      </c>
      <c r="B343" s="3" t="s">
        <v>40</v>
      </c>
      <c r="C343" s="3" t="s">
        <v>23</v>
      </c>
      <c r="D343" s="3" t="s">
        <v>41</v>
      </c>
      <c r="E343" s="3" t="s">
        <v>50</v>
      </c>
      <c r="F343" s="3" t="s">
        <v>52</v>
      </c>
      <c r="G343" s="3" t="s">
        <v>25</v>
      </c>
      <c r="H343" s="3" t="s">
        <v>25</v>
      </c>
      <c r="I343" s="6">
        <v>44652</v>
      </c>
      <c r="J343" s="4">
        <v>0</v>
      </c>
      <c r="K343" s="4">
        <v>0</v>
      </c>
      <c r="L343" s="4">
        <v>154.96299999999999</v>
      </c>
      <c r="M343" s="4">
        <v>61.985199999999999</v>
      </c>
      <c r="N343" s="4">
        <v>154.96299999999999</v>
      </c>
      <c r="O343" s="4">
        <v>61.985199999999999</v>
      </c>
      <c r="P343" s="4">
        <v>0</v>
      </c>
      <c r="Q343" s="3" t="s">
        <v>26</v>
      </c>
      <c r="R343" s="3">
        <v>0</v>
      </c>
      <c r="S343" s="4">
        <v>0</v>
      </c>
      <c r="T343" s="4">
        <v>36</v>
      </c>
      <c r="U343" s="4">
        <v>80</v>
      </c>
      <c r="V343" s="4">
        <f>IF(ISERROR(VLOOKUP($S$343,'TAR FIN'!$A$1:$O$85,15,0)),0,VLOOKUP($S$343,'TAR FIN'!$A$1:$O$85,15,0))</f>
        <v>0</v>
      </c>
      <c r="W343" s="4">
        <f>IF(ISERROR(VLOOKUP($T$343,'TAR FIN'!$A$1:$O$85,15,0)),0,VLOOKUP($T$343,'TAR FIN'!$A$1:$O$85,15,0))</f>
        <v>326.19</v>
      </c>
      <c r="X343" s="4">
        <f>IF(ISERROR(VLOOKUP($U$343,'TAR FIN'!$A$1:$O$85,15,0)),0,VLOOKUP($U$343,'TAR FIN'!$A$1:$O$85,15,0))</f>
        <v>256.83</v>
      </c>
      <c r="Y343" s="4"/>
      <c r="Z343" s="4">
        <f ca="1">('TUSD BE'!$AM$33+'TUSD BF'!$AM$33+'TUSD CVA'!$AM$33)*(1-CUSTOS!$M$38)</f>
        <v>403.45820595709068</v>
      </c>
      <c r="AA343" s="4">
        <f>('TE BE'!$AB$24+'TE BF'!$AB$24+'TE CVA'!$AB$24)*(1-CUSTOS!$M$38)</f>
        <v>200.94689439603792</v>
      </c>
      <c r="AB343" s="4">
        <f>$K$343*$V$343</f>
        <v>0</v>
      </c>
      <c r="AC343" s="4">
        <f>$M$343*$W$343</f>
        <v>20218.952387999998</v>
      </c>
      <c r="AD343" s="4">
        <f>$O$343*$X$343</f>
        <v>15919.658915999998</v>
      </c>
      <c r="AE343" s="4">
        <f>$K$343*$Y$343</f>
        <v>0</v>
      </c>
      <c r="AF343" s="4">
        <f ca="1">$M$343*$Z$343</f>
        <v>25008.437587891458</v>
      </c>
      <c r="AG343" s="4">
        <f>$O$343*$AA$343</f>
        <v>12455.733438517289</v>
      </c>
    </row>
    <row r="344" spans="1:33" ht="11.25" customHeight="1" x14ac:dyDescent="0.3">
      <c r="A344" s="3" t="s">
        <v>48</v>
      </c>
      <c r="B344" s="3" t="s">
        <v>40</v>
      </c>
      <c r="C344" s="3" t="s">
        <v>23</v>
      </c>
      <c r="D344" s="3" t="s">
        <v>41</v>
      </c>
      <c r="E344" s="3" t="s">
        <v>50</v>
      </c>
      <c r="F344" s="3" t="s">
        <v>52</v>
      </c>
      <c r="G344" s="3" t="s">
        <v>25</v>
      </c>
      <c r="H344" s="3" t="s">
        <v>25</v>
      </c>
      <c r="I344" s="6">
        <v>44652</v>
      </c>
      <c r="J344" s="4">
        <v>0</v>
      </c>
      <c r="K344" s="4">
        <v>0</v>
      </c>
      <c r="L344" s="4">
        <v>0.29299999999999998</v>
      </c>
      <c r="M344" s="4">
        <v>0.1172</v>
      </c>
      <c r="N344" s="4">
        <v>0.29299999999999998</v>
      </c>
      <c r="O344" s="4">
        <v>0.1172</v>
      </c>
      <c r="P344" s="4">
        <v>0</v>
      </c>
      <c r="Q344" s="3" t="s">
        <v>26</v>
      </c>
      <c r="R344" s="3">
        <v>0</v>
      </c>
      <c r="S344" s="4">
        <v>0</v>
      </c>
      <c r="T344" s="4">
        <v>36</v>
      </c>
      <c r="U344" s="4">
        <v>80</v>
      </c>
      <c r="V344" s="4">
        <f>IF(ISERROR(VLOOKUP($S$344,'TAR FIN'!$A$1:$O$85,15,0)),0,VLOOKUP($S$344,'TAR FIN'!$A$1:$O$85,15,0))</f>
        <v>0</v>
      </c>
      <c r="W344" s="4">
        <f>IF(ISERROR(VLOOKUP($T$344,'TAR FIN'!$A$1:$O$85,15,0)),0,VLOOKUP($T$344,'TAR FIN'!$A$1:$O$85,15,0))</f>
        <v>326.19</v>
      </c>
      <c r="X344" s="4">
        <f>IF(ISERROR(VLOOKUP($U$344,'TAR FIN'!$A$1:$O$85,15,0)),0,VLOOKUP($U$344,'TAR FIN'!$A$1:$O$85,15,0))</f>
        <v>256.83</v>
      </c>
      <c r="Y344" s="4"/>
      <c r="Z344" s="4">
        <f ca="1">('TUSD BE'!$AM$33+'TUSD BF'!$AM$33+'TUSD CVA'!$AM$33)*(1-CUSTOS!$M$38)</f>
        <v>403.45820595709068</v>
      </c>
      <c r="AA344" s="4">
        <f>('TE BE'!$AB$24+'TE BF'!$AB$24+'TE CVA'!$AB$24)*(1-CUSTOS!$M$38)</f>
        <v>200.94689439603792</v>
      </c>
      <c r="AB344" s="4">
        <f>$K$344*$V$344</f>
        <v>0</v>
      </c>
      <c r="AC344" s="4">
        <f>$M$344*$W$344</f>
        <v>38.229467999999997</v>
      </c>
      <c r="AD344" s="4">
        <f>$O$344*$X$344</f>
        <v>30.100475999999997</v>
      </c>
      <c r="AE344" s="4">
        <f>$K$344*$Y$344</f>
        <v>0</v>
      </c>
      <c r="AF344" s="4">
        <f ca="1">$M$344*$Z$344</f>
        <v>47.285301738171029</v>
      </c>
      <c r="AG344" s="4">
        <f>$O$344*$AA$344</f>
        <v>23.550976023215643</v>
      </c>
    </row>
    <row r="345" spans="1:33" ht="11.25" customHeight="1" x14ac:dyDescent="0.3">
      <c r="A345" s="3" t="s">
        <v>27</v>
      </c>
      <c r="B345" s="3" t="s">
        <v>40</v>
      </c>
      <c r="C345" s="3" t="s">
        <v>23</v>
      </c>
      <c r="D345" s="3" t="s">
        <v>41</v>
      </c>
      <c r="E345" s="3" t="s">
        <v>50</v>
      </c>
      <c r="F345" s="3" t="s">
        <v>52</v>
      </c>
      <c r="G345" s="3" t="s">
        <v>25</v>
      </c>
      <c r="H345" s="3" t="s">
        <v>25</v>
      </c>
      <c r="I345" s="6">
        <v>44652</v>
      </c>
      <c r="J345" s="4">
        <v>0</v>
      </c>
      <c r="K345" s="4">
        <v>0</v>
      </c>
      <c r="L345" s="4">
        <v>19.370999999999999</v>
      </c>
      <c r="M345" s="4">
        <v>19.370999999999999</v>
      </c>
      <c r="N345" s="4">
        <v>19.370999999999999</v>
      </c>
      <c r="O345" s="4">
        <v>19.370999999999999</v>
      </c>
      <c r="P345" s="4">
        <v>0</v>
      </c>
      <c r="Q345" s="3" t="s">
        <v>26</v>
      </c>
      <c r="R345" s="3">
        <v>0</v>
      </c>
      <c r="S345" s="4">
        <v>0</v>
      </c>
      <c r="T345" s="4">
        <v>36</v>
      </c>
      <c r="U345" s="4">
        <v>80</v>
      </c>
      <c r="V345" s="4">
        <f>IF(ISERROR(VLOOKUP($S$345,'TAR FIN'!$A$1:$O$85,15,0)),0,VLOOKUP($S$345,'TAR FIN'!$A$1:$O$85,15,0))</f>
        <v>0</v>
      </c>
      <c r="W345" s="4">
        <f>IF(ISERROR(VLOOKUP($T$345,'TAR FIN'!$A$1:$O$85,15,0)),0,VLOOKUP($T$345,'TAR FIN'!$A$1:$O$85,15,0))</f>
        <v>326.19</v>
      </c>
      <c r="X345" s="4">
        <f>IF(ISERROR(VLOOKUP($U$345,'TAR FIN'!$A$1:$O$85,15,0)),0,VLOOKUP($U$345,'TAR FIN'!$A$1:$O$85,15,0))</f>
        <v>256.83</v>
      </c>
      <c r="Y345" s="4"/>
      <c r="Z345" s="4">
        <f ca="1">('TUSD BE'!$AM$33+'TUSD BF'!$AM$33+'TUSD CVA'!$AM$33)*(1-CUSTOS!$M$38)</f>
        <v>403.45820595709068</v>
      </c>
      <c r="AA345" s="4">
        <f>('TE BE'!$AB$24+'TE BF'!$AB$24+'TE CVA'!$AB$24)*(1-CUSTOS!$M$38)</f>
        <v>200.94689439603792</v>
      </c>
      <c r="AB345" s="4">
        <f>$K$345*$V$345</f>
        <v>0</v>
      </c>
      <c r="AC345" s="4">
        <f>$M$345*$W$345</f>
        <v>6318.6264899999996</v>
      </c>
      <c r="AD345" s="4">
        <f>$O$345*$X$345</f>
        <v>4975.0539299999991</v>
      </c>
      <c r="AE345" s="4">
        <f>$K$345*$Y$345</f>
        <v>0</v>
      </c>
      <c r="AF345" s="4">
        <f ca="1">$M$345*$Z$345</f>
        <v>7815.3889075948027</v>
      </c>
      <c r="AG345" s="4">
        <f>$O$345*$AA$345</f>
        <v>3892.5422913456505</v>
      </c>
    </row>
    <row r="346" spans="1:33" ht="11.25" customHeight="1" x14ac:dyDescent="0.3">
      <c r="A346" s="3" t="s">
        <v>27</v>
      </c>
      <c r="B346" s="3" t="s">
        <v>40</v>
      </c>
      <c r="C346" s="3" t="s">
        <v>23</v>
      </c>
      <c r="D346" s="3" t="s">
        <v>41</v>
      </c>
      <c r="E346" s="3" t="s">
        <v>50</v>
      </c>
      <c r="F346" s="3" t="s">
        <v>52</v>
      </c>
      <c r="G346" s="3" t="s">
        <v>25</v>
      </c>
      <c r="H346" s="3" t="s">
        <v>25</v>
      </c>
      <c r="I346" s="6">
        <v>44652</v>
      </c>
      <c r="J346" s="4">
        <v>0</v>
      </c>
      <c r="K346" s="4">
        <v>0</v>
      </c>
      <c r="L346" s="4">
        <v>14.53</v>
      </c>
      <c r="M346" s="4">
        <v>14.53</v>
      </c>
      <c r="N346" s="4">
        <v>14.53</v>
      </c>
      <c r="O346" s="4">
        <v>14.53</v>
      </c>
      <c r="P346" s="4">
        <v>0</v>
      </c>
      <c r="Q346" s="3" t="s">
        <v>26</v>
      </c>
      <c r="R346" s="3">
        <v>0</v>
      </c>
      <c r="S346" s="4">
        <v>0</v>
      </c>
      <c r="T346" s="4">
        <v>36</v>
      </c>
      <c r="U346" s="4">
        <v>80</v>
      </c>
      <c r="V346" s="4">
        <f>IF(ISERROR(VLOOKUP($S$346,'TAR FIN'!$A$1:$O$85,15,0)),0,VLOOKUP($S$346,'TAR FIN'!$A$1:$O$85,15,0))</f>
        <v>0</v>
      </c>
      <c r="W346" s="4">
        <f>IF(ISERROR(VLOOKUP($T$346,'TAR FIN'!$A$1:$O$85,15,0)),0,VLOOKUP($T$346,'TAR FIN'!$A$1:$O$85,15,0))</f>
        <v>326.19</v>
      </c>
      <c r="X346" s="4">
        <f>IF(ISERROR(VLOOKUP($U$346,'TAR FIN'!$A$1:$O$85,15,0)),0,VLOOKUP($U$346,'TAR FIN'!$A$1:$O$85,15,0))</f>
        <v>256.83</v>
      </c>
      <c r="Y346" s="4"/>
      <c r="Z346" s="4">
        <f ca="1">('TUSD BE'!$AM$33+'TUSD BF'!$AM$33+'TUSD CVA'!$AM$33)*(1-CUSTOS!$M$38)</f>
        <v>403.45820595709068</v>
      </c>
      <c r="AA346" s="4">
        <f>('TE BE'!$AB$24+'TE BF'!$AB$24+'TE CVA'!$AB$24)*(1-CUSTOS!$M$38)</f>
        <v>200.94689439603792</v>
      </c>
      <c r="AB346" s="4">
        <f>$K$346*$V$346</f>
        <v>0</v>
      </c>
      <c r="AC346" s="4">
        <f>$M$346*$W$346</f>
        <v>4739.5406999999996</v>
      </c>
      <c r="AD346" s="4">
        <f>$O$346*$X$346</f>
        <v>3731.7398999999996</v>
      </c>
      <c r="AE346" s="4">
        <f>$K$346*$Y$346</f>
        <v>0</v>
      </c>
      <c r="AF346" s="4">
        <f ca="1">$M$346*$Z$346</f>
        <v>5862.2477325565278</v>
      </c>
      <c r="AG346" s="4">
        <f>$O$346*$AA$346</f>
        <v>2919.7583755744308</v>
      </c>
    </row>
    <row r="347" spans="1:33" ht="11.25" customHeight="1" x14ac:dyDescent="0.3">
      <c r="A347" s="3" t="s">
        <v>21</v>
      </c>
      <c r="B347" s="3" t="s">
        <v>40</v>
      </c>
      <c r="C347" s="3" t="s">
        <v>23</v>
      </c>
      <c r="D347" s="3" t="s">
        <v>41</v>
      </c>
      <c r="E347" s="3" t="s">
        <v>50</v>
      </c>
      <c r="F347" s="3" t="s">
        <v>52</v>
      </c>
      <c r="G347" s="3" t="s">
        <v>25</v>
      </c>
      <c r="H347" s="3" t="s">
        <v>25</v>
      </c>
      <c r="I347" s="6">
        <v>44682</v>
      </c>
      <c r="J347" s="4">
        <v>0</v>
      </c>
      <c r="K347" s="4">
        <v>0</v>
      </c>
      <c r="L347" s="4">
        <v>165.768</v>
      </c>
      <c r="M347" s="4">
        <v>66.307199999999995</v>
      </c>
      <c r="N347" s="4">
        <v>165.768</v>
      </c>
      <c r="O347" s="4">
        <v>66.307199999999995</v>
      </c>
      <c r="P347" s="4">
        <v>0</v>
      </c>
      <c r="Q347" s="3" t="s">
        <v>26</v>
      </c>
      <c r="R347" s="3">
        <v>0</v>
      </c>
      <c r="S347" s="4">
        <v>0</v>
      </c>
      <c r="T347" s="4">
        <v>36</v>
      </c>
      <c r="U347" s="4">
        <v>80</v>
      </c>
      <c r="V347" s="4">
        <f>IF(ISERROR(VLOOKUP($S$347,'TAR FIN'!$A$1:$O$85,15,0)),0,VLOOKUP($S$347,'TAR FIN'!$A$1:$O$85,15,0))</f>
        <v>0</v>
      </c>
      <c r="W347" s="4">
        <f>IF(ISERROR(VLOOKUP($T$347,'TAR FIN'!$A$1:$O$85,15,0)),0,VLOOKUP($T$347,'TAR FIN'!$A$1:$O$85,15,0))</f>
        <v>326.19</v>
      </c>
      <c r="X347" s="4">
        <f>IF(ISERROR(VLOOKUP($U$347,'TAR FIN'!$A$1:$O$85,15,0)),0,VLOOKUP($U$347,'TAR FIN'!$A$1:$O$85,15,0))</f>
        <v>256.83</v>
      </c>
      <c r="Y347" s="4"/>
      <c r="Z347" s="4">
        <f ca="1">('TUSD BE'!$AM$33+'TUSD BF'!$AM$33+'TUSD CVA'!$AM$33)*(1-CUSTOS!$M$38)</f>
        <v>403.45820595709068</v>
      </c>
      <c r="AA347" s="4">
        <f>('TE BE'!$AB$24+'TE BF'!$AB$24+'TE CVA'!$AB$24)*(1-CUSTOS!$M$38)</f>
        <v>200.94689439603792</v>
      </c>
      <c r="AB347" s="4">
        <f>$K$347*$V$347</f>
        <v>0</v>
      </c>
      <c r="AC347" s="4">
        <f>$M$347*$W$347</f>
        <v>21628.745567999998</v>
      </c>
      <c r="AD347" s="4">
        <f>$O$347*$X$347</f>
        <v>17029.678175999998</v>
      </c>
      <c r="AE347" s="4">
        <f>$K$347*$Y$347</f>
        <v>0</v>
      </c>
      <c r="AF347" s="4">
        <f ca="1">$M$347*$Z$347</f>
        <v>26752.183954038002</v>
      </c>
      <c r="AG347" s="4">
        <f>$O$347*$AA$347</f>
        <v>13324.225916096964</v>
      </c>
    </row>
    <row r="348" spans="1:33" ht="11.25" customHeight="1" x14ac:dyDescent="0.3">
      <c r="A348" s="3" t="s">
        <v>27</v>
      </c>
      <c r="B348" s="3" t="s">
        <v>40</v>
      </c>
      <c r="C348" s="3" t="s">
        <v>23</v>
      </c>
      <c r="D348" s="3" t="s">
        <v>41</v>
      </c>
      <c r="E348" s="3" t="s">
        <v>50</v>
      </c>
      <c r="F348" s="3" t="s">
        <v>52</v>
      </c>
      <c r="G348" s="3" t="s">
        <v>25</v>
      </c>
      <c r="H348" s="3" t="s">
        <v>25</v>
      </c>
      <c r="I348" s="6">
        <v>44682</v>
      </c>
      <c r="J348" s="4">
        <v>0</v>
      </c>
      <c r="K348" s="4">
        <v>0</v>
      </c>
      <c r="L348" s="4">
        <v>19.545000000000002</v>
      </c>
      <c r="M348" s="4">
        <v>19.545000000000002</v>
      </c>
      <c r="N348" s="4">
        <v>19.545000000000002</v>
      </c>
      <c r="O348" s="4">
        <v>19.545000000000002</v>
      </c>
      <c r="P348" s="4">
        <v>0</v>
      </c>
      <c r="Q348" s="3" t="s">
        <v>26</v>
      </c>
      <c r="R348" s="3">
        <v>0</v>
      </c>
      <c r="S348" s="4">
        <v>0</v>
      </c>
      <c r="T348" s="4">
        <v>36</v>
      </c>
      <c r="U348" s="4">
        <v>80</v>
      </c>
      <c r="V348" s="4">
        <f>IF(ISERROR(VLOOKUP($S$348,'TAR FIN'!$A$1:$O$85,15,0)),0,VLOOKUP($S$348,'TAR FIN'!$A$1:$O$85,15,0))</f>
        <v>0</v>
      </c>
      <c r="W348" s="4">
        <f>IF(ISERROR(VLOOKUP($T$348,'TAR FIN'!$A$1:$O$85,15,0)),0,VLOOKUP($T$348,'TAR FIN'!$A$1:$O$85,15,0))</f>
        <v>326.19</v>
      </c>
      <c r="X348" s="4">
        <f>IF(ISERROR(VLOOKUP($U$348,'TAR FIN'!$A$1:$O$85,15,0)),0,VLOOKUP($U$348,'TAR FIN'!$A$1:$O$85,15,0))</f>
        <v>256.83</v>
      </c>
      <c r="Y348" s="4"/>
      <c r="Z348" s="4">
        <f ca="1">('TUSD BE'!$AM$33+'TUSD BF'!$AM$33+'TUSD CVA'!$AM$33)*(1-CUSTOS!$M$38)</f>
        <v>403.45820595709068</v>
      </c>
      <c r="AA348" s="4">
        <f>('TE BE'!$AB$24+'TE BF'!$AB$24+'TE CVA'!$AB$24)*(1-CUSTOS!$M$38)</f>
        <v>200.94689439603792</v>
      </c>
      <c r="AB348" s="4">
        <f>$K$348*$V$348</f>
        <v>0</v>
      </c>
      <c r="AC348" s="4">
        <f>$M$348*$W$348</f>
        <v>6375.3835500000005</v>
      </c>
      <c r="AD348" s="4">
        <f>$O$348*$X$348</f>
        <v>5019.7423500000004</v>
      </c>
      <c r="AE348" s="4">
        <f>$K$348*$Y$348</f>
        <v>0</v>
      </c>
      <c r="AF348" s="4">
        <f ca="1">$M$348*$Z$348</f>
        <v>7885.5906354313383</v>
      </c>
      <c r="AG348" s="4">
        <f>$O$348*$AA$348</f>
        <v>3927.5070509705615</v>
      </c>
    </row>
    <row r="349" spans="1:33" ht="11.25" customHeight="1" x14ac:dyDescent="0.3">
      <c r="A349" s="3" t="s">
        <v>27</v>
      </c>
      <c r="B349" s="3" t="s">
        <v>40</v>
      </c>
      <c r="C349" s="3" t="s">
        <v>23</v>
      </c>
      <c r="D349" s="3" t="s">
        <v>41</v>
      </c>
      <c r="E349" s="3" t="s">
        <v>50</v>
      </c>
      <c r="F349" s="3" t="s">
        <v>52</v>
      </c>
      <c r="G349" s="3" t="s">
        <v>25</v>
      </c>
      <c r="H349" s="3" t="s">
        <v>25</v>
      </c>
      <c r="I349" s="6">
        <v>44682</v>
      </c>
      <c r="J349" s="4">
        <v>0</v>
      </c>
      <c r="K349" s="4">
        <v>0</v>
      </c>
      <c r="L349" s="4">
        <v>12.291</v>
      </c>
      <c r="M349" s="4">
        <v>12.291</v>
      </c>
      <c r="N349" s="4">
        <v>12.291</v>
      </c>
      <c r="O349" s="4">
        <v>12.291</v>
      </c>
      <c r="P349" s="4">
        <v>0</v>
      </c>
      <c r="Q349" s="3" t="s">
        <v>26</v>
      </c>
      <c r="R349" s="3">
        <v>0</v>
      </c>
      <c r="S349" s="4">
        <v>0</v>
      </c>
      <c r="T349" s="4">
        <v>36</v>
      </c>
      <c r="U349" s="4">
        <v>80</v>
      </c>
      <c r="V349" s="4">
        <f>IF(ISERROR(VLOOKUP($S$349,'TAR FIN'!$A$1:$O$85,15,0)),0,VLOOKUP($S$349,'TAR FIN'!$A$1:$O$85,15,0))</f>
        <v>0</v>
      </c>
      <c r="W349" s="4">
        <f>IF(ISERROR(VLOOKUP($T$349,'TAR FIN'!$A$1:$O$85,15,0)),0,VLOOKUP($T$349,'TAR FIN'!$A$1:$O$85,15,0))</f>
        <v>326.19</v>
      </c>
      <c r="X349" s="4">
        <f>IF(ISERROR(VLOOKUP($U$349,'TAR FIN'!$A$1:$O$85,15,0)),0,VLOOKUP($U$349,'TAR FIN'!$A$1:$O$85,15,0))</f>
        <v>256.83</v>
      </c>
      <c r="Y349" s="4"/>
      <c r="Z349" s="4">
        <f ca="1">('TUSD BE'!$AM$33+'TUSD BF'!$AM$33+'TUSD CVA'!$AM$33)*(1-CUSTOS!$M$38)</f>
        <v>403.45820595709068</v>
      </c>
      <c r="AA349" s="4">
        <f>('TE BE'!$AB$24+'TE BF'!$AB$24+'TE CVA'!$AB$24)*(1-CUSTOS!$M$38)</f>
        <v>200.94689439603792</v>
      </c>
      <c r="AB349" s="4">
        <f>$K$349*$V$349</f>
        <v>0</v>
      </c>
      <c r="AC349" s="4">
        <f>$M$349*$W$349</f>
        <v>4009.20129</v>
      </c>
      <c r="AD349" s="4">
        <f>$O$349*$X$349</f>
        <v>3156.6975299999999</v>
      </c>
      <c r="AE349" s="4">
        <f>$K$349*$Y$349</f>
        <v>0</v>
      </c>
      <c r="AF349" s="4">
        <f ca="1">$M$349*$Z$349</f>
        <v>4958.9048094186019</v>
      </c>
      <c r="AG349" s="4">
        <f>$O$349*$AA$349</f>
        <v>2469.838279021702</v>
      </c>
    </row>
    <row r="350" spans="1:33" ht="11.25" customHeight="1" x14ac:dyDescent="0.3">
      <c r="A350" s="3" t="s">
        <v>21</v>
      </c>
      <c r="B350" s="3" t="s">
        <v>40</v>
      </c>
      <c r="C350" s="3" t="s">
        <v>23</v>
      </c>
      <c r="D350" s="3" t="s">
        <v>41</v>
      </c>
      <c r="E350" s="3" t="s">
        <v>50</v>
      </c>
      <c r="F350" s="3" t="s">
        <v>52</v>
      </c>
      <c r="G350" s="3" t="s">
        <v>25</v>
      </c>
      <c r="H350" s="3" t="s">
        <v>25</v>
      </c>
      <c r="I350" s="6">
        <v>44713</v>
      </c>
      <c r="J350" s="4">
        <v>0</v>
      </c>
      <c r="K350" s="4">
        <v>0</v>
      </c>
      <c r="L350" s="4">
        <v>146.125</v>
      </c>
      <c r="M350" s="4">
        <v>58.45</v>
      </c>
      <c r="N350" s="4">
        <v>146.125</v>
      </c>
      <c r="O350" s="4">
        <v>58.45</v>
      </c>
      <c r="P350" s="4">
        <v>0</v>
      </c>
      <c r="Q350" s="3" t="s">
        <v>26</v>
      </c>
      <c r="R350" s="3">
        <v>0</v>
      </c>
      <c r="S350" s="4">
        <v>0</v>
      </c>
      <c r="T350" s="4">
        <v>36</v>
      </c>
      <c r="U350" s="4">
        <v>80</v>
      </c>
      <c r="V350" s="4">
        <f>IF(ISERROR(VLOOKUP($S$350,'TAR FIN'!$A$1:$O$85,15,0)),0,VLOOKUP($S$350,'TAR FIN'!$A$1:$O$85,15,0))</f>
        <v>0</v>
      </c>
      <c r="W350" s="4">
        <f>IF(ISERROR(VLOOKUP($T$350,'TAR FIN'!$A$1:$O$85,15,0)),0,VLOOKUP($T$350,'TAR FIN'!$A$1:$O$85,15,0))</f>
        <v>326.19</v>
      </c>
      <c r="X350" s="4">
        <f>IF(ISERROR(VLOOKUP($U$350,'TAR FIN'!$A$1:$O$85,15,0)),0,VLOOKUP($U$350,'TAR FIN'!$A$1:$O$85,15,0))</f>
        <v>256.83</v>
      </c>
      <c r="Y350" s="4"/>
      <c r="Z350" s="4">
        <f ca="1">('TUSD BE'!$AM$33+'TUSD BF'!$AM$33+'TUSD CVA'!$AM$33)*(1-CUSTOS!$M$38)</f>
        <v>403.45820595709068</v>
      </c>
      <c r="AA350" s="4">
        <f>('TE BE'!$AB$24+'TE BF'!$AB$24+'TE CVA'!$AB$24)*(1-CUSTOS!$M$38)</f>
        <v>200.94689439603792</v>
      </c>
      <c r="AB350" s="4">
        <f>$K$350*$V$350</f>
        <v>0</v>
      </c>
      <c r="AC350" s="4">
        <f>$M$350*$W$350</f>
        <v>19065.805500000002</v>
      </c>
      <c r="AD350" s="4">
        <f>$O$350*$X$350</f>
        <v>15011.7135</v>
      </c>
      <c r="AE350" s="4">
        <f>$K$350*$Y$350</f>
        <v>0</v>
      </c>
      <c r="AF350" s="4">
        <f ca="1">$M$350*$Z$350</f>
        <v>23582.132138191952</v>
      </c>
      <c r="AG350" s="4">
        <f>$O$350*$AA$350</f>
        <v>11745.345977448416</v>
      </c>
    </row>
    <row r="351" spans="1:33" ht="11.25" customHeight="1" x14ac:dyDescent="0.3">
      <c r="A351" s="3" t="s">
        <v>48</v>
      </c>
      <c r="B351" s="3" t="s">
        <v>40</v>
      </c>
      <c r="C351" s="3" t="s">
        <v>23</v>
      </c>
      <c r="D351" s="3" t="s">
        <v>41</v>
      </c>
      <c r="E351" s="3" t="s">
        <v>50</v>
      </c>
      <c r="F351" s="3" t="s">
        <v>52</v>
      </c>
      <c r="G351" s="3" t="s">
        <v>25</v>
      </c>
      <c r="H351" s="3" t="s">
        <v>25</v>
      </c>
      <c r="I351" s="6">
        <v>44713</v>
      </c>
      <c r="J351" s="4">
        <v>0</v>
      </c>
      <c r="K351" s="4">
        <v>0</v>
      </c>
      <c r="L351" s="4">
        <v>-12.4</v>
      </c>
      <c r="M351" s="4">
        <v>-4.96</v>
      </c>
      <c r="N351" s="4">
        <v>-12.4</v>
      </c>
      <c r="O351" s="4">
        <v>-4.96</v>
      </c>
      <c r="P351" s="4">
        <v>0</v>
      </c>
      <c r="Q351" s="3" t="s">
        <v>26</v>
      </c>
      <c r="R351" s="3">
        <v>0</v>
      </c>
      <c r="S351" s="4">
        <v>0</v>
      </c>
      <c r="T351" s="4">
        <v>36</v>
      </c>
      <c r="U351" s="4">
        <v>80</v>
      </c>
      <c r="V351" s="4">
        <f>IF(ISERROR(VLOOKUP($S$351,'TAR FIN'!$A$1:$O$85,15,0)),0,VLOOKUP($S$351,'TAR FIN'!$A$1:$O$85,15,0))</f>
        <v>0</v>
      </c>
      <c r="W351" s="4">
        <f>IF(ISERROR(VLOOKUP($T$351,'TAR FIN'!$A$1:$O$85,15,0)),0,VLOOKUP($T$351,'TAR FIN'!$A$1:$O$85,15,0))</f>
        <v>326.19</v>
      </c>
      <c r="X351" s="4">
        <f>IF(ISERROR(VLOOKUP($U$351,'TAR FIN'!$A$1:$O$85,15,0)),0,VLOOKUP($U$351,'TAR FIN'!$A$1:$O$85,15,0))</f>
        <v>256.83</v>
      </c>
      <c r="Y351" s="4"/>
      <c r="Z351" s="4">
        <f ca="1">('TUSD BE'!$AM$33+'TUSD BF'!$AM$33+'TUSD CVA'!$AM$33)*(1-CUSTOS!$M$38)</f>
        <v>403.45820595709068</v>
      </c>
      <c r="AA351" s="4">
        <f>('TE BE'!$AB$24+'TE BF'!$AB$24+'TE CVA'!$AB$24)*(1-CUSTOS!$M$38)</f>
        <v>200.94689439603792</v>
      </c>
      <c r="AB351" s="4">
        <f>$K$351*$V$351</f>
        <v>0</v>
      </c>
      <c r="AC351" s="4">
        <f>$M$351*$W$351</f>
        <v>-1617.9023999999999</v>
      </c>
      <c r="AD351" s="4">
        <f>$O$351*$X$351</f>
        <v>-1273.8768</v>
      </c>
      <c r="AE351" s="4">
        <f>$K$351*$Y$351</f>
        <v>0</v>
      </c>
      <c r="AF351" s="4">
        <f ca="1">$M$351*$Z$351</f>
        <v>-2001.1527015471697</v>
      </c>
      <c r="AG351" s="4">
        <f>$O$351*$AA$351</f>
        <v>-996.69659620434811</v>
      </c>
    </row>
    <row r="352" spans="1:33" ht="11.25" customHeight="1" x14ac:dyDescent="0.3">
      <c r="A352" s="3" t="s">
        <v>27</v>
      </c>
      <c r="B352" s="3" t="s">
        <v>40</v>
      </c>
      <c r="C352" s="3" t="s">
        <v>23</v>
      </c>
      <c r="D352" s="3" t="s">
        <v>41</v>
      </c>
      <c r="E352" s="3" t="s">
        <v>50</v>
      </c>
      <c r="F352" s="3" t="s">
        <v>52</v>
      </c>
      <c r="G352" s="3" t="s">
        <v>25</v>
      </c>
      <c r="H352" s="3" t="s">
        <v>25</v>
      </c>
      <c r="I352" s="6">
        <v>44713</v>
      </c>
      <c r="J352" s="4">
        <v>0</v>
      </c>
      <c r="K352" s="4">
        <v>0</v>
      </c>
      <c r="L352" s="4">
        <v>13.478999999999999</v>
      </c>
      <c r="M352" s="4">
        <v>13.478999999999999</v>
      </c>
      <c r="N352" s="4">
        <v>13.478999999999999</v>
      </c>
      <c r="O352" s="4">
        <v>13.478999999999999</v>
      </c>
      <c r="P352" s="4">
        <v>0</v>
      </c>
      <c r="Q352" s="3" t="s">
        <v>26</v>
      </c>
      <c r="R352" s="3">
        <v>0</v>
      </c>
      <c r="S352" s="4">
        <v>0</v>
      </c>
      <c r="T352" s="4">
        <v>36</v>
      </c>
      <c r="U352" s="4">
        <v>80</v>
      </c>
      <c r="V352" s="4">
        <f>IF(ISERROR(VLOOKUP($S$352,'TAR FIN'!$A$1:$O$85,15,0)),0,VLOOKUP($S$352,'TAR FIN'!$A$1:$O$85,15,0))</f>
        <v>0</v>
      </c>
      <c r="W352" s="4">
        <f>IF(ISERROR(VLOOKUP($T$352,'TAR FIN'!$A$1:$O$85,15,0)),0,VLOOKUP($T$352,'TAR FIN'!$A$1:$O$85,15,0))</f>
        <v>326.19</v>
      </c>
      <c r="X352" s="4">
        <f>IF(ISERROR(VLOOKUP($U$352,'TAR FIN'!$A$1:$O$85,15,0)),0,VLOOKUP($U$352,'TAR FIN'!$A$1:$O$85,15,0))</f>
        <v>256.83</v>
      </c>
      <c r="Y352" s="4"/>
      <c r="Z352" s="4">
        <f ca="1">('TUSD BE'!$AM$33+'TUSD BF'!$AM$33+'TUSD CVA'!$AM$33)*(1-CUSTOS!$M$38)</f>
        <v>403.45820595709068</v>
      </c>
      <c r="AA352" s="4">
        <f>('TE BE'!$AB$24+'TE BF'!$AB$24+'TE CVA'!$AB$24)*(1-CUSTOS!$M$38)</f>
        <v>200.94689439603792</v>
      </c>
      <c r="AB352" s="4">
        <f>$K$352*$V$352</f>
        <v>0</v>
      </c>
      <c r="AC352" s="4">
        <f>$M$352*$W$352</f>
        <v>4396.7150099999999</v>
      </c>
      <c r="AD352" s="4">
        <f>$O$352*$X$352</f>
        <v>3461.8115699999994</v>
      </c>
      <c r="AE352" s="4">
        <f>$K$352*$Y$352</f>
        <v>0</v>
      </c>
      <c r="AF352" s="4">
        <f ca="1">$M$352*$Z$352</f>
        <v>5438.2131580956247</v>
      </c>
      <c r="AG352" s="4">
        <f>$O$352*$AA$352</f>
        <v>2708.563189564195</v>
      </c>
    </row>
    <row r="353" spans="1:33" ht="11.25" customHeight="1" x14ac:dyDescent="0.3">
      <c r="A353" s="3" t="s">
        <v>21</v>
      </c>
      <c r="B353" s="3" t="s">
        <v>40</v>
      </c>
      <c r="C353" s="3" t="s">
        <v>23</v>
      </c>
      <c r="D353" s="3" t="s">
        <v>41</v>
      </c>
      <c r="E353" s="3" t="s">
        <v>50</v>
      </c>
      <c r="F353" s="3" t="s">
        <v>52</v>
      </c>
      <c r="G353" s="3" t="s">
        <v>25</v>
      </c>
      <c r="H353" s="3" t="s">
        <v>25</v>
      </c>
      <c r="I353" s="6">
        <v>44743</v>
      </c>
      <c r="J353" s="4">
        <v>0</v>
      </c>
      <c r="K353" s="4">
        <v>0</v>
      </c>
      <c r="L353" s="4">
        <v>120.61499999999999</v>
      </c>
      <c r="M353" s="4">
        <v>48.246000000000002</v>
      </c>
      <c r="N353" s="4">
        <v>120.61499999999999</v>
      </c>
      <c r="O353" s="4">
        <v>48.246000000000002</v>
      </c>
      <c r="P353" s="4">
        <v>0</v>
      </c>
      <c r="Q353" s="3" t="s">
        <v>26</v>
      </c>
      <c r="R353" s="3">
        <v>0</v>
      </c>
      <c r="S353" s="4">
        <v>0</v>
      </c>
      <c r="T353" s="4">
        <v>36</v>
      </c>
      <c r="U353" s="4">
        <v>80</v>
      </c>
      <c r="V353" s="4">
        <f>IF(ISERROR(VLOOKUP($S$353,'TAR FIN'!$A$1:$O$85,15,0)),0,VLOOKUP($S$353,'TAR FIN'!$A$1:$O$85,15,0))</f>
        <v>0</v>
      </c>
      <c r="W353" s="4">
        <f>IF(ISERROR(VLOOKUP($T$353,'TAR FIN'!$A$1:$O$85,15,0)),0,VLOOKUP($T$353,'TAR FIN'!$A$1:$O$85,15,0))</f>
        <v>326.19</v>
      </c>
      <c r="X353" s="4">
        <f>IF(ISERROR(VLOOKUP($U$353,'TAR FIN'!$A$1:$O$85,15,0)),0,VLOOKUP($U$353,'TAR FIN'!$A$1:$O$85,15,0))</f>
        <v>256.83</v>
      </c>
      <c r="Y353" s="4"/>
      <c r="Z353" s="4">
        <f ca="1">('TUSD BE'!$AM$33+'TUSD BF'!$AM$33+'TUSD CVA'!$AM$33)*(1-CUSTOS!$M$38)</f>
        <v>403.45820595709068</v>
      </c>
      <c r="AA353" s="4">
        <f>('TE BE'!$AB$24+'TE BF'!$AB$24+'TE CVA'!$AB$24)*(1-CUSTOS!$M$38)</f>
        <v>200.94689439603792</v>
      </c>
      <c r="AB353" s="4">
        <f>$K$353*$V$353</f>
        <v>0</v>
      </c>
      <c r="AC353" s="4">
        <f>$M$353*$W$353</f>
        <v>15737.36274</v>
      </c>
      <c r="AD353" s="4">
        <f>$O$353*$X$353</f>
        <v>12391.02018</v>
      </c>
      <c r="AE353" s="4">
        <f>$K$353*$Y$353</f>
        <v>0</v>
      </c>
      <c r="AF353" s="4">
        <f ca="1">$M$353*$Z$353</f>
        <v>19465.244604605799</v>
      </c>
      <c r="AG353" s="4">
        <f>$O$353*$AA$353</f>
        <v>9694.8838670312452</v>
      </c>
    </row>
    <row r="354" spans="1:33" ht="11.25" customHeight="1" x14ac:dyDescent="0.3">
      <c r="A354" s="3" t="s">
        <v>27</v>
      </c>
      <c r="B354" s="3" t="s">
        <v>40</v>
      </c>
      <c r="C354" s="3" t="s">
        <v>23</v>
      </c>
      <c r="D354" s="3" t="s">
        <v>41</v>
      </c>
      <c r="E354" s="3" t="s">
        <v>50</v>
      </c>
      <c r="F354" s="3" t="s">
        <v>52</v>
      </c>
      <c r="G354" s="3" t="s">
        <v>25</v>
      </c>
      <c r="H354" s="3" t="s">
        <v>25</v>
      </c>
      <c r="I354" s="6">
        <v>44743</v>
      </c>
      <c r="J354" s="4">
        <v>0</v>
      </c>
      <c r="K354" s="4">
        <v>0</v>
      </c>
      <c r="L354" s="4">
        <v>19.254000000000001</v>
      </c>
      <c r="M354" s="4">
        <v>19.254000000000001</v>
      </c>
      <c r="N354" s="4">
        <v>19.254000000000001</v>
      </c>
      <c r="O354" s="4">
        <v>19.254000000000001</v>
      </c>
      <c r="P354" s="4">
        <v>0</v>
      </c>
      <c r="Q354" s="3" t="s">
        <v>26</v>
      </c>
      <c r="R354" s="3">
        <v>0</v>
      </c>
      <c r="S354" s="4">
        <v>0</v>
      </c>
      <c r="T354" s="4">
        <v>36</v>
      </c>
      <c r="U354" s="4">
        <v>80</v>
      </c>
      <c r="V354" s="4">
        <f>IF(ISERROR(VLOOKUP($S$354,'TAR FIN'!$A$1:$O$85,15,0)),0,VLOOKUP($S$354,'TAR FIN'!$A$1:$O$85,15,0))</f>
        <v>0</v>
      </c>
      <c r="W354" s="4">
        <f>IF(ISERROR(VLOOKUP($T$354,'TAR FIN'!$A$1:$O$85,15,0)),0,VLOOKUP($T$354,'TAR FIN'!$A$1:$O$85,15,0))</f>
        <v>326.19</v>
      </c>
      <c r="X354" s="4">
        <f>IF(ISERROR(VLOOKUP($U$354,'TAR FIN'!$A$1:$O$85,15,0)),0,VLOOKUP($U$354,'TAR FIN'!$A$1:$O$85,15,0))</f>
        <v>256.83</v>
      </c>
      <c r="Y354" s="4"/>
      <c r="Z354" s="4">
        <f ca="1">('TUSD BE'!$AM$33+'TUSD BF'!$AM$33+'TUSD CVA'!$AM$33)*(1-CUSTOS!$M$38)</f>
        <v>403.45820595709068</v>
      </c>
      <c r="AA354" s="4">
        <f>('TE BE'!$AB$24+'TE BF'!$AB$24+'TE CVA'!$AB$24)*(1-CUSTOS!$M$38)</f>
        <v>200.94689439603792</v>
      </c>
      <c r="AB354" s="4">
        <f>$K$354*$V$354</f>
        <v>0</v>
      </c>
      <c r="AC354" s="4">
        <f>$M$354*$W$354</f>
        <v>6280.4622600000002</v>
      </c>
      <c r="AD354" s="4">
        <f>$O$354*$X$354</f>
        <v>4945.0048200000001</v>
      </c>
      <c r="AE354" s="4">
        <f>$K$354*$Y$354</f>
        <v>0</v>
      </c>
      <c r="AF354" s="4">
        <f ca="1">$M$354*$Z$354</f>
        <v>7768.1842974978244</v>
      </c>
      <c r="AG354" s="4">
        <f>$O$354*$AA$354</f>
        <v>3869.0315047013146</v>
      </c>
    </row>
    <row r="355" spans="1:33" ht="11.25" customHeight="1" x14ac:dyDescent="0.3">
      <c r="A355" s="3" t="s">
        <v>53</v>
      </c>
      <c r="B355" s="3" t="s">
        <v>40</v>
      </c>
      <c r="C355" s="3" t="s">
        <v>23</v>
      </c>
      <c r="D355" s="3" t="s">
        <v>41</v>
      </c>
      <c r="E355" s="3" t="s">
        <v>50</v>
      </c>
      <c r="F355" s="3" t="s">
        <v>52</v>
      </c>
      <c r="G355" s="3" t="s">
        <v>25</v>
      </c>
      <c r="H355" s="3" t="s">
        <v>25</v>
      </c>
      <c r="I355" s="6">
        <v>44774</v>
      </c>
      <c r="J355" s="4">
        <v>0</v>
      </c>
      <c r="K355" s="4">
        <v>0</v>
      </c>
      <c r="L355" s="4">
        <v>120.61499999999999</v>
      </c>
      <c r="M355" s="4">
        <v>48.246000000000002</v>
      </c>
      <c r="N355" s="4">
        <v>120.61499999999999</v>
      </c>
      <c r="O355" s="4">
        <v>48.246000000000002</v>
      </c>
      <c r="P355" s="4">
        <v>0</v>
      </c>
      <c r="Q355" s="3" t="s">
        <v>26</v>
      </c>
      <c r="R355" s="3">
        <v>0</v>
      </c>
      <c r="S355" s="4">
        <v>0</v>
      </c>
      <c r="T355" s="4">
        <v>36</v>
      </c>
      <c r="U355" s="4">
        <v>80</v>
      </c>
      <c r="V355" s="4">
        <f>IF(ISERROR(VLOOKUP($S$355,'TAR FIN'!$A$1:$O$85,15,0)),0,VLOOKUP($S$355,'TAR FIN'!$A$1:$O$85,15,0))</f>
        <v>0</v>
      </c>
      <c r="W355" s="4">
        <f>IF(ISERROR(VLOOKUP($T$355,'TAR FIN'!$A$1:$O$85,15,0)),0,VLOOKUP($T$355,'TAR FIN'!$A$1:$O$85,15,0))</f>
        <v>326.19</v>
      </c>
      <c r="X355" s="4">
        <f>IF(ISERROR(VLOOKUP($U$355,'TAR FIN'!$A$1:$O$85,15,0)),0,VLOOKUP($U$355,'TAR FIN'!$A$1:$O$85,15,0))</f>
        <v>256.83</v>
      </c>
      <c r="Y355" s="4"/>
      <c r="Z355" s="4">
        <f ca="1">('TUSD BE'!$AM$33+'TUSD BF'!$AM$33+'TUSD CVA'!$AM$33)*(1-CUSTOS!$M$38)</f>
        <v>403.45820595709068</v>
      </c>
      <c r="AA355" s="4">
        <f>('TE BE'!$AB$24+'TE BF'!$AB$24+'TE CVA'!$AB$24)*(1-CUSTOS!$M$38)</f>
        <v>200.94689439603792</v>
      </c>
      <c r="AB355" s="4">
        <f>$K$355*$V$355</f>
        <v>0</v>
      </c>
      <c r="AC355" s="4">
        <f>$M$355*$W$355</f>
        <v>15737.36274</v>
      </c>
      <c r="AD355" s="4">
        <f>$O$355*$X$355</f>
        <v>12391.02018</v>
      </c>
      <c r="AE355" s="4">
        <f>$K$355*$Y$355</f>
        <v>0</v>
      </c>
      <c r="AF355" s="4">
        <f ca="1">$M$355*$Z$355</f>
        <v>19465.244604605799</v>
      </c>
      <c r="AG355" s="4">
        <f>$O$355*$AA$355</f>
        <v>9694.8838670312452</v>
      </c>
    </row>
    <row r="356" spans="1:33" ht="11.25" customHeight="1" x14ac:dyDescent="0.3">
      <c r="A356" s="3" t="s">
        <v>53</v>
      </c>
      <c r="B356" s="3" t="s">
        <v>40</v>
      </c>
      <c r="C356" s="3" t="s">
        <v>23</v>
      </c>
      <c r="D356" s="3" t="s">
        <v>41</v>
      </c>
      <c r="E356" s="3" t="s">
        <v>50</v>
      </c>
      <c r="F356" s="3" t="s">
        <v>52</v>
      </c>
      <c r="G356" s="3" t="s">
        <v>25</v>
      </c>
      <c r="H356" s="3" t="s">
        <v>25</v>
      </c>
      <c r="I356" s="6">
        <v>44774</v>
      </c>
      <c r="J356" s="4">
        <v>0</v>
      </c>
      <c r="K356" s="4">
        <v>0</v>
      </c>
      <c r="L356" s="4">
        <v>19.254000000000001</v>
      </c>
      <c r="M356" s="4">
        <v>19.254000000000001</v>
      </c>
      <c r="N356" s="4">
        <v>19.254000000000001</v>
      </c>
      <c r="O356" s="4">
        <v>19.254000000000001</v>
      </c>
      <c r="P356" s="4">
        <v>0</v>
      </c>
      <c r="Q356" s="3" t="s">
        <v>26</v>
      </c>
      <c r="R356" s="3">
        <v>0</v>
      </c>
      <c r="S356" s="4">
        <v>0</v>
      </c>
      <c r="T356" s="4">
        <v>36</v>
      </c>
      <c r="U356" s="4">
        <v>80</v>
      </c>
      <c r="V356" s="4">
        <f>IF(ISERROR(VLOOKUP($S$356,'TAR FIN'!$A$1:$O$85,15,0)),0,VLOOKUP($S$356,'TAR FIN'!$A$1:$O$85,15,0))</f>
        <v>0</v>
      </c>
      <c r="W356" s="4">
        <f>IF(ISERROR(VLOOKUP($T$356,'TAR FIN'!$A$1:$O$85,15,0)),0,VLOOKUP($T$356,'TAR FIN'!$A$1:$O$85,15,0))</f>
        <v>326.19</v>
      </c>
      <c r="X356" s="4">
        <f>IF(ISERROR(VLOOKUP($U$356,'TAR FIN'!$A$1:$O$85,15,0)),0,VLOOKUP($U$356,'TAR FIN'!$A$1:$O$85,15,0))</f>
        <v>256.83</v>
      </c>
      <c r="Y356" s="4"/>
      <c r="Z356" s="4">
        <f ca="1">('TUSD BE'!$AM$33+'TUSD BF'!$AM$33+'TUSD CVA'!$AM$33)*(1-CUSTOS!$M$38)</f>
        <v>403.45820595709068</v>
      </c>
      <c r="AA356" s="4">
        <f>('TE BE'!$AB$24+'TE BF'!$AB$24+'TE CVA'!$AB$24)*(1-CUSTOS!$M$38)</f>
        <v>200.94689439603792</v>
      </c>
      <c r="AB356" s="4">
        <f>$K$356*$V$356</f>
        <v>0</v>
      </c>
      <c r="AC356" s="4">
        <f>$M$356*$W$356</f>
        <v>6280.4622600000002</v>
      </c>
      <c r="AD356" s="4">
        <f>$O$356*$X$356</f>
        <v>4945.0048200000001</v>
      </c>
      <c r="AE356" s="4">
        <f>$K$356*$Y$356</f>
        <v>0</v>
      </c>
      <c r="AF356" s="4">
        <f ca="1">$M$356*$Z$356</f>
        <v>7768.1842974978244</v>
      </c>
      <c r="AG356" s="4">
        <f>$O$356*$AA$356</f>
        <v>3869.0315047013146</v>
      </c>
    </row>
    <row r="357" spans="1:33" ht="11.25" customHeight="1" x14ac:dyDescent="0.3">
      <c r="A357" s="3" t="s">
        <v>21</v>
      </c>
      <c r="B357" s="3" t="s">
        <v>40</v>
      </c>
      <c r="C357" s="3" t="s">
        <v>23</v>
      </c>
      <c r="D357" s="3" t="s">
        <v>41</v>
      </c>
      <c r="E357" s="3" t="s">
        <v>25</v>
      </c>
      <c r="F357" s="3" t="s">
        <v>25</v>
      </c>
      <c r="G357" s="3" t="s">
        <v>25</v>
      </c>
      <c r="H357" s="3" t="s">
        <v>25</v>
      </c>
      <c r="I357" s="6">
        <v>44440</v>
      </c>
      <c r="J357" s="4">
        <v>0</v>
      </c>
      <c r="K357" s="4">
        <v>0</v>
      </c>
      <c r="L357" s="4">
        <v>945.65700000000004</v>
      </c>
      <c r="M357" s="4">
        <v>945.65700000000004</v>
      </c>
      <c r="N357" s="4">
        <v>945.65700000000004</v>
      </c>
      <c r="O357" s="4">
        <v>945.65700000000004</v>
      </c>
      <c r="P357" s="4">
        <v>2502</v>
      </c>
      <c r="Q357" s="3" t="s">
        <v>26</v>
      </c>
      <c r="R357" s="3">
        <v>0</v>
      </c>
      <c r="S357" s="4">
        <v>0</v>
      </c>
      <c r="T357" s="4">
        <v>36</v>
      </c>
      <c r="U357" s="4">
        <v>80</v>
      </c>
      <c r="V357" s="4">
        <f>IF(ISERROR(VLOOKUP($S$357,'TAR FIN'!$A$1:$O$85,15,0)),0,VLOOKUP($S$357,'TAR FIN'!$A$1:$O$85,15,0))</f>
        <v>0</v>
      </c>
      <c r="W357" s="4">
        <f>IF(ISERROR(VLOOKUP($T$357,'TAR FIN'!$A$1:$O$85,15,0)),0,VLOOKUP($T$357,'TAR FIN'!$A$1:$O$85,15,0))</f>
        <v>326.19</v>
      </c>
      <c r="X357" s="4">
        <f>IF(ISERROR(VLOOKUP($U$357,'TAR FIN'!$A$1:$O$85,15,0)),0,VLOOKUP($U$357,'TAR FIN'!$A$1:$O$85,15,0))</f>
        <v>256.83</v>
      </c>
      <c r="Y357" s="4"/>
      <c r="Z357" s="4">
        <f ca="1">('TUSD BE'!$AM$33+'TUSD BF'!$AM$33+'TUSD CVA'!$AM$33)*(1-CUSTOS!$M$38)</f>
        <v>403.45820595709068</v>
      </c>
      <c r="AA357" s="4">
        <f>('TE BE'!$AB$24+'TE BF'!$AB$24+'TE CVA'!$AB$24)*(1-CUSTOS!$M$38)</f>
        <v>200.94689439603792</v>
      </c>
      <c r="AB357" s="4">
        <f>$K$357*$V$357</f>
        <v>0</v>
      </c>
      <c r="AC357" s="4">
        <f>$M$357*$W$357</f>
        <v>308463.85683</v>
      </c>
      <c r="AD357" s="4">
        <f>$O$357*$X$357</f>
        <v>242873.08731</v>
      </c>
      <c r="AE357" s="4">
        <f>$K$357*$Y$357</f>
        <v>0</v>
      </c>
      <c r="AF357" s="4">
        <f ca="1">$M$357*$Z$357</f>
        <v>381533.07667076454</v>
      </c>
      <c r="AG357" s="4">
        <f>$O$357*$AA$357</f>
        <v>190026.83731387404</v>
      </c>
    </row>
    <row r="358" spans="1:33" ht="11.25" customHeight="1" x14ac:dyDescent="0.3">
      <c r="A358" s="3" t="s">
        <v>27</v>
      </c>
      <c r="B358" s="3" t="s">
        <v>40</v>
      </c>
      <c r="C358" s="3" t="s">
        <v>23</v>
      </c>
      <c r="D358" s="3" t="s">
        <v>41</v>
      </c>
      <c r="E358" s="3" t="s">
        <v>25</v>
      </c>
      <c r="F358" s="3" t="s">
        <v>25</v>
      </c>
      <c r="G358" s="3" t="s">
        <v>25</v>
      </c>
      <c r="H358" s="3" t="s">
        <v>25</v>
      </c>
      <c r="I358" s="6">
        <v>44440</v>
      </c>
      <c r="J358" s="4">
        <v>0</v>
      </c>
      <c r="K358" s="4">
        <v>0</v>
      </c>
      <c r="L358" s="4">
        <v>51.381</v>
      </c>
      <c r="M358" s="4">
        <v>51.381</v>
      </c>
      <c r="N358" s="4">
        <v>51.381</v>
      </c>
      <c r="O358" s="4">
        <v>51.381</v>
      </c>
      <c r="P358" s="4">
        <v>82</v>
      </c>
      <c r="Q358" s="3" t="s">
        <v>26</v>
      </c>
      <c r="R358" s="3">
        <v>0</v>
      </c>
      <c r="S358" s="4">
        <v>0</v>
      </c>
      <c r="T358" s="4">
        <v>36</v>
      </c>
      <c r="U358" s="4">
        <v>80</v>
      </c>
      <c r="V358" s="4">
        <f>IF(ISERROR(VLOOKUP($S$358,'TAR FIN'!$A$1:$O$85,15,0)),0,VLOOKUP($S$358,'TAR FIN'!$A$1:$O$85,15,0))</f>
        <v>0</v>
      </c>
      <c r="W358" s="4">
        <f>IF(ISERROR(VLOOKUP($T$358,'TAR FIN'!$A$1:$O$85,15,0)),0,VLOOKUP($T$358,'TAR FIN'!$A$1:$O$85,15,0))</f>
        <v>326.19</v>
      </c>
      <c r="X358" s="4">
        <f>IF(ISERROR(VLOOKUP($U$358,'TAR FIN'!$A$1:$O$85,15,0)),0,VLOOKUP($U$358,'TAR FIN'!$A$1:$O$85,15,0))</f>
        <v>256.83</v>
      </c>
      <c r="Y358" s="4"/>
      <c r="Z358" s="4">
        <f ca="1">('TUSD BE'!$AM$33+'TUSD BF'!$AM$33+'TUSD CVA'!$AM$33)*(1-CUSTOS!$M$38)</f>
        <v>403.45820595709068</v>
      </c>
      <c r="AA358" s="4">
        <f>('TE BE'!$AB$24+'TE BF'!$AB$24+'TE CVA'!$AB$24)*(1-CUSTOS!$M$38)</f>
        <v>200.94689439603792</v>
      </c>
      <c r="AB358" s="4">
        <f>$K$358*$V$358</f>
        <v>0</v>
      </c>
      <c r="AC358" s="4">
        <f>$M$358*$W$358</f>
        <v>16759.968389999998</v>
      </c>
      <c r="AD358" s="4">
        <f>$O$358*$X$358</f>
        <v>13196.182229999999</v>
      </c>
      <c r="AE358" s="4">
        <f>$K$358*$Y$358</f>
        <v>0</v>
      </c>
      <c r="AF358" s="4">
        <f ca="1">$M$358*$Z$358</f>
        <v>20730.086080281275</v>
      </c>
      <c r="AG358" s="4">
        <f>$O$358*$AA$358</f>
        <v>10324.852380962824</v>
      </c>
    </row>
    <row r="359" spans="1:33" ht="11.25" customHeight="1" x14ac:dyDescent="0.3">
      <c r="A359" s="3" t="s">
        <v>21</v>
      </c>
      <c r="B359" s="3" t="s">
        <v>40</v>
      </c>
      <c r="C359" s="3" t="s">
        <v>23</v>
      </c>
      <c r="D359" s="3" t="s">
        <v>41</v>
      </c>
      <c r="E359" s="3" t="s">
        <v>25</v>
      </c>
      <c r="F359" s="3" t="s">
        <v>25</v>
      </c>
      <c r="G359" s="3" t="s">
        <v>25</v>
      </c>
      <c r="H359" s="3" t="s">
        <v>25</v>
      </c>
      <c r="I359" s="6">
        <v>44470</v>
      </c>
      <c r="J359" s="4">
        <v>0</v>
      </c>
      <c r="K359" s="4">
        <v>0</v>
      </c>
      <c r="L359" s="4">
        <v>962.3</v>
      </c>
      <c r="M359" s="4">
        <v>962.3</v>
      </c>
      <c r="N359" s="4">
        <v>962.3</v>
      </c>
      <c r="O359" s="4">
        <v>962.3</v>
      </c>
      <c r="P359" s="4">
        <v>2496</v>
      </c>
      <c r="Q359" s="3" t="s">
        <v>26</v>
      </c>
      <c r="R359" s="3">
        <v>0</v>
      </c>
      <c r="S359" s="4">
        <v>0</v>
      </c>
      <c r="T359" s="4">
        <v>36</v>
      </c>
      <c r="U359" s="4">
        <v>80</v>
      </c>
      <c r="V359" s="4">
        <f>IF(ISERROR(VLOOKUP($S$359,'TAR FIN'!$A$1:$O$85,15,0)),0,VLOOKUP($S$359,'TAR FIN'!$A$1:$O$85,15,0))</f>
        <v>0</v>
      </c>
      <c r="W359" s="4">
        <f>IF(ISERROR(VLOOKUP($T$359,'TAR FIN'!$A$1:$O$85,15,0)),0,VLOOKUP($T$359,'TAR FIN'!$A$1:$O$85,15,0))</f>
        <v>326.19</v>
      </c>
      <c r="X359" s="4">
        <f>IF(ISERROR(VLOOKUP($U$359,'TAR FIN'!$A$1:$O$85,15,0)),0,VLOOKUP($U$359,'TAR FIN'!$A$1:$O$85,15,0))</f>
        <v>256.83</v>
      </c>
      <c r="Y359" s="4"/>
      <c r="Z359" s="4">
        <f ca="1">('TUSD BE'!$AM$33+'TUSD BF'!$AM$33+'TUSD CVA'!$AM$33)*(1-CUSTOS!$M$38)</f>
        <v>403.45820595709068</v>
      </c>
      <c r="AA359" s="4">
        <f>('TE BE'!$AB$24+'TE BF'!$AB$24+'TE CVA'!$AB$24)*(1-CUSTOS!$M$38)</f>
        <v>200.94689439603792</v>
      </c>
      <c r="AB359" s="4">
        <f>$K$359*$V$359</f>
        <v>0</v>
      </c>
      <c r="AC359" s="4">
        <f>$M$359*$W$359</f>
        <v>313892.63699999999</v>
      </c>
      <c r="AD359" s="4">
        <f>$O$359*$X$359</f>
        <v>247147.50899999996</v>
      </c>
      <c r="AE359" s="4">
        <f>$K$359*$Y$359</f>
        <v>0</v>
      </c>
      <c r="AF359" s="4">
        <f ca="1">$M$359*$Z$359</f>
        <v>388247.83159250836</v>
      </c>
      <c r="AG359" s="4">
        <f>$O$359*$AA$359</f>
        <v>193371.19647730727</v>
      </c>
    </row>
    <row r="360" spans="1:33" ht="11.25" customHeight="1" x14ac:dyDescent="0.3">
      <c r="A360" s="3" t="s">
        <v>48</v>
      </c>
      <c r="B360" s="3" t="s">
        <v>40</v>
      </c>
      <c r="C360" s="3" t="s">
        <v>23</v>
      </c>
      <c r="D360" s="3" t="s">
        <v>41</v>
      </c>
      <c r="E360" s="3" t="s">
        <v>25</v>
      </c>
      <c r="F360" s="3" t="s">
        <v>25</v>
      </c>
      <c r="G360" s="3" t="s">
        <v>25</v>
      </c>
      <c r="H360" s="3" t="s">
        <v>25</v>
      </c>
      <c r="I360" s="6">
        <v>44470</v>
      </c>
      <c r="J360" s="4">
        <v>0</v>
      </c>
      <c r="K360" s="4">
        <v>0</v>
      </c>
      <c r="L360" s="4">
        <v>-0.17899999999999999</v>
      </c>
      <c r="M360" s="4">
        <v>-0.17899999999999999</v>
      </c>
      <c r="N360" s="4">
        <v>-0.17899999999999999</v>
      </c>
      <c r="O360" s="4">
        <v>-0.17899999999999999</v>
      </c>
      <c r="P360" s="4">
        <v>0</v>
      </c>
      <c r="Q360" s="3" t="s">
        <v>26</v>
      </c>
      <c r="R360" s="3">
        <v>0</v>
      </c>
      <c r="S360" s="4">
        <v>0</v>
      </c>
      <c r="T360" s="4">
        <v>36</v>
      </c>
      <c r="U360" s="4">
        <v>80</v>
      </c>
      <c r="V360" s="4">
        <f>IF(ISERROR(VLOOKUP($S$360,'TAR FIN'!$A$1:$O$85,15,0)),0,VLOOKUP($S$360,'TAR FIN'!$A$1:$O$85,15,0))</f>
        <v>0</v>
      </c>
      <c r="W360" s="4">
        <f>IF(ISERROR(VLOOKUP($T$360,'TAR FIN'!$A$1:$O$85,15,0)),0,VLOOKUP($T$360,'TAR FIN'!$A$1:$O$85,15,0))</f>
        <v>326.19</v>
      </c>
      <c r="X360" s="4">
        <f>IF(ISERROR(VLOOKUP($U$360,'TAR FIN'!$A$1:$O$85,15,0)),0,VLOOKUP($U$360,'TAR FIN'!$A$1:$O$85,15,0))</f>
        <v>256.83</v>
      </c>
      <c r="Y360" s="4"/>
      <c r="Z360" s="4">
        <f ca="1">('TUSD BE'!$AM$33+'TUSD BF'!$AM$33+'TUSD CVA'!$AM$33)*(1-CUSTOS!$M$38)</f>
        <v>403.45820595709068</v>
      </c>
      <c r="AA360" s="4">
        <f>('TE BE'!$AB$24+'TE BF'!$AB$24+'TE CVA'!$AB$24)*(1-CUSTOS!$M$38)</f>
        <v>200.94689439603792</v>
      </c>
      <c r="AB360" s="4">
        <f>$K$360*$V$360</f>
        <v>0</v>
      </c>
      <c r="AC360" s="4">
        <f>$M$360*$W$360</f>
        <v>-58.388009999999994</v>
      </c>
      <c r="AD360" s="4">
        <f>$O$360*$X$360</f>
        <v>-45.972569999999997</v>
      </c>
      <c r="AE360" s="4">
        <f>$K$360*$Y$360</f>
        <v>0</v>
      </c>
      <c r="AF360" s="4">
        <f ca="1">$M$360*$Z$360</f>
        <v>-72.219018866319232</v>
      </c>
      <c r="AG360" s="4">
        <f>$O$360*$AA$360</f>
        <v>-35.969494096890784</v>
      </c>
    </row>
    <row r="361" spans="1:33" ht="11.25" customHeight="1" x14ac:dyDescent="0.3">
      <c r="A361" s="3" t="s">
        <v>27</v>
      </c>
      <c r="B361" s="3" t="s">
        <v>40</v>
      </c>
      <c r="C361" s="3" t="s">
        <v>23</v>
      </c>
      <c r="D361" s="3" t="s">
        <v>41</v>
      </c>
      <c r="E361" s="3" t="s">
        <v>25</v>
      </c>
      <c r="F361" s="3" t="s">
        <v>25</v>
      </c>
      <c r="G361" s="3" t="s">
        <v>25</v>
      </c>
      <c r="H361" s="3" t="s">
        <v>25</v>
      </c>
      <c r="I361" s="6">
        <v>44470</v>
      </c>
      <c r="J361" s="4">
        <v>0</v>
      </c>
      <c r="K361" s="4">
        <v>0</v>
      </c>
      <c r="L361" s="4">
        <v>66.06</v>
      </c>
      <c r="M361" s="4">
        <v>66.06</v>
      </c>
      <c r="N361" s="4">
        <v>66.06</v>
      </c>
      <c r="O361" s="4">
        <v>66.06</v>
      </c>
      <c r="P361" s="4">
        <v>85</v>
      </c>
      <c r="Q361" s="3" t="s">
        <v>26</v>
      </c>
      <c r="R361" s="3">
        <v>0</v>
      </c>
      <c r="S361" s="4">
        <v>0</v>
      </c>
      <c r="T361" s="4">
        <v>36</v>
      </c>
      <c r="U361" s="4">
        <v>80</v>
      </c>
      <c r="V361" s="4">
        <f>IF(ISERROR(VLOOKUP($S$361,'TAR FIN'!$A$1:$O$85,15,0)),0,VLOOKUP($S$361,'TAR FIN'!$A$1:$O$85,15,0))</f>
        <v>0</v>
      </c>
      <c r="W361" s="4">
        <f>IF(ISERROR(VLOOKUP($T$361,'TAR FIN'!$A$1:$O$85,15,0)),0,VLOOKUP($T$361,'TAR FIN'!$A$1:$O$85,15,0))</f>
        <v>326.19</v>
      </c>
      <c r="X361" s="4">
        <f>IF(ISERROR(VLOOKUP($U$361,'TAR FIN'!$A$1:$O$85,15,0)),0,VLOOKUP($U$361,'TAR FIN'!$A$1:$O$85,15,0))</f>
        <v>256.83</v>
      </c>
      <c r="Y361" s="4"/>
      <c r="Z361" s="4">
        <f ca="1">('TUSD BE'!$AM$33+'TUSD BF'!$AM$33+'TUSD CVA'!$AM$33)*(1-CUSTOS!$M$38)</f>
        <v>403.45820595709068</v>
      </c>
      <c r="AA361" s="4">
        <f>('TE BE'!$AB$24+'TE BF'!$AB$24+'TE CVA'!$AB$24)*(1-CUSTOS!$M$38)</f>
        <v>200.94689439603792</v>
      </c>
      <c r="AB361" s="4">
        <f>$K$361*$V$361</f>
        <v>0</v>
      </c>
      <c r="AC361" s="4">
        <f>$M$361*$W$361</f>
        <v>21548.111400000002</v>
      </c>
      <c r="AD361" s="4">
        <f>$O$361*$X$361</f>
        <v>16966.1898</v>
      </c>
      <c r="AE361" s="4">
        <f>$K$361*$Y$361</f>
        <v>0</v>
      </c>
      <c r="AF361" s="4">
        <f ca="1">$M$361*$Z$361</f>
        <v>26652.449085525412</v>
      </c>
      <c r="AG361" s="4">
        <f>$O$361*$AA$361</f>
        <v>13274.551843802265</v>
      </c>
    </row>
    <row r="362" spans="1:33" ht="11.25" customHeight="1" x14ac:dyDescent="0.3">
      <c r="A362" s="3" t="s">
        <v>21</v>
      </c>
      <c r="B362" s="3" t="s">
        <v>40</v>
      </c>
      <c r="C362" s="3" t="s">
        <v>23</v>
      </c>
      <c r="D362" s="3" t="s">
        <v>41</v>
      </c>
      <c r="E362" s="3" t="s">
        <v>25</v>
      </c>
      <c r="F362" s="3" t="s">
        <v>25</v>
      </c>
      <c r="G362" s="3" t="s">
        <v>25</v>
      </c>
      <c r="H362" s="3" t="s">
        <v>25</v>
      </c>
      <c r="I362" s="6">
        <v>44501</v>
      </c>
      <c r="J362" s="4">
        <v>0</v>
      </c>
      <c r="K362" s="4">
        <v>0</v>
      </c>
      <c r="L362" s="4">
        <v>1024.6300000000001</v>
      </c>
      <c r="M362" s="4">
        <v>1024.6300000000001</v>
      </c>
      <c r="N362" s="4">
        <v>1024.6300000000001</v>
      </c>
      <c r="O362" s="4">
        <v>1024.6300000000001</v>
      </c>
      <c r="P362" s="4">
        <v>2475</v>
      </c>
      <c r="Q362" s="3" t="s">
        <v>26</v>
      </c>
      <c r="R362" s="3">
        <v>0</v>
      </c>
      <c r="S362" s="4">
        <v>0</v>
      </c>
      <c r="T362" s="4">
        <v>36</v>
      </c>
      <c r="U362" s="4">
        <v>80</v>
      </c>
      <c r="V362" s="4">
        <f>IF(ISERROR(VLOOKUP($S$362,'TAR FIN'!$A$1:$O$85,15,0)),0,VLOOKUP($S$362,'TAR FIN'!$A$1:$O$85,15,0))</f>
        <v>0</v>
      </c>
      <c r="W362" s="4">
        <f>IF(ISERROR(VLOOKUP($T$362,'TAR FIN'!$A$1:$O$85,15,0)),0,VLOOKUP($T$362,'TAR FIN'!$A$1:$O$85,15,0))</f>
        <v>326.19</v>
      </c>
      <c r="X362" s="4">
        <f>IF(ISERROR(VLOOKUP($U$362,'TAR FIN'!$A$1:$O$85,15,0)),0,VLOOKUP($U$362,'TAR FIN'!$A$1:$O$85,15,0))</f>
        <v>256.83</v>
      </c>
      <c r="Y362" s="4"/>
      <c r="Z362" s="4">
        <f ca="1">('TUSD BE'!$AM$33+'TUSD BF'!$AM$33+'TUSD CVA'!$AM$33)*(1-CUSTOS!$M$38)</f>
        <v>403.45820595709068</v>
      </c>
      <c r="AA362" s="4">
        <f>('TE BE'!$AB$24+'TE BF'!$AB$24+'TE CVA'!$AB$24)*(1-CUSTOS!$M$38)</f>
        <v>200.94689439603792</v>
      </c>
      <c r="AB362" s="4">
        <f>$K$362*$V$362</f>
        <v>0</v>
      </c>
      <c r="AC362" s="4">
        <f>$M$362*$W$362</f>
        <v>334224.05970000004</v>
      </c>
      <c r="AD362" s="4">
        <f>$O$362*$X$362</f>
        <v>263155.72289999999</v>
      </c>
      <c r="AE362" s="4">
        <f>$K$362*$Y$362</f>
        <v>0</v>
      </c>
      <c r="AF362" s="4">
        <f ca="1">$M$362*$Z$362</f>
        <v>413395.38156981388</v>
      </c>
      <c r="AG362" s="4">
        <f>$O$362*$AA$362</f>
        <v>205896.21640501235</v>
      </c>
    </row>
    <row r="363" spans="1:33" ht="11.25" customHeight="1" x14ac:dyDescent="0.3">
      <c r="A363" s="3" t="s">
        <v>27</v>
      </c>
      <c r="B363" s="3" t="s">
        <v>40</v>
      </c>
      <c r="C363" s="3" t="s">
        <v>23</v>
      </c>
      <c r="D363" s="3" t="s">
        <v>41</v>
      </c>
      <c r="E363" s="3" t="s">
        <v>25</v>
      </c>
      <c r="F363" s="3" t="s">
        <v>25</v>
      </c>
      <c r="G363" s="3" t="s">
        <v>25</v>
      </c>
      <c r="H363" s="3" t="s">
        <v>25</v>
      </c>
      <c r="I363" s="6">
        <v>44501</v>
      </c>
      <c r="J363" s="4">
        <v>0</v>
      </c>
      <c r="K363" s="4">
        <v>0</v>
      </c>
      <c r="L363" s="4">
        <v>22.878</v>
      </c>
      <c r="M363" s="4">
        <v>22.878</v>
      </c>
      <c r="N363" s="4">
        <v>22.878</v>
      </c>
      <c r="O363" s="4">
        <v>22.878</v>
      </c>
      <c r="P363" s="4">
        <v>99</v>
      </c>
      <c r="Q363" s="3" t="s">
        <v>26</v>
      </c>
      <c r="R363" s="3">
        <v>0</v>
      </c>
      <c r="S363" s="4">
        <v>0</v>
      </c>
      <c r="T363" s="4">
        <v>36</v>
      </c>
      <c r="U363" s="4">
        <v>80</v>
      </c>
      <c r="V363" s="4">
        <f>IF(ISERROR(VLOOKUP($S$363,'TAR FIN'!$A$1:$O$85,15,0)),0,VLOOKUP($S$363,'TAR FIN'!$A$1:$O$85,15,0))</f>
        <v>0</v>
      </c>
      <c r="W363" s="4">
        <f>IF(ISERROR(VLOOKUP($T$363,'TAR FIN'!$A$1:$O$85,15,0)),0,VLOOKUP($T$363,'TAR FIN'!$A$1:$O$85,15,0))</f>
        <v>326.19</v>
      </c>
      <c r="X363" s="4">
        <f>IF(ISERROR(VLOOKUP($U$363,'TAR FIN'!$A$1:$O$85,15,0)),0,VLOOKUP($U$363,'TAR FIN'!$A$1:$O$85,15,0))</f>
        <v>256.83</v>
      </c>
      <c r="Y363" s="4"/>
      <c r="Z363" s="4">
        <f ca="1">('TUSD BE'!$AM$33+'TUSD BF'!$AM$33+'TUSD CVA'!$AM$33)*(1-CUSTOS!$M$38)</f>
        <v>403.45820595709068</v>
      </c>
      <c r="AA363" s="4">
        <f>('TE BE'!$AB$24+'TE BF'!$AB$24+'TE CVA'!$AB$24)*(1-CUSTOS!$M$38)</f>
        <v>200.94689439603792</v>
      </c>
      <c r="AB363" s="4">
        <f>$K$363*$V$363</f>
        <v>0</v>
      </c>
      <c r="AC363" s="4">
        <f>$M$363*$W$363</f>
        <v>7462.5748199999998</v>
      </c>
      <c r="AD363" s="4">
        <f>$O$363*$X$363</f>
        <v>5875.7567399999998</v>
      </c>
      <c r="AE363" s="4">
        <f>$K$363*$Y$363</f>
        <v>0</v>
      </c>
      <c r="AF363" s="4">
        <f ca="1">$M$363*$Z$363</f>
        <v>9230.3168358863204</v>
      </c>
      <c r="AG363" s="4">
        <f>$O$363*$AA$363</f>
        <v>4597.2630499925554</v>
      </c>
    </row>
    <row r="364" spans="1:33" ht="11.25" customHeight="1" x14ac:dyDescent="0.3">
      <c r="A364" s="3" t="s">
        <v>21</v>
      </c>
      <c r="B364" s="3" t="s">
        <v>40</v>
      </c>
      <c r="C364" s="3" t="s">
        <v>23</v>
      </c>
      <c r="D364" s="3" t="s">
        <v>41</v>
      </c>
      <c r="E364" s="3" t="s">
        <v>25</v>
      </c>
      <c r="F364" s="3" t="s">
        <v>25</v>
      </c>
      <c r="G364" s="3" t="s">
        <v>25</v>
      </c>
      <c r="H364" s="3" t="s">
        <v>25</v>
      </c>
      <c r="I364" s="6">
        <v>44531</v>
      </c>
      <c r="J364" s="4">
        <v>0</v>
      </c>
      <c r="K364" s="4">
        <v>0</v>
      </c>
      <c r="L364" s="4">
        <v>861.80700000000002</v>
      </c>
      <c r="M364" s="4">
        <v>861.80700000000002</v>
      </c>
      <c r="N364" s="4">
        <v>861.80700000000002</v>
      </c>
      <c r="O364" s="4">
        <v>861.80700000000002</v>
      </c>
      <c r="P364" s="4">
        <v>2464</v>
      </c>
      <c r="Q364" s="3" t="s">
        <v>26</v>
      </c>
      <c r="R364" s="3">
        <v>0</v>
      </c>
      <c r="S364" s="4">
        <v>0</v>
      </c>
      <c r="T364" s="4">
        <v>36</v>
      </c>
      <c r="U364" s="4">
        <v>80</v>
      </c>
      <c r="V364" s="4">
        <f>IF(ISERROR(VLOOKUP($S$364,'TAR FIN'!$A$1:$O$85,15,0)),0,VLOOKUP($S$364,'TAR FIN'!$A$1:$O$85,15,0))</f>
        <v>0</v>
      </c>
      <c r="W364" s="4">
        <f>IF(ISERROR(VLOOKUP($T$364,'TAR FIN'!$A$1:$O$85,15,0)),0,VLOOKUP($T$364,'TAR FIN'!$A$1:$O$85,15,0))</f>
        <v>326.19</v>
      </c>
      <c r="X364" s="4">
        <f>IF(ISERROR(VLOOKUP($U$364,'TAR FIN'!$A$1:$O$85,15,0)),0,VLOOKUP($U$364,'TAR FIN'!$A$1:$O$85,15,0))</f>
        <v>256.83</v>
      </c>
      <c r="Y364" s="4"/>
      <c r="Z364" s="4">
        <f ca="1">('TUSD BE'!$AM$33+'TUSD BF'!$AM$33+'TUSD CVA'!$AM$33)*(1-CUSTOS!$M$38)</f>
        <v>403.45820595709068</v>
      </c>
      <c r="AA364" s="4">
        <f>('TE BE'!$AB$24+'TE BF'!$AB$24+'TE CVA'!$AB$24)*(1-CUSTOS!$M$38)</f>
        <v>200.94689439603792</v>
      </c>
      <c r="AB364" s="4">
        <f>$K$364*$V$364</f>
        <v>0</v>
      </c>
      <c r="AC364" s="4">
        <f>$M$364*$W$364</f>
        <v>281112.82533000002</v>
      </c>
      <c r="AD364" s="4">
        <f>$O$364*$X$364</f>
        <v>221337.89181</v>
      </c>
      <c r="AE364" s="4">
        <f>$K$364*$Y$364</f>
        <v>0</v>
      </c>
      <c r="AF364" s="4">
        <f ca="1">$M$364*$Z$364</f>
        <v>347703.10610126244</v>
      </c>
      <c r="AG364" s="4">
        <f>$O$364*$AA$364</f>
        <v>173177.44021876625</v>
      </c>
    </row>
    <row r="365" spans="1:33" ht="11.25" customHeight="1" x14ac:dyDescent="0.3">
      <c r="A365" s="3" t="s">
        <v>27</v>
      </c>
      <c r="B365" s="3" t="s">
        <v>40</v>
      </c>
      <c r="C365" s="3" t="s">
        <v>23</v>
      </c>
      <c r="D365" s="3" t="s">
        <v>41</v>
      </c>
      <c r="E365" s="3" t="s">
        <v>25</v>
      </c>
      <c r="F365" s="3" t="s">
        <v>25</v>
      </c>
      <c r="G365" s="3" t="s">
        <v>25</v>
      </c>
      <c r="H365" s="3" t="s">
        <v>25</v>
      </c>
      <c r="I365" s="6">
        <v>44531</v>
      </c>
      <c r="J365" s="4">
        <v>0</v>
      </c>
      <c r="K365" s="4">
        <v>0</v>
      </c>
      <c r="L365" s="4">
        <v>47.197000000000003</v>
      </c>
      <c r="M365" s="4">
        <v>47.197000000000003</v>
      </c>
      <c r="N365" s="4">
        <v>47.197000000000003</v>
      </c>
      <c r="O365" s="4">
        <v>47.197000000000003</v>
      </c>
      <c r="P365" s="4">
        <v>109</v>
      </c>
      <c r="Q365" s="3" t="s">
        <v>26</v>
      </c>
      <c r="R365" s="3">
        <v>0</v>
      </c>
      <c r="S365" s="4">
        <v>0</v>
      </c>
      <c r="T365" s="4">
        <v>36</v>
      </c>
      <c r="U365" s="4">
        <v>80</v>
      </c>
      <c r="V365" s="4">
        <f>IF(ISERROR(VLOOKUP($S$365,'TAR FIN'!$A$1:$O$85,15,0)),0,VLOOKUP($S$365,'TAR FIN'!$A$1:$O$85,15,0))</f>
        <v>0</v>
      </c>
      <c r="W365" s="4">
        <f>IF(ISERROR(VLOOKUP($T$365,'TAR FIN'!$A$1:$O$85,15,0)),0,VLOOKUP($T$365,'TAR FIN'!$A$1:$O$85,15,0))</f>
        <v>326.19</v>
      </c>
      <c r="X365" s="4">
        <f>IF(ISERROR(VLOOKUP($U$365,'TAR FIN'!$A$1:$O$85,15,0)),0,VLOOKUP($U$365,'TAR FIN'!$A$1:$O$85,15,0))</f>
        <v>256.83</v>
      </c>
      <c r="Y365" s="4"/>
      <c r="Z365" s="4">
        <f ca="1">('TUSD BE'!$AM$33+'TUSD BF'!$AM$33+'TUSD CVA'!$AM$33)*(1-CUSTOS!$M$38)</f>
        <v>403.45820595709068</v>
      </c>
      <c r="AA365" s="4">
        <f>('TE BE'!$AB$24+'TE BF'!$AB$24+'TE CVA'!$AB$24)*(1-CUSTOS!$M$38)</f>
        <v>200.94689439603792</v>
      </c>
      <c r="AB365" s="4">
        <f>$K$365*$V$365</f>
        <v>0</v>
      </c>
      <c r="AC365" s="4">
        <f>$M$365*$W$365</f>
        <v>15395.18943</v>
      </c>
      <c r="AD365" s="4">
        <f>$O$365*$X$365</f>
        <v>12121.605509999999</v>
      </c>
      <c r="AE365" s="4">
        <f>$K$365*$Y$365</f>
        <v>0</v>
      </c>
      <c r="AF365" s="4">
        <f ca="1">$M$365*$Z$365</f>
        <v>19042.016946556811</v>
      </c>
      <c r="AG365" s="4">
        <f>$O$365*$AA$365</f>
        <v>9484.090574809803</v>
      </c>
    </row>
    <row r="366" spans="1:33" ht="11.25" customHeight="1" x14ac:dyDescent="0.3">
      <c r="A366" s="3" t="s">
        <v>21</v>
      </c>
      <c r="B366" s="3" t="s">
        <v>40</v>
      </c>
      <c r="C366" s="3" t="s">
        <v>23</v>
      </c>
      <c r="D366" s="3" t="s">
        <v>41</v>
      </c>
      <c r="E366" s="3" t="s">
        <v>25</v>
      </c>
      <c r="F366" s="3" t="s">
        <v>25</v>
      </c>
      <c r="G366" s="3" t="s">
        <v>25</v>
      </c>
      <c r="H366" s="3" t="s">
        <v>25</v>
      </c>
      <c r="I366" s="6">
        <v>44562</v>
      </c>
      <c r="J366" s="4">
        <v>0</v>
      </c>
      <c r="K366" s="4">
        <v>0</v>
      </c>
      <c r="L366" s="4">
        <v>940.94</v>
      </c>
      <c r="M366" s="4">
        <v>940.94</v>
      </c>
      <c r="N366" s="4">
        <v>940.94</v>
      </c>
      <c r="O366" s="4">
        <v>940.94</v>
      </c>
      <c r="P366" s="4">
        <v>2457</v>
      </c>
      <c r="Q366" s="3" t="s">
        <v>26</v>
      </c>
      <c r="R366" s="3">
        <v>0</v>
      </c>
      <c r="S366" s="4">
        <v>0</v>
      </c>
      <c r="T366" s="4">
        <v>36</v>
      </c>
      <c r="U366" s="4">
        <v>80</v>
      </c>
      <c r="V366" s="4">
        <f>IF(ISERROR(VLOOKUP($S$366,'TAR FIN'!$A$1:$O$85,15,0)),0,VLOOKUP($S$366,'TAR FIN'!$A$1:$O$85,15,0))</f>
        <v>0</v>
      </c>
      <c r="W366" s="4">
        <f>IF(ISERROR(VLOOKUP($T$366,'TAR FIN'!$A$1:$O$85,15,0)),0,VLOOKUP($T$366,'TAR FIN'!$A$1:$O$85,15,0))</f>
        <v>326.19</v>
      </c>
      <c r="X366" s="4">
        <f>IF(ISERROR(VLOOKUP($U$366,'TAR FIN'!$A$1:$O$85,15,0)),0,VLOOKUP($U$366,'TAR FIN'!$A$1:$O$85,15,0))</f>
        <v>256.83</v>
      </c>
      <c r="Y366" s="4"/>
      <c r="Z366" s="4">
        <f ca="1">('TUSD BE'!$AM$33+'TUSD BF'!$AM$33+'TUSD CVA'!$AM$33)*(1-CUSTOS!$M$38)</f>
        <v>403.45820595709068</v>
      </c>
      <c r="AA366" s="4">
        <f>('TE BE'!$AB$24+'TE BF'!$AB$24+'TE CVA'!$AB$24)*(1-CUSTOS!$M$38)</f>
        <v>200.94689439603792</v>
      </c>
      <c r="AB366" s="4">
        <f>$K$366*$V$366</f>
        <v>0</v>
      </c>
      <c r="AC366" s="4">
        <f>$M$366*$W$366</f>
        <v>306925.21860000002</v>
      </c>
      <c r="AD366" s="4">
        <f>$O$366*$X$366</f>
        <v>241661.6202</v>
      </c>
      <c r="AE366" s="4">
        <f>$K$366*$Y$366</f>
        <v>0</v>
      </c>
      <c r="AF366" s="4">
        <f ca="1">$M$366*$Z$366</f>
        <v>379629.96431326494</v>
      </c>
      <c r="AG366" s="4">
        <f>$O$366*$AA$366</f>
        <v>189078.97081300794</v>
      </c>
    </row>
    <row r="367" spans="1:33" ht="11.25" customHeight="1" x14ac:dyDescent="0.3">
      <c r="A367" s="3" t="s">
        <v>27</v>
      </c>
      <c r="B367" s="3" t="s">
        <v>40</v>
      </c>
      <c r="C367" s="3" t="s">
        <v>23</v>
      </c>
      <c r="D367" s="3" t="s">
        <v>41</v>
      </c>
      <c r="E367" s="3" t="s">
        <v>25</v>
      </c>
      <c r="F367" s="3" t="s">
        <v>25</v>
      </c>
      <c r="G367" s="3" t="s">
        <v>25</v>
      </c>
      <c r="H367" s="3" t="s">
        <v>25</v>
      </c>
      <c r="I367" s="6">
        <v>44562</v>
      </c>
      <c r="J367" s="4">
        <v>0</v>
      </c>
      <c r="K367" s="4">
        <v>0</v>
      </c>
      <c r="L367" s="4">
        <v>43.276000000000003</v>
      </c>
      <c r="M367" s="4">
        <v>43.276000000000003</v>
      </c>
      <c r="N367" s="4">
        <v>43.276000000000003</v>
      </c>
      <c r="O367" s="4">
        <v>43.276000000000003</v>
      </c>
      <c r="P367" s="4">
        <v>112</v>
      </c>
      <c r="Q367" s="3" t="s">
        <v>26</v>
      </c>
      <c r="R367" s="3">
        <v>0</v>
      </c>
      <c r="S367" s="4">
        <v>0</v>
      </c>
      <c r="T367" s="4">
        <v>36</v>
      </c>
      <c r="U367" s="4">
        <v>80</v>
      </c>
      <c r="V367" s="4">
        <f>IF(ISERROR(VLOOKUP($S$367,'TAR FIN'!$A$1:$O$85,15,0)),0,VLOOKUP($S$367,'TAR FIN'!$A$1:$O$85,15,0))</f>
        <v>0</v>
      </c>
      <c r="W367" s="4">
        <f>IF(ISERROR(VLOOKUP($T$367,'TAR FIN'!$A$1:$O$85,15,0)),0,VLOOKUP($T$367,'TAR FIN'!$A$1:$O$85,15,0))</f>
        <v>326.19</v>
      </c>
      <c r="X367" s="4">
        <f>IF(ISERROR(VLOOKUP($U$367,'TAR FIN'!$A$1:$O$85,15,0)),0,VLOOKUP($U$367,'TAR FIN'!$A$1:$O$85,15,0))</f>
        <v>256.83</v>
      </c>
      <c r="Y367" s="4"/>
      <c r="Z367" s="4">
        <f ca="1">('TUSD BE'!$AM$33+'TUSD BF'!$AM$33+'TUSD CVA'!$AM$33)*(1-CUSTOS!$M$38)</f>
        <v>403.45820595709068</v>
      </c>
      <c r="AA367" s="4">
        <f>('TE BE'!$AB$24+'TE BF'!$AB$24+'TE CVA'!$AB$24)*(1-CUSTOS!$M$38)</f>
        <v>200.94689439603792</v>
      </c>
      <c r="AB367" s="4">
        <f>$K$367*$V$367</f>
        <v>0</v>
      </c>
      <c r="AC367" s="4">
        <f>$M$367*$W$367</f>
        <v>14116.19844</v>
      </c>
      <c r="AD367" s="4">
        <f>$O$367*$X$367</f>
        <v>11114.575080000001</v>
      </c>
      <c r="AE367" s="4">
        <f>$K$367*$Y$367</f>
        <v>0</v>
      </c>
      <c r="AF367" s="4">
        <f ca="1">$M$367*$Z$367</f>
        <v>17460.057320999058</v>
      </c>
      <c r="AG367" s="4">
        <f>$O$367*$AA$367</f>
        <v>8696.1778018829373</v>
      </c>
    </row>
    <row r="368" spans="1:33" ht="11.25" customHeight="1" x14ac:dyDescent="0.3">
      <c r="A368" s="3" t="s">
        <v>21</v>
      </c>
      <c r="B368" s="3" t="s">
        <v>40</v>
      </c>
      <c r="C368" s="3" t="s">
        <v>23</v>
      </c>
      <c r="D368" s="3" t="s">
        <v>41</v>
      </c>
      <c r="E368" s="3" t="s">
        <v>25</v>
      </c>
      <c r="F368" s="3" t="s">
        <v>25</v>
      </c>
      <c r="G368" s="3" t="s">
        <v>25</v>
      </c>
      <c r="H368" s="3" t="s">
        <v>25</v>
      </c>
      <c r="I368" s="6">
        <v>44593</v>
      </c>
      <c r="J368" s="4">
        <v>0</v>
      </c>
      <c r="K368" s="4">
        <v>0</v>
      </c>
      <c r="L368" s="4">
        <v>1002.748</v>
      </c>
      <c r="M368" s="4">
        <v>1002.748</v>
      </c>
      <c r="N368" s="4">
        <v>1002.748</v>
      </c>
      <c r="O368" s="4">
        <v>1002.748</v>
      </c>
      <c r="P368" s="4">
        <v>2447</v>
      </c>
      <c r="Q368" s="3" t="s">
        <v>26</v>
      </c>
      <c r="R368" s="3">
        <v>0</v>
      </c>
      <c r="S368" s="4">
        <v>0</v>
      </c>
      <c r="T368" s="4">
        <v>36</v>
      </c>
      <c r="U368" s="4">
        <v>80</v>
      </c>
      <c r="V368" s="4">
        <f>IF(ISERROR(VLOOKUP($S$368,'TAR FIN'!$A$1:$O$85,15,0)),0,VLOOKUP($S$368,'TAR FIN'!$A$1:$O$85,15,0))</f>
        <v>0</v>
      </c>
      <c r="W368" s="4">
        <f>IF(ISERROR(VLOOKUP($T$368,'TAR FIN'!$A$1:$O$85,15,0)),0,VLOOKUP($T$368,'TAR FIN'!$A$1:$O$85,15,0))</f>
        <v>326.19</v>
      </c>
      <c r="X368" s="4">
        <f>IF(ISERROR(VLOOKUP($U$368,'TAR FIN'!$A$1:$O$85,15,0)),0,VLOOKUP($U$368,'TAR FIN'!$A$1:$O$85,15,0))</f>
        <v>256.83</v>
      </c>
      <c r="Y368" s="4"/>
      <c r="Z368" s="4">
        <f ca="1">('TUSD BE'!$AM$33+'TUSD BF'!$AM$33+'TUSD CVA'!$AM$33)*(1-CUSTOS!$M$38)</f>
        <v>403.45820595709068</v>
      </c>
      <c r="AA368" s="4">
        <f>('TE BE'!$AB$24+'TE BF'!$AB$24+'TE CVA'!$AB$24)*(1-CUSTOS!$M$38)</f>
        <v>200.94689439603792</v>
      </c>
      <c r="AB368" s="4">
        <f>$K$368*$V$368</f>
        <v>0</v>
      </c>
      <c r="AC368" s="4">
        <f>$M$368*$W$368</f>
        <v>327086.37012000004</v>
      </c>
      <c r="AD368" s="4">
        <f>$O$368*$X$368</f>
        <v>257535.76884</v>
      </c>
      <c r="AE368" s="4">
        <f>$K$368*$Y$368</f>
        <v>0</v>
      </c>
      <c r="AF368" s="4">
        <f ca="1">$M$368*$Z$368</f>
        <v>404566.90910706081</v>
      </c>
      <c r="AG368" s="4">
        <f>$O$368*$AA$368</f>
        <v>201499.09646183823</v>
      </c>
    </row>
    <row r="369" spans="1:33" ht="11.25" customHeight="1" x14ac:dyDescent="0.3">
      <c r="A369" s="3" t="s">
        <v>48</v>
      </c>
      <c r="B369" s="3" t="s">
        <v>40</v>
      </c>
      <c r="C369" s="3" t="s">
        <v>23</v>
      </c>
      <c r="D369" s="3" t="s">
        <v>41</v>
      </c>
      <c r="E369" s="3" t="s">
        <v>25</v>
      </c>
      <c r="F369" s="3" t="s">
        <v>25</v>
      </c>
      <c r="G369" s="3" t="s">
        <v>25</v>
      </c>
      <c r="H369" s="3" t="s">
        <v>25</v>
      </c>
      <c r="I369" s="6">
        <v>44593</v>
      </c>
      <c r="J369" s="4">
        <v>0</v>
      </c>
      <c r="K369" s="4">
        <v>0</v>
      </c>
      <c r="L369" s="4">
        <v>-0.46</v>
      </c>
      <c r="M369" s="4">
        <v>-0.46</v>
      </c>
      <c r="N369" s="4">
        <v>-0.46</v>
      </c>
      <c r="O369" s="4">
        <v>-0.46</v>
      </c>
      <c r="P369" s="4">
        <v>0</v>
      </c>
      <c r="Q369" s="3" t="s">
        <v>26</v>
      </c>
      <c r="R369" s="3">
        <v>0</v>
      </c>
      <c r="S369" s="4">
        <v>0</v>
      </c>
      <c r="T369" s="4">
        <v>36</v>
      </c>
      <c r="U369" s="4">
        <v>80</v>
      </c>
      <c r="V369" s="4">
        <f>IF(ISERROR(VLOOKUP($S$369,'TAR FIN'!$A$1:$O$85,15,0)),0,VLOOKUP($S$369,'TAR FIN'!$A$1:$O$85,15,0))</f>
        <v>0</v>
      </c>
      <c r="W369" s="4">
        <f>IF(ISERROR(VLOOKUP($T$369,'TAR FIN'!$A$1:$O$85,15,0)),0,VLOOKUP($T$369,'TAR FIN'!$A$1:$O$85,15,0))</f>
        <v>326.19</v>
      </c>
      <c r="X369" s="4">
        <f>IF(ISERROR(VLOOKUP($U$369,'TAR FIN'!$A$1:$O$85,15,0)),0,VLOOKUP($U$369,'TAR FIN'!$A$1:$O$85,15,0))</f>
        <v>256.83</v>
      </c>
      <c r="Y369" s="4"/>
      <c r="Z369" s="4">
        <f ca="1">('TUSD BE'!$AM$33+'TUSD BF'!$AM$33+'TUSD CVA'!$AM$33)*(1-CUSTOS!$M$38)</f>
        <v>403.45820595709068</v>
      </c>
      <c r="AA369" s="4">
        <f>('TE BE'!$AB$24+'TE BF'!$AB$24+'TE CVA'!$AB$24)*(1-CUSTOS!$M$38)</f>
        <v>200.94689439603792</v>
      </c>
      <c r="AB369" s="4">
        <f>$K$369*$V$369</f>
        <v>0</v>
      </c>
      <c r="AC369" s="4">
        <f>$M$369*$W$369</f>
        <v>-150.04740000000001</v>
      </c>
      <c r="AD369" s="4">
        <f>$O$369*$X$369</f>
        <v>-118.1418</v>
      </c>
      <c r="AE369" s="4">
        <f>$K$369*$Y$369</f>
        <v>0</v>
      </c>
      <c r="AF369" s="4">
        <f ca="1">$M$369*$Z$369</f>
        <v>-185.59077474026174</v>
      </c>
      <c r="AG369" s="4">
        <f>$O$369*$AA$369</f>
        <v>-92.435571422177446</v>
      </c>
    </row>
    <row r="370" spans="1:33" ht="11.25" customHeight="1" x14ac:dyDescent="0.3">
      <c r="A370" s="3" t="s">
        <v>27</v>
      </c>
      <c r="B370" s="3" t="s">
        <v>40</v>
      </c>
      <c r="C370" s="3" t="s">
        <v>23</v>
      </c>
      <c r="D370" s="3" t="s">
        <v>41</v>
      </c>
      <c r="E370" s="3" t="s">
        <v>25</v>
      </c>
      <c r="F370" s="3" t="s">
        <v>25</v>
      </c>
      <c r="G370" s="3" t="s">
        <v>25</v>
      </c>
      <c r="H370" s="3" t="s">
        <v>25</v>
      </c>
      <c r="I370" s="6">
        <v>44593</v>
      </c>
      <c r="J370" s="4">
        <v>0</v>
      </c>
      <c r="K370" s="4">
        <v>0</v>
      </c>
      <c r="L370" s="4">
        <v>51.188000000000002</v>
      </c>
      <c r="M370" s="4">
        <v>51.188000000000002</v>
      </c>
      <c r="N370" s="4">
        <v>51.188000000000002</v>
      </c>
      <c r="O370" s="4">
        <v>51.188000000000002</v>
      </c>
      <c r="P370" s="4">
        <v>118</v>
      </c>
      <c r="Q370" s="3" t="s">
        <v>26</v>
      </c>
      <c r="R370" s="3">
        <v>0</v>
      </c>
      <c r="S370" s="4">
        <v>0</v>
      </c>
      <c r="T370" s="4">
        <v>36</v>
      </c>
      <c r="U370" s="4">
        <v>80</v>
      </c>
      <c r="V370" s="4">
        <f>IF(ISERROR(VLOOKUP($S$370,'TAR FIN'!$A$1:$O$85,15,0)),0,VLOOKUP($S$370,'TAR FIN'!$A$1:$O$85,15,0))</f>
        <v>0</v>
      </c>
      <c r="W370" s="4">
        <f>IF(ISERROR(VLOOKUP($T$370,'TAR FIN'!$A$1:$O$85,15,0)),0,VLOOKUP($T$370,'TAR FIN'!$A$1:$O$85,15,0))</f>
        <v>326.19</v>
      </c>
      <c r="X370" s="4">
        <f>IF(ISERROR(VLOOKUP($U$370,'TAR FIN'!$A$1:$O$85,15,0)),0,VLOOKUP($U$370,'TAR FIN'!$A$1:$O$85,15,0))</f>
        <v>256.83</v>
      </c>
      <c r="Y370" s="4"/>
      <c r="Z370" s="4">
        <f ca="1">('TUSD BE'!$AM$33+'TUSD BF'!$AM$33+'TUSD CVA'!$AM$33)*(1-CUSTOS!$M$38)</f>
        <v>403.45820595709068</v>
      </c>
      <c r="AA370" s="4">
        <f>('TE BE'!$AB$24+'TE BF'!$AB$24+'TE CVA'!$AB$24)*(1-CUSTOS!$M$38)</f>
        <v>200.94689439603792</v>
      </c>
      <c r="AB370" s="4">
        <f>$K$370*$V$370</f>
        <v>0</v>
      </c>
      <c r="AC370" s="4">
        <f>$M$370*$W$370</f>
        <v>16697.013719999999</v>
      </c>
      <c r="AD370" s="4">
        <f>$O$370*$X$370</f>
        <v>13146.61404</v>
      </c>
      <c r="AE370" s="4">
        <f>$K$370*$Y$370</f>
        <v>0</v>
      </c>
      <c r="AF370" s="4">
        <f ca="1">$M$370*$Z$370</f>
        <v>20652.218646531557</v>
      </c>
      <c r="AG370" s="4">
        <f>$O$370*$AA$370</f>
        <v>10286.069630344389</v>
      </c>
    </row>
    <row r="371" spans="1:33" ht="11.25" customHeight="1" x14ac:dyDescent="0.3">
      <c r="A371" s="3" t="s">
        <v>21</v>
      </c>
      <c r="B371" s="3" t="s">
        <v>40</v>
      </c>
      <c r="C371" s="3" t="s">
        <v>23</v>
      </c>
      <c r="D371" s="3" t="s">
        <v>41</v>
      </c>
      <c r="E371" s="3" t="s">
        <v>25</v>
      </c>
      <c r="F371" s="3" t="s">
        <v>25</v>
      </c>
      <c r="G371" s="3" t="s">
        <v>25</v>
      </c>
      <c r="H371" s="3" t="s">
        <v>25</v>
      </c>
      <c r="I371" s="6">
        <v>44621</v>
      </c>
      <c r="J371" s="4">
        <v>0</v>
      </c>
      <c r="K371" s="4">
        <v>0</v>
      </c>
      <c r="L371" s="4">
        <v>892.37699999999995</v>
      </c>
      <c r="M371" s="4">
        <v>892.37699999999995</v>
      </c>
      <c r="N371" s="4">
        <v>892.37699999999995</v>
      </c>
      <c r="O371" s="4">
        <v>892.37699999999995</v>
      </c>
      <c r="P371" s="4">
        <v>2436</v>
      </c>
      <c r="Q371" s="3" t="s">
        <v>26</v>
      </c>
      <c r="R371" s="3">
        <v>0</v>
      </c>
      <c r="S371" s="4">
        <v>0</v>
      </c>
      <c r="T371" s="4">
        <v>36</v>
      </c>
      <c r="U371" s="4">
        <v>80</v>
      </c>
      <c r="V371" s="4">
        <f>IF(ISERROR(VLOOKUP($S$371,'TAR FIN'!$A$1:$O$85,15,0)),0,VLOOKUP($S$371,'TAR FIN'!$A$1:$O$85,15,0))</f>
        <v>0</v>
      </c>
      <c r="W371" s="4">
        <f>IF(ISERROR(VLOOKUP($T$371,'TAR FIN'!$A$1:$O$85,15,0)),0,VLOOKUP($T$371,'TAR FIN'!$A$1:$O$85,15,0))</f>
        <v>326.19</v>
      </c>
      <c r="X371" s="4">
        <f>IF(ISERROR(VLOOKUP($U$371,'TAR FIN'!$A$1:$O$85,15,0)),0,VLOOKUP($U$371,'TAR FIN'!$A$1:$O$85,15,0))</f>
        <v>256.83</v>
      </c>
      <c r="Y371" s="4"/>
      <c r="Z371" s="4">
        <f ca="1">('TUSD BE'!$AM$33+'TUSD BF'!$AM$33+'TUSD CVA'!$AM$33)*(1-CUSTOS!$M$38)</f>
        <v>403.45820595709068</v>
      </c>
      <c r="AA371" s="4">
        <f>('TE BE'!$AB$24+'TE BF'!$AB$24+'TE CVA'!$AB$24)*(1-CUSTOS!$M$38)</f>
        <v>200.94689439603792</v>
      </c>
      <c r="AB371" s="4">
        <f>$K$371*$V$371</f>
        <v>0</v>
      </c>
      <c r="AC371" s="4">
        <f>$M$371*$W$371</f>
        <v>291084.45363</v>
      </c>
      <c r="AD371" s="4">
        <f>$O$371*$X$371</f>
        <v>229189.18490999998</v>
      </c>
      <c r="AE371" s="4">
        <f>$K$371*$Y$371</f>
        <v>0</v>
      </c>
      <c r="AF371" s="4">
        <f ca="1">$M$371*$Z$371</f>
        <v>360036.82345737069</v>
      </c>
      <c r="AG371" s="4">
        <f>$O$371*$AA$371</f>
        <v>179320.38678045312</v>
      </c>
    </row>
    <row r="372" spans="1:33" ht="11.25" customHeight="1" x14ac:dyDescent="0.3">
      <c r="A372" s="3" t="s">
        <v>27</v>
      </c>
      <c r="B372" s="3" t="s">
        <v>40</v>
      </c>
      <c r="C372" s="3" t="s">
        <v>23</v>
      </c>
      <c r="D372" s="3" t="s">
        <v>41</v>
      </c>
      <c r="E372" s="3" t="s">
        <v>25</v>
      </c>
      <c r="F372" s="3" t="s">
        <v>25</v>
      </c>
      <c r="G372" s="3" t="s">
        <v>25</v>
      </c>
      <c r="H372" s="3" t="s">
        <v>25</v>
      </c>
      <c r="I372" s="6">
        <v>44621</v>
      </c>
      <c r="J372" s="4">
        <v>0</v>
      </c>
      <c r="K372" s="4">
        <v>0</v>
      </c>
      <c r="L372" s="4">
        <v>72.465000000000003</v>
      </c>
      <c r="M372" s="4">
        <v>72.465000000000003</v>
      </c>
      <c r="N372" s="4">
        <v>72.465000000000003</v>
      </c>
      <c r="O372" s="4">
        <v>72.465000000000003</v>
      </c>
      <c r="P372" s="4">
        <v>128</v>
      </c>
      <c r="Q372" s="3" t="s">
        <v>26</v>
      </c>
      <c r="R372" s="3">
        <v>0</v>
      </c>
      <c r="S372" s="4">
        <v>0</v>
      </c>
      <c r="T372" s="4">
        <v>36</v>
      </c>
      <c r="U372" s="4">
        <v>80</v>
      </c>
      <c r="V372" s="4">
        <f>IF(ISERROR(VLOOKUP($S$372,'TAR FIN'!$A$1:$O$85,15,0)),0,VLOOKUP($S$372,'TAR FIN'!$A$1:$O$85,15,0))</f>
        <v>0</v>
      </c>
      <c r="W372" s="4">
        <f>IF(ISERROR(VLOOKUP($T$372,'TAR FIN'!$A$1:$O$85,15,0)),0,VLOOKUP($T$372,'TAR FIN'!$A$1:$O$85,15,0))</f>
        <v>326.19</v>
      </c>
      <c r="X372" s="4">
        <f>IF(ISERROR(VLOOKUP($U$372,'TAR FIN'!$A$1:$O$85,15,0)),0,VLOOKUP($U$372,'TAR FIN'!$A$1:$O$85,15,0))</f>
        <v>256.83</v>
      </c>
      <c r="Y372" s="4"/>
      <c r="Z372" s="4">
        <f ca="1">('TUSD BE'!$AM$33+'TUSD BF'!$AM$33+'TUSD CVA'!$AM$33)*(1-CUSTOS!$M$38)</f>
        <v>403.45820595709068</v>
      </c>
      <c r="AA372" s="4">
        <f>('TE BE'!$AB$24+'TE BF'!$AB$24+'TE CVA'!$AB$24)*(1-CUSTOS!$M$38)</f>
        <v>200.94689439603792</v>
      </c>
      <c r="AB372" s="4">
        <f>$K$372*$V$372</f>
        <v>0</v>
      </c>
      <c r="AC372" s="4">
        <f>$M$372*$W$372</f>
        <v>23637.358350000002</v>
      </c>
      <c r="AD372" s="4">
        <f>$O$372*$X$372</f>
        <v>18611.185949999999</v>
      </c>
      <c r="AE372" s="4">
        <f>$K$372*$Y$372</f>
        <v>0</v>
      </c>
      <c r="AF372" s="4">
        <f ca="1">$M$372*$Z$372</f>
        <v>29236.598894680577</v>
      </c>
      <c r="AG372" s="4">
        <f>$O$372*$AA$372</f>
        <v>14561.616702408888</v>
      </c>
    </row>
    <row r="373" spans="1:33" ht="11.25" customHeight="1" x14ac:dyDescent="0.3">
      <c r="A373" s="3" t="s">
        <v>21</v>
      </c>
      <c r="B373" s="3" t="s">
        <v>40</v>
      </c>
      <c r="C373" s="3" t="s">
        <v>23</v>
      </c>
      <c r="D373" s="3" t="s">
        <v>41</v>
      </c>
      <c r="E373" s="3" t="s">
        <v>25</v>
      </c>
      <c r="F373" s="3" t="s">
        <v>25</v>
      </c>
      <c r="G373" s="3" t="s">
        <v>25</v>
      </c>
      <c r="H373" s="3" t="s">
        <v>25</v>
      </c>
      <c r="I373" s="6">
        <v>44652</v>
      </c>
      <c r="J373" s="4">
        <v>0</v>
      </c>
      <c r="K373" s="4">
        <v>0</v>
      </c>
      <c r="L373" s="4">
        <v>769.93399999999997</v>
      </c>
      <c r="M373" s="4">
        <v>769.93399999999997</v>
      </c>
      <c r="N373" s="4">
        <v>769.93399999999997</v>
      </c>
      <c r="O373" s="4">
        <v>769.93399999999997</v>
      </c>
      <c r="P373" s="4">
        <v>2423</v>
      </c>
      <c r="Q373" s="3" t="s">
        <v>26</v>
      </c>
      <c r="R373" s="3">
        <v>0</v>
      </c>
      <c r="S373" s="4">
        <v>0</v>
      </c>
      <c r="T373" s="4">
        <v>36</v>
      </c>
      <c r="U373" s="4">
        <v>80</v>
      </c>
      <c r="V373" s="4">
        <f>IF(ISERROR(VLOOKUP($S$373,'TAR FIN'!$A$1:$O$85,15,0)),0,VLOOKUP($S$373,'TAR FIN'!$A$1:$O$85,15,0))</f>
        <v>0</v>
      </c>
      <c r="W373" s="4">
        <f>IF(ISERROR(VLOOKUP($T$373,'TAR FIN'!$A$1:$O$85,15,0)),0,VLOOKUP($T$373,'TAR FIN'!$A$1:$O$85,15,0))</f>
        <v>326.19</v>
      </c>
      <c r="X373" s="4">
        <f>IF(ISERROR(VLOOKUP($U$373,'TAR FIN'!$A$1:$O$85,15,0)),0,VLOOKUP($U$373,'TAR FIN'!$A$1:$O$85,15,0))</f>
        <v>256.83</v>
      </c>
      <c r="Y373" s="4"/>
      <c r="Z373" s="4">
        <f ca="1">('TUSD BE'!$AM$33+'TUSD BF'!$AM$33+'TUSD CVA'!$AM$33)*(1-CUSTOS!$M$38)</f>
        <v>403.45820595709068</v>
      </c>
      <c r="AA373" s="4">
        <f>('TE BE'!$AB$24+'TE BF'!$AB$24+'TE CVA'!$AB$24)*(1-CUSTOS!$M$38)</f>
        <v>200.94689439603792</v>
      </c>
      <c r="AB373" s="4">
        <f>$K$373*$V$373</f>
        <v>0</v>
      </c>
      <c r="AC373" s="4">
        <f>$M$373*$W$373</f>
        <v>251144.77145999999</v>
      </c>
      <c r="AD373" s="4">
        <f>$O$373*$X$373</f>
        <v>197742.14921999999</v>
      </c>
      <c r="AE373" s="4">
        <f>$K$373*$Y$373</f>
        <v>0</v>
      </c>
      <c r="AF373" s="4">
        <f ca="1">$M$373*$Z$373</f>
        <v>310636.19034536666</v>
      </c>
      <c r="AG373" s="4">
        <f>$O$373*$AA$373</f>
        <v>154715.84618991904</v>
      </c>
    </row>
    <row r="374" spans="1:33" ht="11.25" customHeight="1" x14ac:dyDescent="0.3">
      <c r="A374" s="3" t="s">
        <v>27</v>
      </c>
      <c r="B374" s="3" t="s">
        <v>40</v>
      </c>
      <c r="C374" s="3" t="s">
        <v>23</v>
      </c>
      <c r="D374" s="3" t="s">
        <v>41</v>
      </c>
      <c r="E374" s="3" t="s">
        <v>25</v>
      </c>
      <c r="F374" s="3" t="s">
        <v>25</v>
      </c>
      <c r="G374" s="3" t="s">
        <v>25</v>
      </c>
      <c r="H374" s="3" t="s">
        <v>25</v>
      </c>
      <c r="I374" s="6">
        <v>44652</v>
      </c>
      <c r="J374" s="4">
        <v>0</v>
      </c>
      <c r="K374" s="4">
        <v>0</v>
      </c>
      <c r="L374" s="4">
        <v>79.855000000000004</v>
      </c>
      <c r="M374" s="4">
        <v>79.855000000000004</v>
      </c>
      <c r="N374" s="4">
        <v>79.855000000000004</v>
      </c>
      <c r="O374" s="4">
        <v>79.855000000000004</v>
      </c>
      <c r="P374" s="4">
        <v>138</v>
      </c>
      <c r="Q374" s="3" t="s">
        <v>26</v>
      </c>
      <c r="R374" s="3">
        <v>0</v>
      </c>
      <c r="S374" s="4">
        <v>0</v>
      </c>
      <c r="T374" s="4">
        <v>36</v>
      </c>
      <c r="U374" s="4">
        <v>80</v>
      </c>
      <c r="V374" s="4">
        <f>IF(ISERROR(VLOOKUP($S$374,'TAR FIN'!$A$1:$O$85,15,0)),0,VLOOKUP($S$374,'TAR FIN'!$A$1:$O$85,15,0))</f>
        <v>0</v>
      </c>
      <c r="W374" s="4">
        <f>IF(ISERROR(VLOOKUP($T$374,'TAR FIN'!$A$1:$O$85,15,0)),0,VLOOKUP($T$374,'TAR FIN'!$A$1:$O$85,15,0))</f>
        <v>326.19</v>
      </c>
      <c r="X374" s="4">
        <f>IF(ISERROR(VLOOKUP($U$374,'TAR FIN'!$A$1:$O$85,15,0)),0,VLOOKUP($U$374,'TAR FIN'!$A$1:$O$85,15,0))</f>
        <v>256.83</v>
      </c>
      <c r="Y374" s="4"/>
      <c r="Z374" s="4">
        <f ca="1">('TUSD BE'!$AM$33+'TUSD BF'!$AM$33+'TUSD CVA'!$AM$33)*(1-CUSTOS!$M$38)</f>
        <v>403.45820595709068</v>
      </c>
      <c r="AA374" s="4">
        <f>('TE BE'!$AB$24+'TE BF'!$AB$24+'TE CVA'!$AB$24)*(1-CUSTOS!$M$38)</f>
        <v>200.94689439603792</v>
      </c>
      <c r="AB374" s="4">
        <f>$K$374*$V$374</f>
        <v>0</v>
      </c>
      <c r="AC374" s="4">
        <f>$M$374*$W$374</f>
        <v>26047.902450000001</v>
      </c>
      <c r="AD374" s="4">
        <f>$O$374*$X$374</f>
        <v>20509.159650000001</v>
      </c>
      <c r="AE374" s="4">
        <f>$K$374*$Y$374</f>
        <v>0</v>
      </c>
      <c r="AF374" s="4">
        <f ca="1">$M$374*$Z$374</f>
        <v>32218.15503670348</v>
      </c>
      <c r="AG374" s="4">
        <f>$O$374*$AA$374</f>
        <v>16046.614251995608</v>
      </c>
    </row>
    <row r="375" spans="1:33" ht="11.25" customHeight="1" x14ac:dyDescent="0.3">
      <c r="A375" s="3" t="s">
        <v>27</v>
      </c>
      <c r="B375" s="3" t="s">
        <v>40</v>
      </c>
      <c r="C375" s="3" t="s">
        <v>23</v>
      </c>
      <c r="D375" s="3" t="s">
        <v>41</v>
      </c>
      <c r="E375" s="3" t="s">
        <v>25</v>
      </c>
      <c r="F375" s="3" t="s">
        <v>25</v>
      </c>
      <c r="G375" s="3" t="s">
        <v>25</v>
      </c>
      <c r="H375" s="3" t="s">
        <v>25</v>
      </c>
      <c r="I375" s="6">
        <v>44652</v>
      </c>
      <c r="J375" s="4">
        <v>0</v>
      </c>
      <c r="K375" s="4">
        <v>0</v>
      </c>
      <c r="L375" s="4">
        <v>-2.6030000000000002</v>
      </c>
      <c r="M375" s="4">
        <v>-2.6030000000000002</v>
      </c>
      <c r="N375" s="4">
        <v>-2.6030000000000002</v>
      </c>
      <c r="O375" s="4">
        <v>-2.6030000000000002</v>
      </c>
      <c r="P375" s="4">
        <v>2</v>
      </c>
      <c r="Q375" s="3" t="s">
        <v>26</v>
      </c>
      <c r="R375" s="3">
        <v>0</v>
      </c>
      <c r="S375" s="4">
        <v>0</v>
      </c>
      <c r="T375" s="4">
        <v>36</v>
      </c>
      <c r="U375" s="4">
        <v>80</v>
      </c>
      <c r="V375" s="4">
        <f>IF(ISERROR(VLOOKUP($S$375,'TAR FIN'!$A$1:$O$85,15,0)),0,VLOOKUP($S$375,'TAR FIN'!$A$1:$O$85,15,0))</f>
        <v>0</v>
      </c>
      <c r="W375" s="4">
        <f>IF(ISERROR(VLOOKUP($T$375,'TAR FIN'!$A$1:$O$85,15,0)),0,VLOOKUP($T$375,'TAR FIN'!$A$1:$O$85,15,0))</f>
        <v>326.19</v>
      </c>
      <c r="X375" s="4">
        <f>IF(ISERROR(VLOOKUP($U$375,'TAR FIN'!$A$1:$O$85,15,0)),0,VLOOKUP($U$375,'TAR FIN'!$A$1:$O$85,15,0))</f>
        <v>256.83</v>
      </c>
      <c r="Y375" s="4"/>
      <c r="Z375" s="4">
        <f ca="1">('TUSD BE'!$AM$33+'TUSD BF'!$AM$33+'TUSD CVA'!$AM$33)*(1-CUSTOS!$M$38)</f>
        <v>403.45820595709068</v>
      </c>
      <c r="AA375" s="4">
        <f>('TE BE'!$AB$24+'TE BF'!$AB$24+'TE CVA'!$AB$24)*(1-CUSTOS!$M$38)</f>
        <v>200.94689439603792</v>
      </c>
      <c r="AB375" s="4">
        <f>$K$375*$V$375</f>
        <v>0</v>
      </c>
      <c r="AC375" s="4">
        <f>$M$375*$W$375</f>
        <v>-849.07257000000004</v>
      </c>
      <c r="AD375" s="4">
        <f>$O$375*$X$375</f>
        <v>-668.52849000000003</v>
      </c>
      <c r="AE375" s="4">
        <f>$K$375*$Y$375</f>
        <v>0</v>
      </c>
      <c r="AF375" s="4">
        <f ca="1">$M$375*$Z$375</f>
        <v>-1050.201710106307</v>
      </c>
      <c r="AG375" s="4">
        <f>$O$375*$AA$375</f>
        <v>-523.06476611288679</v>
      </c>
    </row>
    <row r="376" spans="1:33" ht="11.25" customHeight="1" x14ac:dyDescent="0.3">
      <c r="A376" s="3" t="s">
        <v>21</v>
      </c>
      <c r="B376" s="3" t="s">
        <v>40</v>
      </c>
      <c r="C376" s="3" t="s">
        <v>23</v>
      </c>
      <c r="D376" s="3" t="s">
        <v>41</v>
      </c>
      <c r="E376" s="3" t="s">
        <v>25</v>
      </c>
      <c r="F376" s="3" t="s">
        <v>25</v>
      </c>
      <c r="G376" s="3" t="s">
        <v>25</v>
      </c>
      <c r="H376" s="3" t="s">
        <v>25</v>
      </c>
      <c r="I376" s="6">
        <v>44682</v>
      </c>
      <c r="J376" s="4">
        <v>0</v>
      </c>
      <c r="K376" s="4">
        <v>0</v>
      </c>
      <c r="L376" s="4">
        <v>781.57899999999995</v>
      </c>
      <c r="M376" s="4">
        <v>781.57899999999995</v>
      </c>
      <c r="N376" s="4">
        <v>781.57899999999995</v>
      </c>
      <c r="O376" s="4">
        <v>781.57899999999995</v>
      </c>
      <c r="P376" s="4">
        <v>2400</v>
      </c>
      <c r="Q376" s="3" t="s">
        <v>26</v>
      </c>
      <c r="R376" s="3">
        <v>0</v>
      </c>
      <c r="S376" s="4">
        <v>0</v>
      </c>
      <c r="T376" s="4">
        <v>36</v>
      </c>
      <c r="U376" s="4">
        <v>80</v>
      </c>
      <c r="V376" s="4">
        <f>IF(ISERROR(VLOOKUP($S$376,'TAR FIN'!$A$1:$O$85,15,0)),0,VLOOKUP($S$376,'TAR FIN'!$A$1:$O$85,15,0))</f>
        <v>0</v>
      </c>
      <c r="W376" s="4">
        <f>IF(ISERROR(VLOOKUP($T$376,'TAR FIN'!$A$1:$O$85,15,0)),0,VLOOKUP($T$376,'TAR FIN'!$A$1:$O$85,15,0))</f>
        <v>326.19</v>
      </c>
      <c r="X376" s="4">
        <f>IF(ISERROR(VLOOKUP($U$376,'TAR FIN'!$A$1:$O$85,15,0)),0,VLOOKUP($U$376,'TAR FIN'!$A$1:$O$85,15,0))</f>
        <v>256.83</v>
      </c>
      <c r="Y376" s="4"/>
      <c r="Z376" s="4">
        <f ca="1">('TUSD BE'!$AM$33+'TUSD BF'!$AM$33+'TUSD CVA'!$AM$33)*(1-CUSTOS!$M$38)</f>
        <v>403.45820595709068</v>
      </c>
      <c r="AA376" s="4">
        <f>('TE BE'!$AB$24+'TE BF'!$AB$24+'TE CVA'!$AB$24)*(1-CUSTOS!$M$38)</f>
        <v>200.94689439603792</v>
      </c>
      <c r="AB376" s="4">
        <f>$K$376*$V$376</f>
        <v>0</v>
      </c>
      <c r="AC376" s="4">
        <f>$M$376*$W$376</f>
        <v>254943.25400999998</v>
      </c>
      <c r="AD376" s="4">
        <f>$O$376*$X$376</f>
        <v>200732.93456999998</v>
      </c>
      <c r="AE376" s="4">
        <f>$K$376*$Y$376</f>
        <v>0</v>
      </c>
      <c r="AF376" s="4">
        <f ca="1">$M$376*$Z$376</f>
        <v>315334.46115373698</v>
      </c>
      <c r="AG376" s="4">
        <f>$O$376*$AA$376</f>
        <v>157055.87277516091</v>
      </c>
    </row>
    <row r="377" spans="1:33" ht="11.25" customHeight="1" x14ac:dyDescent="0.3">
      <c r="A377" s="3" t="s">
        <v>27</v>
      </c>
      <c r="B377" s="3" t="s">
        <v>40</v>
      </c>
      <c r="C377" s="3" t="s">
        <v>23</v>
      </c>
      <c r="D377" s="3" t="s">
        <v>41</v>
      </c>
      <c r="E377" s="3" t="s">
        <v>25</v>
      </c>
      <c r="F377" s="3" t="s">
        <v>25</v>
      </c>
      <c r="G377" s="3" t="s">
        <v>25</v>
      </c>
      <c r="H377" s="3" t="s">
        <v>25</v>
      </c>
      <c r="I377" s="6">
        <v>44682</v>
      </c>
      <c r="J377" s="4">
        <v>0</v>
      </c>
      <c r="K377" s="4">
        <v>0</v>
      </c>
      <c r="L377" s="4">
        <v>80</v>
      </c>
      <c r="M377" s="4">
        <v>80</v>
      </c>
      <c r="N377" s="4">
        <v>80</v>
      </c>
      <c r="O377" s="4">
        <v>80</v>
      </c>
      <c r="P377" s="4">
        <v>151</v>
      </c>
      <c r="Q377" s="3" t="s">
        <v>26</v>
      </c>
      <c r="R377" s="3">
        <v>0</v>
      </c>
      <c r="S377" s="4">
        <v>0</v>
      </c>
      <c r="T377" s="4">
        <v>36</v>
      </c>
      <c r="U377" s="4">
        <v>80</v>
      </c>
      <c r="V377" s="4">
        <f>IF(ISERROR(VLOOKUP($S$377,'TAR FIN'!$A$1:$O$85,15,0)),0,VLOOKUP($S$377,'TAR FIN'!$A$1:$O$85,15,0))</f>
        <v>0</v>
      </c>
      <c r="W377" s="4">
        <f>IF(ISERROR(VLOOKUP($T$377,'TAR FIN'!$A$1:$O$85,15,0)),0,VLOOKUP($T$377,'TAR FIN'!$A$1:$O$85,15,0))</f>
        <v>326.19</v>
      </c>
      <c r="X377" s="4">
        <f>IF(ISERROR(VLOOKUP($U$377,'TAR FIN'!$A$1:$O$85,15,0)),0,VLOOKUP($U$377,'TAR FIN'!$A$1:$O$85,15,0))</f>
        <v>256.83</v>
      </c>
      <c r="Y377" s="4"/>
      <c r="Z377" s="4">
        <f ca="1">('TUSD BE'!$AM$33+'TUSD BF'!$AM$33+'TUSD CVA'!$AM$33)*(1-CUSTOS!$M$38)</f>
        <v>403.45820595709068</v>
      </c>
      <c r="AA377" s="4">
        <f>('TE BE'!$AB$24+'TE BF'!$AB$24+'TE CVA'!$AB$24)*(1-CUSTOS!$M$38)</f>
        <v>200.94689439603792</v>
      </c>
      <c r="AB377" s="4">
        <f>$K$377*$V$377</f>
        <v>0</v>
      </c>
      <c r="AC377" s="4">
        <f>$M$377*$W$377</f>
        <v>26095.200000000001</v>
      </c>
      <c r="AD377" s="4">
        <f>$O$377*$X$377</f>
        <v>20546.399999999998</v>
      </c>
      <c r="AE377" s="4">
        <f>$K$377*$Y$377</f>
        <v>0</v>
      </c>
      <c r="AF377" s="4">
        <f ca="1">$M$377*$Z$377</f>
        <v>32276.656476567256</v>
      </c>
      <c r="AG377" s="4">
        <f>$O$377*$AA$377</f>
        <v>16075.751551683034</v>
      </c>
    </row>
    <row r="378" spans="1:33" ht="11.25" customHeight="1" x14ac:dyDescent="0.3">
      <c r="A378" s="3" t="s">
        <v>21</v>
      </c>
      <c r="B378" s="3" t="s">
        <v>40</v>
      </c>
      <c r="C378" s="3" t="s">
        <v>23</v>
      </c>
      <c r="D378" s="3" t="s">
        <v>41</v>
      </c>
      <c r="E378" s="3" t="s">
        <v>25</v>
      </c>
      <c r="F378" s="3" t="s">
        <v>25</v>
      </c>
      <c r="G378" s="3" t="s">
        <v>25</v>
      </c>
      <c r="H378" s="3" t="s">
        <v>25</v>
      </c>
      <c r="I378" s="6">
        <v>44713</v>
      </c>
      <c r="J378" s="4">
        <v>0</v>
      </c>
      <c r="K378" s="4">
        <v>0</v>
      </c>
      <c r="L378" s="4">
        <v>823.94200000000001</v>
      </c>
      <c r="M378" s="4">
        <v>823.94200000000001</v>
      </c>
      <c r="N378" s="4">
        <v>823.94200000000001</v>
      </c>
      <c r="O378" s="4">
        <v>823.94200000000001</v>
      </c>
      <c r="P378" s="4">
        <v>2394</v>
      </c>
      <c r="Q378" s="3" t="s">
        <v>26</v>
      </c>
      <c r="R378" s="3">
        <v>0</v>
      </c>
      <c r="S378" s="4">
        <v>0</v>
      </c>
      <c r="T378" s="4">
        <v>36</v>
      </c>
      <c r="U378" s="4">
        <v>80</v>
      </c>
      <c r="V378" s="4">
        <f>IF(ISERROR(VLOOKUP($S$378,'TAR FIN'!$A$1:$O$85,15,0)),0,VLOOKUP($S$378,'TAR FIN'!$A$1:$O$85,15,0))</f>
        <v>0</v>
      </c>
      <c r="W378" s="4">
        <f>IF(ISERROR(VLOOKUP($T$378,'TAR FIN'!$A$1:$O$85,15,0)),0,VLOOKUP($T$378,'TAR FIN'!$A$1:$O$85,15,0))</f>
        <v>326.19</v>
      </c>
      <c r="X378" s="4">
        <f>IF(ISERROR(VLOOKUP($U$378,'TAR FIN'!$A$1:$O$85,15,0)),0,VLOOKUP($U$378,'TAR FIN'!$A$1:$O$85,15,0))</f>
        <v>256.83</v>
      </c>
      <c r="Y378" s="4"/>
      <c r="Z378" s="4">
        <f ca="1">('TUSD BE'!$AM$33+'TUSD BF'!$AM$33+'TUSD CVA'!$AM$33)*(1-CUSTOS!$M$38)</f>
        <v>403.45820595709068</v>
      </c>
      <c r="AA378" s="4">
        <f>('TE BE'!$AB$24+'TE BF'!$AB$24+'TE CVA'!$AB$24)*(1-CUSTOS!$M$38)</f>
        <v>200.94689439603792</v>
      </c>
      <c r="AB378" s="4">
        <f>$K$378*$V$378</f>
        <v>0</v>
      </c>
      <c r="AC378" s="4">
        <f>$M$378*$W$378</f>
        <v>268761.64098000003</v>
      </c>
      <c r="AD378" s="4">
        <f>$O$378*$X$378</f>
        <v>211613.02385999999</v>
      </c>
      <c r="AE378" s="4">
        <f>$K$378*$Y$378</f>
        <v>0</v>
      </c>
      <c r="AF378" s="4">
        <f ca="1">$M$378*$Z$378</f>
        <v>332426.16113269719</v>
      </c>
      <c r="AG378" s="4">
        <f>$O$378*$AA$378</f>
        <v>165568.58606246026</v>
      </c>
    </row>
    <row r="379" spans="1:33" ht="11.25" customHeight="1" x14ac:dyDescent="0.3">
      <c r="A379" s="3" t="s">
        <v>48</v>
      </c>
      <c r="B379" s="3" t="s">
        <v>40</v>
      </c>
      <c r="C379" s="3" t="s">
        <v>23</v>
      </c>
      <c r="D379" s="3" t="s">
        <v>41</v>
      </c>
      <c r="E379" s="3" t="s">
        <v>25</v>
      </c>
      <c r="F379" s="3" t="s">
        <v>25</v>
      </c>
      <c r="G379" s="3" t="s">
        <v>25</v>
      </c>
      <c r="H379" s="3" t="s">
        <v>25</v>
      </c>
      <c r="I379" s="6">
        <v>44713</v>
      </c>
      <c r="J379" s="4">
        <v>0</v>
      </c>
      <c r="K379" s="4">
        <v>0</v>
      </c>
      <c r="L379" s="4">
        <v>0.66</v>
      </c>
      <c r="M379" s="4">
        <v>0.66</v>
      </c>
      <c r="N379" s="4">
        <v>0.66</v>
      </c>
      <c r="O379" s="4">
        <v>0.66</v>
      </c>
      <c r="P379" s="4">
        <v>0</v>
      </c>
      <c r="Q379" s="3" t="s">
        <v>26</v>
      </c>
      <c r="R379" s="3">
        <v>0</v>
      </c>
      <c r="S379" s="4">
        <v>0</v>
      </c>
      <c r="T379" s="4">
        <v>36</v>
      </c>
      <c r="U379" s="4">
        <v>80</v>
      </c>
      <c r="V379" s="4">
        <f>IF(ISERROR(VLOOKUP($S$379,'TAR FIN'!$A$1:$O$85,15,0)),0,VLOOKUP($S$379,'TAR FIN'!$A$1:$O$85,15,0))</f>
        <v>0</v>
      </c>
      <c r="W379" s="4">
        <f>IF(ISERROR(VLOOKUP($T$379,'TAR FIN'!$A$1:$O$85,15,0)),0,VLOOKUP($T$379,'TAR FIN'!$A$1:$O$85,15,0))</f>
        <v>326.19</v>
      </c>
      <c r="X379" s="4">
        <f>IF(ISERROR(VLOOKUP($U$379,'TAR FIN'!$A$1:$O$85,15,0)),0,VLOOKUP($U$379,'TAR FIN'!$A$1:$O$85,15,0))</f>
        <v>256.83</v>
      </c>
      <c r="Y379" s="4"/>
      <c r="Z379" s="4">
        <f ca="1">('TUSD BE'!$AM$33+'TUSD BF'!$AM$33+'TUSD CVA'!$AM$33)*(1-CUSTOS!$M$38)</f>
        <v>403.45820595709068</v>
      </c>
      <c r="AA379" s="4">
        <f>('TE BE'!$AB$24+'TE BF'!$AB$24+'TE CVA'!$AB$24)*(1-CUSTOS!$M$38)</f>
        <v>200.94689439603792</v>
      </c>
      <c r="AB379" s="4">
        <f>$K$379*$V$379</f>
        <v>0</v>
      </c>
      <c r="AC379" s="4">
        <f>$M$379*$W$379</f>
        <v>215.28540000000001</v>
      </c>
      <c r="AD379" s="4">
        <f>$O$379*$X$379</f>
        <v>169.5078</v>
      </c>
      <c r="AE379" s="4">
        <f>$K$379*$Y$379</f>
        <v>0</v>
      </c>
      <c r="AF379" s="4">
        <f ca="1">$M$379*$Z$379</f>
        <v>266.28241593167985</v>
      </c>
      <c r="AG379" s="4">
        <f>$O$379*$AA$379</f>
        <v>132.62495030138504</v>
      </c>
    </row>
    <row r="380" spans="1:33" ht="11.25" customHeight="1" x14ac:dyDescent="0.3">
      <c r="A380" s="3" t="s">
        <v>27</v>
      </c>
      <c r="B380" s="3" t="s">
        <v>40</v>
      </c>
      <c r="C380" s="3" t="s">
        <v>23</v>
      </c>
      <c r="D380" s="3" t="s">
        <v>41</v>
      </c>
      <c r="E380" s="3" t="s">
        <v>25</v>
      </c>
      <c r="F380" s="3" t="s">
        <v>25</v>
      </c>
      <c r="G380" s="3" t="s">
        <v>25</v>
      </c>
      <c r="H380" s="3" t="s">
        <v>25</v>
      </c>
      <c r="I380" s="6">
        <v>44713</v>
      </c>
      <c r="J380" s="4">
        <v>0</v>
      </c>
      <c r="K380" s="4">
        <v>0</v>
      </c>
      <c r="L380" s="4">
        <v>105.79600000000001</v>
      </c>
      <c r="M380" s="4">
        <v>105.79600000000001</v>
      </c>
      <c r="N380" s="4">
        <v>105.79600000000001</v>
      </c>
      <c r="O380" s="4">
        <v>105.79600000000001</v>
      </c>
      <c r="P380" s="4">
        <v>153</v>
      </c>
      <c r="Q380" s="3" t="s">
        <v>26</v>
      </c>
      <c r="R380" s="3">
        <v>0</v>
      </c>
      <c r="S380" s="4">
        <v>0</v>
      </c>
      <c r="T380" s="4">
        <v>36</v>
      </c>
      <c r="U380" s="4">
        <v>80</v>
      </c>
      <c r="V380" s="4">
        <f>IF(ISERROR(VLOOKUP($S$380,'TAR FIN'!$A$1:$O$85,15,0)),0,VLOOKUP($S$380,'TAR FIN'!$A$1:$O$85,15,0))</f>
        <v>0</v>
      </c>
      <c r="W380" s="4">
        <f>IF(ISERROR(VLOOKUP($T$380,'TAR FIN'!$A$1:$O$85,15,0)),0,VLOOKUP($T$380,'TAR FIN'!$A$1:$O$85,15,0))</f>
        <v>326.19</v>
      </c>
      <c r="X380" s="4">
        <f>IF(ISERROR(VLOOKUP($U$380,'TAR FIN'!$A$1:$O$85,15,0)),0,VLOOKUP($U$380,'TAR FIN'!$A$1:$O$85,15,0))</f>
        <v>256.83</v>
      </c>
      <c r="Y380" s="4"/>
      <c r="Z380" s="4">
        <f ca="1">('TUSD BE'!$AM$33+'TUSD BF'!$AM$33+'TUSD CVA'!$AM$33)*(1-CUSTOS!$M$38)</f>
        <v>403.45820595709068</v>
      </c>
      <c r="AA380" s="4">
        <f>('TE BE'!$AB$24+'TE BF'!$AB$24+'TE CVA'!$AB$24)*(1-CUSTOS!$M$38)</f>
        <v>200.94689439603792</v>
      </c>
      <c r="AB380" s="4">
        <f>$K$380*$V$380</f>
        <v>0</v>
      </c>
      <c r="AC380" s="4">
        <f>$M$380*$W$380</f>
        <v>34509.597240000003</v>
      </c>
      <c r="AD380" s="4">
        <f>$O$380*$X$380</f>
        <v>27171.58668</v>
      </c>
      <c r="AE380" s="4">
        <f>$K$380*$Y$380</f>
        <v>0</v>
      </c>
      <c r="AF380" s="4">
        <f ca="1">$M$380*$Z$380</f>
        <v>42684.264357436368</v>
      </c>
      <c r="AG380" s="4">
        <f>$O$380*$AA$380</f>
        <v>21259.377639523231</v>
      </c>
    </row>
    <row r="381" spans="1:33" ht="11.25" customHeight="1" x14ac:dyDescent="0.3">
      <c r="A381" s="3" t="s">
        <v>21</v>
      </c>
      <c r="B381" s="3" t="s">
        <v>40</v>
      </c>
      <c r="C381" s="3" t="s">
        <v>23</v>
      </c>
      <c r="D381" s="3" t="s">
        <v>41</v>
      </c>
      <c r="E381" s="3" t="s">
        <v>25</v>
      </c>
      <c r="F381" s="3" t="s">
        <v>25</v>
      </c>
      <c r="G381" s="3" t="s">
        <v>25</v>
      </c>
      <c r="H381" s="3" t="s">
        <v>25</v>
      </c>
      <c r="I381" s="6">
        <v>44743</v>
      </c>
      <c r="J381" s="4">
        <v>0</v>
      </c>
      <c r="K381" s="4">
        <v>0</v>
      </c>
      <c r="L381" s="4">
        <v>803.98800000000006</v>
      </c>
      <c r="M381" s="4">
        <v>803.98800000000006</v>
      </c>
      <c r="N381" s="4">
        <v>803.98800000000006</v>
      </c>
      <c r="O381" s="4">
        <v>803.98800000000006</v>
      </c>
      <c r="P381" s="4">
        <v>2383</v>
      </c>
      <c r="Q381" s="3" t="s">
        <v>26</v>
      </c>
      <c r="R381" s="3">
        <v>0</v>
      </c>
      <c r="S381" s="4">
        <v>0</v>
      </c>
      <c r="T381" s="4">
        <v>36</v>
      </c>
      <c r="U381" s="4">
        <v>80</v>
      </c>
      <c r="V381" s="4">
        <f>IF(ISERROR(VLOOKUP($S$381,'TAR FIN'!$A$1:$O$85,15,0)),0,VLOOKUP($S$381,'TAR FIN'!$A$1:$O$85,15,0))</f>
        <v>0</v>
      </c>
      <c r="W381" s="4">
        <f>IF(ISERROR(VLOOKUP($T$381,'TAR FIN'!$A$1:$O$85,15,0)),0,VLOOKUP($T$381,'TAR FIN'!$A$1:$O$85,15,0))</f>
        <v>326.19</v>
      </c>
      <c r="X381" s="4">
        <f>IF(ISERROR(VLOOKUP($U$381,'TAR FIN'!$A$1:$O$85,15,0)),0,VLOOKUP($U$381,'TAR FIN'!$A$1:$O$85,15,0))</f>
        <v>256.83</v>
      </c>
      <c r="Y381" s="4"/>
      <c r="Z381" s="4">
        <f ca="1">('TUSD BE'!$AM$33+'TUSD BF'!$AM$33+'TUSD CVA'!$AM$33)*(1-CUSTOS!$M$38)</f>
        <v>403.45820595709068</v>
      </c>
      <c r="AA381" s="4">
        <f>('TE BE'!$AB$24+'TE BF'!$AB$24+'TE CVA'!$AB$24)*(1-CUSTOS!$M$38)</f>
        <v>200.94689439603792</v>
      </c>
      <c r="AB381" s="4">
        <f>$K$381*$V$381</f>
        <v>0</v>
      </c>
      <c r="AC381" s="4">
        <f>$M$381*$W$381</f>
        <v>262252.84572000004</v>
      </c>
      <c r="AD381" s="4">
        <f>$O$381*$X$381</f>
        <v>206488.23804</v>
      </c>
      <c r="AE381" s="4">
        <f>$K$381*$Y$381</f>
        <v>0</v>
      </c>
      <c r="AF381" s="4">
        <f ca="1">$M$381*$Z$381</f>
        <v>324375.55609102943</v>
      </c>
      <c r="AG381" s="4">
        <f>$O$381*$AA$381</f>
        <v>161558.89173168174</v>
      </c>
    </row>
    <row r="382" spans="1:33" ht="11.25" customHeight="1" x14ac:dyDescent="0.3">
      <c r="A382" s="3" t="s">
        <v>27</v>
      </c>
      <c r="B382" s="3" t="s">
        <v>40</v>
      </c>
      <c r="C382" s="3" t="s">
        <v>23</v>
      </c>
      <c r="D382" s="3" t="s">
        <v>41</v>
      </c>
      <c r="E382" s="3" t="s">
        <v>25</v>
      </c>
      <c r="F382" s="3" t="s">
        <v>25</v>
      </c>
      <c r="G382" s="3" t="s">
        <v>25</v>
      </c>
      <c r="H382" s="3" t="s">
        <v>25</v>
      </c>
      <c r="I382" s="6">
        <v>44743</v>
      </c>
      <c r="J382" s="4">
        <v>0</v>
      </c>
      <c r="K382" s="4">
        <v>0</v>
      </c>
      <c r="L382" s="4">
        <v>122.72499999999999</v>
      </c>
      <c r="M382" s="4">
        <v>122.72499999999999</v>
      </c>
      <c r="N382" s="4">
        <v>122.72499999999999</v>
      </c>
      <c r="O382" s="4">
        <v>122.72499999999999</v>
      </c>
      <c r="P382" s="4">
        <v>162</v>
      </c>
      <c r="Q382" s="3" t="s">
        <v>26</v>
      </c>
      <c r="R382" s="3">
        <v>0</v>
      </c>
      <c r="S382" s="4">
        <v>0</v>
      </c>
      <c r="T382" s="4">
        <v>36</v>
      </c>
      <c r="U382" s="4">
        <v>80</v>
      </c>
      <c r="V382" s="4">
        <f>IF(ISERROR(VLOOKUP($S$382,'TAR FIN'!$A$1:$O$85,15,0)),0,VLOOKUP($S$382,'TAR FIN'!$A$1:$O$85,15,0))</f>
        <v>0</v>
      </c>
      <c r="W382" s="4">
        <f>IF(ISERROR(VLOOKUP($T$382,'TAR FIN'!$A$1:$O$85,15,0)),0,VLOOKUP($T$382,'TAR FIN'!$A$1:$O$85,15,0))</f>
        <v>326.19</v>
      </c>
      <c r="X382" s="4">
        <f>IF(ISERROR(VLOOKUP($U$382,'TAR FIN'!$A$1:$O$85,15,0)),0,VLOOKUP($U$382,'TAR FIN'!$A$1:$O$85,15,0))</f>
        <v>256.83</v>
      </c>
      <c r="Y382" s="4"/>
      <c r="Z382" s="4">
        <f ca="1">('TUSD BE'!$AM$33+'TUSD BF'!$AM$33+'TUSD CVA'!$AM$33)*(1-CUSTOS!$M$38)</f>
        <v>403.45820595709068</v>
      </c>
      <c r="AA382" s="4">
        <f>('TE BE'!$AB$24+'TE BF'!$AB$24+'TE CVA'!$AB$24)*(1-CUSTOS!$M$38)</f>
        <v>200.94689439603792</v>
      </c>
      <c r="AB382" s="4">
        <f>$K$382*$V$382</f>
        <v>0</v>
      </c>
      <c r="AC382" s="4">
        <f>$M$382*$W$382</f>
        <v>40031.667750000001</v>
      </c>
      <c r="AD382" s="4">
        <f>$O$382*$X$382</f>
        <v>31519.461749999995</v>
      </c>
      <c r="AE382" s="4">
        <f>$K$382*$Y$382</f>
        <v>0</v>
      </c>
      <c r="AF382" s="4">
        <f ca="1">$M$382*$Z$382</f>
        <v>49514.408326083954</v>
      </c>
      <c r="AG382" s="4">
        <f>$O$382*$AA$382</f>
        <v>24661.207614753752</v>
      </c>
    </row>
    <row r="383" spans="1:33" ht="11.25" customHeight="1" x14ac:dyDescent="0.3">
      <c r="A383" s="3" t="s">
        <v>27</v>
      </c>
      <c r="B383" s="3" t="s">
        <v>40</v>
      </c>
      <c r="C383" s="3" t="s">
        <v>23</v>
      </c>
      <c r="D383" s="3" t="s">
        <v>41</v>
      </c>
      <c r="E383" s="3" t="s">
        <v>25</v>
      </c>
      <c r="F383" s="3" t="s">
        <v>25</v>
      </c>
      <c r="G383" s="3" t="s">
        <v>25</v>
      </c>
      <c r="H383" s="3" t="s">
        <v>25</v>
      </c>
      <c r="I383" s="6">
        <v>44743</v>
      </c>
      <c r="J383" s="4">
        <v>0</v>
      </c>
      <c r="K383" s="4">
        <v>0</v>
      </c>
      <c r="L383" s="4">
        <v>-4.1040000000000001</v>
      </c>
      <c r="M383" s="4">
        <v>-4.1040000000000001</v>
      </c>
      <c r="N383" s="4">
        <v>-4.1040000000000001</v>
      </c>
      <c r="O383" s="4">
        <v>-4.1040000000000001</v>
      </c>
      <c r="P383" s="4">
        <v>0</v>
      </c>
      <c r="Q383" s="3" t="s">
        <v>26</v>
      </c>
      <c r="R383" s="3">
        <v>0</v>
      </c>
      <c r="S383" s="4">
        <v>0</v>
      </c>
      <c r="T383" s="4">
        <v>36</v>
      </c>
      <c r="U383" s="4">
        <v>80</v>
      </c>
      <c r="V383" s="4">
        <f>IF(ISERROR(VLOOKUP($S$383,'TAR FIN'!$A$1:$O$85,15,0)),0,VLOOKUP($S$383,'TAR FIN'!$A$1:$O$85,15,0))</f>
        <v>0</v>
      </c>
      <c r="W383" s="4">
        <f>IF(ISERROR(VLOOKUP($T$383,'TAR FIN'!$A$1:$O$85,15,0)),0,VLOOKUP($T$383,'TAR FIN'!$A$1:$O$85,15,0))</f>
        <v>326.19</v>
      </c>
      <c r="X383" s="4">
        <f>IF(ISERROR(VLOOKUP($U$383,'TAR FIN'!$A$1:$O$85,15,0)),0,VLOOKUP($U$383,'TAR FIN'!$A$1:$O$85,15,0))</f>
        <v>256.83</v>
      </c>
      <c r="Y383" s="4"/>
      <c r="Z383" s="4">
        <f ca="1">('TUSD BE'!$AM$33+'TUSD BF'!$AM$33+'TUSD CVA'!$AM$33)*(1-CUSTOS!$M$38)</f>
        <v>403.45820595709068</v>
      </c>
      <c r="AA383" s="4">
        <f>('TE BE'!$AB$24+'TE BF'!$AB$24+'TE CVA'!$AB$24)*(1-CUSTOS!$M$38)</f>
        <v>200.94689439603792</v>
      </c>
      <c r="AB383" s="4">
        <f>$K$383*$V$383</f>
        <v>0</v>
      </c>
      <c r="AC383" s="4">
        <f>$M$383*$W$383</f>
        <v>-1338.6837600000001</v>
      </c>
      <c r="AD383" s="4">
        <f>$O$383*$X$383</f>
        <v>-1054.0303199999998</v>
      </c>
      <c r="AE383" s="4">
        <f>$K$383*$Y$383</f>
        <v>0</v>
      </c>
      <c r="AF383" s="4">
        <f ca="1">$M$383*$Z$383</f>
        <v>-1655.7924772479003</v>
      </c>
      <c r="AG383" s="4">
        <f>$O$383*$AA$383</f>
        <v>-824.68605460133961</v>
      </c>
    </row>
    <row r="384" spans="1:33" ht="11.25" customHeight="1" x14ac:dyDescent="0.3">
      <c r="A384" s="3" t="s">
        <v>53</v>
      </c>
      <c r="B384" s="3" t="s">
        <v>40</v>
      </c>
      <c r="C384" s="3" t="s">
        <v>23</v>
      </c>
      <c r="D384" s="3" t="s">
        <v>41</v>
      </c>
      <c r="E384" s="3" t="s">
        <v>25</v>
      </c>
      <c r="F384" s="3" t="s">
        <v>25</v>
      </c>
      <c r="G384" s="3" t="s">
        <v>25</v>
      </c>
      <c r="H384" s="3" t="s">
        <v>25</v>
      </c>
      <c r="I384" s="6">
        <v>44774</v>
      </c>
      <c r="J384" s="4">
        <v>0</v>
      </c>
      <c r="K384" s="4">
        <v>0</v>
      </c>
      <c r="L384" s="4">
        <v>803.98800000000006</v>
      </c>
      <c r="M384" s="4">
        <v>803.98800000000006</v>
      </c>
      <c r="N384" s="4">
        <v>803.98800000000006</v>
      </c>
      <c r="O384" s="4">
        <v>803.98800000000006</v>
      </c>
      <c r="P384" s="4">
        <v>2383</v>
      </c>
      <c r="Q384" s="3" t="s">
        <v>26</v>
      </c>
      <c r="R384" s="3">
        <v>0</v>
      </c>
      <c r="S384" s="4">
        <v>0</v>
      </c>
      <c r="T384" s="4">
        <v>36</v>
      </c>
      <c r="U384" s="4">
        <v>80</v>
      </c>
      <c r="V384" s="4">
        <f>IF(ISERROR(VLOOKUP($S$384,'TAR FIN'!$A$1:$O$85,15,0)),0,VLOOKUP($S$384,'TAR FIN'!$A$1:$O$85,15,0))</f>
        <v>0</v>
      </c>
      <c r="W384" s="4">
        <f>IF(ISERROR(VLOOKUP($T$384,'TAR FIN'!$A$1:$O$85,15,0)),0,VLOOKUP($T$384,'TAR FIN'!$A$1:$O$85,15,0))</f>
        <v>326.19</v>
      </c>
      <c r="X384" s="4">
        <f>IF(ISERROR(VLOOKUP($U$384,'TAR FIN'!$A$1:$O$85,15,0)),0,VLOOKUP($U$384,'TAR FIN'!$A$1:$O$85,15,0))</f>
        <v>256.83</v>
      </c>
      <c r="Y384" s="4"/>
      <c r="Z384" s="4">
        <f ca="1">('TUSD BE'!$AM$33+'TUSD BF'!$AM$33+'TUSD CVA'!$AM$33)*(1-CUSTOS!$M$38)</f>
        <v>403.45820595709068</v>
      </c>
      <c r="AA384" s="4">
        <f>('TE BE'!$AB$24+'TE BF'!$AB$24+'TE CVA'!$AB$24)*(1-CUSTOS!$M$38)</f>
        <v>200.94689439603792</v>
      </c>
      <c r="AB384" s="4">
        <f>$K$384*$V$384</f>
        <v>0</v>
      </c>
      <c r="AC384" s="4">
        <f>$M$384*$W$384</f>
        <v>262252.84572000004</v>
      </c>
      <c r="AD384" s="4">
        <f>$O$384*$X$384</f>
        <v>206488.23804</v>
      </c>
      <c r="AE384" s="4">
        <f>$K$384*$Y$384</f>
        <v>0</v>
      </c>
      <c r="AF384" s="4">
        <f ca="1">$M$384*$Z$384</f>
        <v>324375.55609102943</v>
      </c>
      <c r="AG384" s="4">
        <f>$O$384*$AA$384</f>
        <v>161558.89173168174</v>
      </c>
    </row>
    <row r="385" spans="1:33" ht="11.25" customHeight="1" x14ac:dyDescent="0.3">
      <c r="A385" s="3" t="s">
        <v>53</v>
      </c>
      <c r="B385" s="3" t="s">
        <v>40</v>
      </c>
      <c r="C385" s="3" t="s">
        <v>23</v>
      </c>
      <c r="D385" s="3" t="s">
        <v>41</v>
      </c>
      <c r="E385" s="3" t="s">
        <v>25</v>
      </c>
      <c r="F385" s="3" t="s">
        <v>25</v>
      </c>
      <c r="G385" s="3" t="s">
        <v>25</v>
      </c>
      <c r="H385" s="3" t="s">
        <v>25</v>
      </c>
      <c r="I385" s="6">
        <v>44774</v>
      </c>
      <c r="J385" s="4">
        <v>0</v>
      </c>
      <c r="K385" s="4">
        <v>0</v>
      </c>
      <c r="L385" s="4">
        <v>122.72499999999999</v>
      </c>
      <c r="M385" s="4">
        <v>122.72499999999999</v>
      </c>
      <c r="N385" s="4">
        <v>122.72499999999999</v>
      </c>
      <c r="O385" s="4">
        <v>122.72499999999999</v>
      </c>
      <c r="P385" s="4">
        <v>162</v>
      </c>
      <c r="Q385" s="3" t="s">
        <v>26</v>
      </c>
      <c r="R385" s="3">
        <v>0</v>
      </c>
      <c r="S385" s="4">
        <v>0</v>
      </c>
      <c r="T385" s="4">
        <v>36</v>
      </c>
      <c r="U385" s="4">
        <v>80</v>
      </c>
      <c r="V385" s="4">
        <f>IF(ISERROR(VLOOKUP($S$385,'TAR FIN'!$A$1:$O$85,15,0)),0,VLOOKUP($S$385,'TAR FIN'!$A$1:$O$85,15,0))</f>
        <v>0</v>
      </c>
      <c r="W385" s="4">
        <f>IF(ISERROR(VLOOKUP($T$385,'TAR FIN'!$A$1:$O$85,15,0)),0,VLOOKUP($T$385,'TAR FIN'!$A$1:$O$85,15,0))</f>
        <v>326.19</v>
      </c>
      <c r="X385" s="4">
        <f>IF(ISERROR(VLOOKUP($U$385,'TAR FIN'!$A$1:$O$85,15,0)),0,VLOOKUP($U$385,'TAR FIN'!$A$1:$O$85,15,0))</f>
        <v>256.83</v>
      </c>
      <c r="Y385" s="4"/>
      <c r="Z385" s="4">
        <f ca="1">('TUSD BE'!$AM$33+'TUSD BF'!$AM$33+'TUSD CVA'!$AM$33)*(1-CUSTOS!$M$38)</f>
        <v>403.45820595709068</v>
      </c>
      <c r="AA385" s="4">
        <f>('TE BE'!$AB$24+'TE BF'!$AB$24+'TE CVA'!$AB$24)*(1-CUSTOS!$M$38)</f>
        <v>200.94689439603792</v>
      </c>
      <c r="AB385" s="4">
        <f>$K$385*$V$385</f>
        <v>0</v>
      </c>
      <c r="AC385" s="4">
        <f>$M$385*$W$385</f>
        <v>40031.667750000001</v>
      </c>
      <c r="AD385" s="4">
        <f>$O$385*$X$385</f>
        <v>31519.461749999995</v>
      </c>
      <c r="AE385" s="4">
        <f>$K$385*$Y$385</f>
        <v>0</v>
      </c>
      <c r="AF385" s="4">
        <f ca="1">$M$385*$Z$385</f>
        <v>49514.408326083954</v>
      </c>
      <c r="AG385" s="4">
        <f>$O$385*$AA$385</f>
        <v>24661.207614753752</v>
      </c>
    </row>
    <row r="386" spans="1:33" ht="11.25" customHeight="1" x14ac:dyDescent="0.3">
      <c r="A386" s="3" t="s">
        <v>53</v>
      </c>
      <c r="B386" s="3" t="s">
        <v>40</v>
      </c>
      <c r="C386" s="3" t="s">
        <v>23</v>
      </c>
      <c r="D386" s="3" t="s">
        <v>41</v>
      </c>
      <c r="E386" s="3" t="s">
        <v>25</v>
      </c>
      <c r="F386" s="3" t="s">
        <v>25</v>
      </c>
      <c r="G386" s="3" t="s">
        <v>25</v>
      </c>
      <c r="H386" s="3" t="s">
        <v>25</v>
      </c>
      <c r="I386" s="6">
        <v>44774</v>
      </c>
      <c r="J386" s="4">
        <v>0</v>
      </c>
      <c r="K386" s="4">
        <v>0</v>
      </c>
      <c r="L386" s="4">
        <v>-4.1040000000000001</v>
      </c>
      <c r="M386" s="4">
        <v>-4.1040000000000001</v>
      </c>
      <c r="N386" s="4">
        <v>-4.1040000000000001</v>
      </c>
      <c r="O386" s="4">
        <v>-4.1040000000000001</v>
      </c>
      <c r="P386" s="4">
        <v>0</v>
      </c>
      <c r="Q386" s="3" t="s">
        <v>26</v>
      </c>
      <c r="R386" s="3">
        <v>0</v>
      </c>
      <c r="S386" s="4">
        <v>0</v>
      </c>
      <c r="T386" s="4">
        <v>36</v>
      </c>
      <c r="U386" s="4">
        <v>80</v>
      </c>
      <c r="V386" s="4">
        <f>IF(ISERROR(VLOOKUP($S$386,'TAR FIN'!$A$1:$O$85,15,0)),0,VLOOKUP($S$386,'TAR FIN'!$A$1:$O$85,15,0))</f>
        <v>0</v>
      </c>
      <c r="W386" s="4">
        <f>IF(ISERROR(VLOOKUP($T$386,'TAR FIN'!$A$1:$O$85,15,0)),0,VLOOKUP($T$386,'TAR FIN'!$A$1:$O$85,15,0))</f>
        <v>326.19</v>
      </c>
      <c r="X386" s="4">
        <f>IF(ISERROR(VLOOKUP($U$386,'TAR FIN'!$A$1:$O$85,15,0)),0,VLOOKUP($U$386,'TAR FIN'!$A$1:$O$85,15,0))</f>
        <v>256.83</v>
      </c>
      <c r="Y386" s="4"/>
      <c r="Z386" s="4">
        <f ca="1">('TUSD BE'!$AM$33+'TUSD BF'!$AM$33+'TUSD CVA'!$AM$33)*(1-CUSTOS!$M$38)</f>
        <v>403.45820595709068</v>
      </c>
      <c r="AA386" s="4">
        <f>('TE BE'!$AB$24+'TE BF'!$AB$24+'TE CVA'!$AB$24)*(1-CUSTOS!$M$38)</f>
        <v>200.94689439603792</v>
      </c>
      <c r="AB386" s="4">
        <f>$K$386*$V$386</f>
        <v>0</v>
      </c>
      <c r="AC386" s="4">
        <f>$M$386*$W$386</f>
        <v>-1338.6837600000001</v>
      </c>
      <c r="AD386" s="4">
        <f>$O$386*$X$386</f>
        <v>-1054.0303199999998</v>
      </c>
      <c r="AE386" s="4">
        <f>$K$386*$Y$386</f>
        <v>0</v>
      </c>
      <c r="AF386" s="4">
        <f ca="1">$M$386*$Z$386</f>
        <v>-1655.7924772479003</v>
      </c>
      <c r="AG386" s="4">
        <f>$O$386*$AA$386</f>
        <v>-824.68605460133961</v>
      </c>
    </row>
    <row r="387" spans="1:33" ht="11.25" customHeight="1" x14ac:dyDescent="0.3">
      <c r="A387" s="3" t="s">
        <v>21</v>
      </c>
      <c r="B387" s="3" t="s">
        <v>32</v>
      </c>
      <c r="C387" s="3" t="s">
        <v>23</v>
      </c>
      <c r="D387" s="3" t="s">
        <v>39</v>
      </c>
      <c r="E387" s="3" t="s">
        <v>25</v>
      </c>
      <c r="F387" s="3" t="s">
        <v>25</v>
      </c>
      <c r="G387" s="3" t="s">
        <v>25</v>
      </c>
      <c r="H387" s="3" t="s">
        <v>25</v>
      </c>
      <c r="I387" s="6">
        <v>44440</v>
      </c>
      <c r="J387" s="4">
        <v>0</v>
      </c>
      <c r="K387" s="4">
        <v>0</v>
      </c>
      <c r="L387" s="4">
        <v>242.78700000000001</v>
      </c>
      <c r="M387" s="4">
        <v>242.78700000000001</v>
      </c>
      <c r="N387" s="4">
        <v>242.78700000000001</v>
      </c>
      <c r="O387" s="4">
        <v>242.78700000000001</v>
      </c>
      <c r="P387" s="4">
        <v>478</v>
      </c>
      <c r="Q387" s="3" t="s">
        <v>26</v>
      </c>
      <c r="R387" s="3">
        <v>0</v>
      </c>
      <c r="S387" s="4">
        <v>0</v>
      </c>
      <c r="T387" s="4">
        <v>27</v>
      </c>
      <c r="U387" s="4">
        <v>76</v>
      </c>
      <c r="V387" s="4">
        <f>IF(ISERROR(VLOOKUP($S$387,'TAR FIN'!$A$1:$O$85,15,0)),0,VLOOKUP($S$387,'TAR FIN'!$A$1:$O$85,15,0))</f>
        <v>0</v>
      </c>
      <c r="W387" s="4">
        <f>IF(ISERROR(VLOOKUP($T$387,'TAR FIN'!$A$1:$O$85,15,0)),0,VLOOKUP($T$387,'TAR FIN'!$A$1:$O$85,15,0))</f>
        <v>370.66</v>
      </c>
      <c r="X387" s="4">
        <f>IF(ISERROR(VLOOKUP($U$387,'TAR FIN'!$A$1:$O$85,15,0)),0,VLOOKUP($U$387,'TAR FIN'!$A$1:$O$85,15,0))</f>
        <v>291.85000000000002</v>
      </c>
      <c r="Y387" s="4"/>
      <c r="Z387" s="4">
        <f ca="1">('TUSD BE'!$AM$48+'TUSD BF'!$AM$48+'TUSD CVA'!$AM$48)*1</f>
        <v>429.2108574011603</v>
      </c>
      <c r="AA387" s="4">
        <f>('TE BE'!$AB$39+'TE BF'!$AB$39+'TE CVA'!$AB$39)*1</f>
        <v>213.77329191067864</v>
      </c>
      <c r="AB387" s="4">
        <f>$K$387*$V$387</f>
        <v>0</v>
      </c>
      <c r="AC387" s="4">
        <f>$M$387*$W$387</f>
        <v>89991.429420000015</v>
      </c>
      <c r="AD387" s="4">
        <f>$O$387*$X$387</f>
        <v>70857.385950000011</v>
      </c>
      <c r="AE387" s="4">
        <f>$K$387*$Y$387</f>
        <v>0</v>
      </c>
      <c r="AF387" s="4">
        <f ca="1">$M$387*$Z$387</f>
        <v>104206.81643585551</v>
      </c>
      <c r="AG387" s="4">
        <f>$O$387*$AA$387</f>
        <v>51901.376223117935</v>
      </c>
    </row>
    <row r="388" spans="1:33" ht="11.25" customHeight="1" x14ac:dyDescent="0.3">
      <c r="A388" s="3" t="s">
        <v>27</v>
      </c>
      <c r="B388" s="3" t="s">
        <v>32</v>
      </c>
      <c r="C388" s="3" t="s">
        <v>23</v>
      </c>
      <c r="D388" s="3" t="s">
        <v>39</v>
      </c>
      <c r="E388" s="3" t="s">
        <v>25</v>
      </c>
      <c r="F388" s="3" t="s">
        <v>25</v>
      </c>
      <c r="G388" s="3" t="s">
        <v>25</v>
      </c>
      <c r="H388" s="3" t="s">
        <v>25</v>
      </c>
      <c r="I388" s="6">
        <v>44440</v>
      </c>
      <c r="J388" s="4">
        <v>0</v>
      </c>
      <c r="K388" s="4">
        <v>0</v>
      </c>
      <c r="L388" s="4">
        <v>21.02</v>
      </c>
      <c r="M388" s="4">
        <v>21.02</v>
      </c>
      <c r="N388" s="4">
        <v>21.02</v>
      </c>
      <c r="O388" s="4">
        <v>21.02</v>
      </c>
      <c r="P388" s="4">
        <v>55</v>
      </c>
      <c r="Q388" s="3" t="s">
        <v>26</v>
      </c>
      <c r="R388" s="3">
        <v>0</v>
      </c>
      <c r="S388" s="4">
        <v>0</v>
      </c>
      <c r="T388" s="4">
        <v>27</v>
      </c>
      <c r="U388" s="4">
        <v>76</v>
      </c>
      <c r="V388" s="4">
        <f>IF(ISERROR(VLOOKUP($S$388,'TAR FIN'!$A$1:$O$85,15,0)),0,VLOOKUP($S$388,'TAR FIN'!$A$1:$O$85,15,0))</f>
        <v>0</v>
      </c>
      <c r="W388" s="4">
        <f>IF(ISERROR(VLOOKUP($T$388,'TAR FIN'!$A$1:$O$85,15,0)),0,VLOOKUP($T$388,'TAR FIN'!$A$1:$O$85,15,0))</f>
        <v>370.66</v>
      </c>
      <c r="X388" s="4">
        <f>IF(ISERROR(VLOOKUP($U$388,'TAR FIN'!$A$1:$O$85,15,0)),0,VLOOKUP($U$388,'TAR FIN'!$A$1:$O$85,15,0))</f>
        <v>291.85000000000002</v>
      </c>
      <c r="Y388" s="4"/>
      <c r="Z388" s="4">
        <f ca="1">('TUSD BE'!$AM$48+'TUSD BF'!$AM$48+'TUSD CVA'!$AM$48)*1</f>
        <v>429.2108574011603</v>
      </c>
      <c r="AA388" s="4">
        <f>('TE BE'!$AB$39+'TE BF'!$AB$39+'TE CVA'!$AB$39)*1</f>
        <v>213.77329191067864</v>
      </c>
      <c r="AB388" s="4">
        <f>$K$388*$V$388</f>
        <v>0</v>
      </c>
      <c r="AC388" s="4">
        <f>$M$388*$W$388</f>
        <v>7791.2732000000005</v>
      </c>
      <c r="AD388" s="4">
        <f>$O$388*$X$388</f>
        <v>6134.6870000000008</v>
      </c>
      <c r="AE388" s="4">
        <f>$K$388*$Y$388</f>
        <v>0</v>
      </c>
      <c r="AF388" s="4">
        <f ca="1">$M$388*$Z$388</f>
        <v>9022.0122225723899</v>
      </c>
      <c r="AG388" s="4">
        <f>$O$388*$AA$388</f>
        <v>4493.5145959624651</v>
      </c>
    </row>
    <row r="389" spans="1:33" ht="11.25" customHeight="1" x14ac:dyDescent="0.3">
      <c r="A389" s="3" t="s">
        <v>21</v>
      </c>
      <c r="B389" s="3" t="s">
        <v>32</v>
      </c>
      <c r="C389" s="3" t="s">
        <v>23</v>
      </c>
      <c r="D389" s="3" t="s">
        <v>39</v>
      </c>
      <c r="E389" s="3" t="s">
        <v>25</v>
      </c>
      <c r="F389" s="3" t="s">
        <v>25</v>
      </c>
      <c r="G389" s="3" t="s">
        <v>25</v>
      </c>
      <c r="H389" s="3" t="s">
        <v>25</v>
      </c>
      <c r="I389" s="6">
        <v>44470</v>
      </c>
      <c r="J389" s="4">
        <v>0</v>
      </c>
      <c r="K389" s="4">
        <v>0</v>
      </c>
      <c r="L389" s="4">
        <v>242.93</v>
      </c>
      <c r="M389" s="4">
        <v>242.93</v>
      </c>
      <c r="N389" s="4">
        <v>242.93</v>
      </c>
      <c r="O389" s="4">
        <v>242.93</v>
      </c>
      <c r="P389" s="4">
        <v>479</v>
      </c>
      <c r="Q389" s="3" t="s">
        <v>26</v>
      </c>
      <c r="R389" s="3">
        <v>0</v>
      </c>
      <c r="S389" s="4">
        <v>0</v>
      </c>
      <c r="T389" s="4">
        <v>27</v>
      </c>
      <c r="U389" s="4">
        <v>76</v>
      </c>
      <c r="V389" s="4">
        <f>IF(ISERROR(VLOOKUP($S$389,'TAR FIN'!$A$1:$O$85,15,0)),0,VLOOKUP($S$389,'TAR FIN'!$A$1:$O$85,15,0))</f>
        <v>0</v>
      </c>
      <c r="W389" s="4">
        <f>IF(ISERROR(VLOOKUP($T$389,'TAR FIN'!$A$1:$O$85,15,0)),0,VLOOKUP($T$389,'TAR FIN'!$A$1:$O$85,15,0))</f>
        <v>370.66</v>
      </c>
      <c r="X389" s="4">
        <f>IF(ISERROR(VLOOKUP($U$389,'TAR FIN'!$A$1:$O$85,15,0)),0,VLOOKUP($U$389,'TAR FIN'!$A$1:$O$85,15,0))</f>
        <v>291.85000000000002</v>
      </c>
      <c r="Y389" s="4"/>
      <c r="Z389" s="4">
        <f ca="1">('TUSD BE'!$AM$48+'TUSD BF'!$AM$48+'TUSD CVA'!$AM$48)*1</f>
        <v>429.2108574011603</v>
      </c>
      <c r="AA389" s="4">
        <f>('TE BE'!$AB$39+'TE BF'!$AB$39+'TE CVA'!$AB$39)*1</f>
        <v>213.77329191067864</v>
      </c>
      <c r="AB389" s="4">
        <f>$K$389*$V$389</f>
        <v>0</v>
      </c>
      <c r="AC389" s="4">
        <f>$M$389*$W$389</f>
        <v>90044.433800000013</v>
      </c>
      <c r="AD389" s="4">
        <f>$O$389*$X$389</f>
        <v>70899.120500000005</v>
      </c>
      <c r="AE389" s="4">
        <f>$K$389*$Y$389</f>
        <v>0</v>
      </c>
      <c r="AF389" s="4">
        <f ca="1">$M$389*$Z$389</f>
        <v>104268.19358846388</v>
      </c>
      <c r="AG389" s="4">
        <f>$O$389*$AA$389</f>
        <v>51931.945803861163</v>
      </c>
    </row>
    <row r="390" spans="1:33" ht="11.25" customHeight="1" x14ac:dyDescent="0.3">
      <c r="A390" s="3" t="s">
        <v>27</v>
      </c>
      <c r="B390" s="3" t="s">
        <v>32</v>
      </c>
      <c r="C390" s="3" t="s">
        <v>23</v>
      </c>
      <c r="D390" s="3" t="s">
        <v>39</v>
      </c>
      <c r="E390" s="3" t="s">
        <v>25</v>
      </c>
      <c r="F390" s="3" t="s">
        <v>25</v>
      </c>
      <c r="G390" s="3" t="s">
        <v>25</v>
      </c>
      <c r="H390" s="3" t="s">
        <v>25</v>
      </c>
      <c r="I390" s="6">
        <v>44470</v>
      </c>
      <c r="J390" s="4">
        <v>0</v>
      </c>
      <c r="K390" s="4">
        <v>0</v>
      </c>
      <c r="L390" s="4">
        <v>21.309000000000001</v>
      </c>
      <c r="M390" s="4">
        <v>21.309000000000001</v>
      </c>
      <c r="N390" s="4">
        <v>21.309000000000001</v>
      </c>
      <c r="O390" s="4">
        <v>21.309000000000001</v>
      </c>
      <c r="P390" s="4">
        <v>55</v>
      </c>
      <c r="Q390" s="3" t="s">
        <v>26</v>
      </c>
      <c r="R390" s="3">
        <v>0</v>
      </c>
      <c r="S390" s="4">
        <v>0</v>
      </c>
      <c r="T390" s="4">
        <v>27</v>
      </c>
      <c r="U390" s="4">
        <v>76</v>
      </c>
      <c r="V390" s="4">
        <f>IF(ISERROR(VLOOKUP($S$390,'TAR FIN'!$A$1:$O$85,15,0)),0,VLOOKUP($S$390,'TAR FIN'!$A$1:$O$85,15,0))</f>
        <v>0</v>
      </c>
      <c r="W390" s="4">
        <f>IF(ISERROR(VLOOKUP($T$390,'TAR FIN'!$A$1:$O$85,15,0)),0,VLOOKUP($T$390,'TAR FIN'!$A$1:$O$85,15,0))</f>
        <v>370.66</v>
      </c>
      <c r="X390" s="4">
        <f>IF(ISERROR(VLOOKUP($U$390,'TAR FIN'!$A$1:$O$85,15,0)),0,VLOOKUP($U$390,'TAR FIN'!$A$1:$O$85,15,0))</f>
        <v>291.85000000000002</v>
      </c>
      <c r="Y390" s="4"/>
      <c r="Z390" s="4">
        <f ca="1">('TUSD BE'!$AM$48+'TUSD BF'!$AM$48+'TUSD CVA'!$AM$48)*1</f>
        <v>429.2108574011603</v>
      </c>
      <c r="AA390" s="4">
        <f>('TE BE'!$AB$39+'TE BF'!$AB$39+'TE CVA'!$AB$39)*1</f>
        <v>213.77329191067864</v>
      </c>
      <c r="AB390" s="4">
        <f>$K$390*$V$390</f>
        <v>0</v>
      </c>
      <c r="AC390" s="4">
        <f>$M$390*$W$390</f>
        <v>7898.3939400000008</v>
      </c>
      <c r="AD390" s="4">
        <f>$O$390*$X$390</f>
        <v>6219.0316500000008</v>
      </c>
      <c r="AE390" s="4">
        <f>$K$390*$Y$390</f>
        <v>0</v>
      </c>
      <c r="AF390" s="4">
        <f ca="1">$M$390*$Z$390</f>
        <v>9146.0541603613256</v>
      </c>
      <c r="AG390" s="4">
        <f>$O$390*$AA$390</f>
        <v>4555.2950773246512</v>
      </c>
    </row>
    <row r="391" spans="1:33" ht="11.25" customHeight="1" x14ac:dyDescent="0.3">
      <c r="A391" s="3" t="s">
        <v>21</v>
      </c>
      <c r="B391" s="3" t="s">
        <v>32</v>
      </c>
      <c r="C391" s="3" t="s">
        <v>23</v>
      </c>
      <c r="D391" s="3" t="s">
        <v>39</v>
      </c>
      <c r="E391" s="3" t="s">
        <v>25</v>
      </c>
      <c r="F391" s="3" t="s">
        <v>25</v>
      </c>
      <c r="G391" s="3" t="s">
        <v>25</v>
      </c>
      <c r="H391" s="3" t="s">
        <v>25</v>
      </c>
      <c r="I391" s="6">
        <v>44501</v>
      </c>
      <c r="J391" s="4">
        <v>0</v>
      </c>
      <c r="K391" s="4">
        <v>0</v>
      </c>
      <c r="L391" s="4">
        <v>269.517</v>
      </c>
      <c r="M391" s="4">
        <v>269.517</v>
      </c>
      <c r="N391" s="4">
        <v>269.517</v>
      </c>
      <c r="O391" s="4">
        <v>269.517</v>
      </c>
      <c r="P391" s="4">
        <v>472</v>
      </c>
      <c r="Q391" s="3" t="s">
        <v>26</v>
      </c>
      <c r="R391" s="3">
        <v>0</v>
      </c>
      <c r="S391" s="4">
        <v>0</v>
      </c>
      <c r="T391" s="4">
        <v>27</v>
      </c>
      <c r="U391" s="4">
        <v>76</v>
      </c>
      <c r="V391" s="4">
        <f>IF(ISERROR(VLOOKUP($S$391,'TAR FIN'!$A$1:$O$85,15,0)),0,VLOOKUP($S$391,'TAR FIN'!$A$1:$O$85,15,0))</f>
        <v>0</v>
      </c>
      <c r="W391" s="4">
        <f>IF(ISERROR(VLOOKUP($T$391,'TAR FIN'!$A$1:$O$85,15,0)),0,VLOOKUP($T$391,'TAR FIN'!$A$1:$O$85,15,0))</f>
        <v>370.66</v>
      </c>
      <c r="X391" s="4">
        <f>IF(ISERROR(VLOOKUP($U$391,'TAR FIN'!$A$1:$O$85,15,0)),0,VLOOKUP($U$391,'TAR FIN'!$A$1:$O$85,15,0))</f>
        <v>291.85000000000002</v>
      </c>
      <c r="Y391" s="4"/>
      <c r="Z391" s="4">
        <f ca="1">('TUSD BE'!$AM$48+'TUSD BF'!$AM$48+'TUSD CVA'!$AM$48)*1</f>
        <v>429.2108574011603</v>
      </c>
      <c r="AA391" s="4">
        <f>('TE BE'!$AB$39+'TE BF'!$AB$39+'TE CVA'!$AB$39)*1</f>
        <v>213.77329191067864</v>
      </c>
      <c r="AB391" s="4">
        <f>$K$391*$V$391</f>
        <v>0</v>
      </c>
      <c r="AC391" s="4">
        <f>$M$391*$W$391</f>
        <v>99899.171220000004</v>
      </c>
      <c r="AD391" s="4">
        <f>$O$391*$X$391</f>
        <v>78658.53645</v>
      </c>
      <c r="AE391" s="4">
        <f>$K$391*$Y$391</f>
        <v>0</v>
      </c>
      <c r="AF391" s="4">
        <f ca="1">$M$391*$Z$391</f>
        <v>115679.62265418851</v>
      </c>
      <c r="AG391" s="4">
        <f>$O$391*$AA$391</f>
        <v>57615.536315890371</v>
      </c>
    </row>
    <row r="392" spans="1:33" ht="11.25" customHeight="1" x14ac:dyDescent="0.3">
      <c r="A392" s="3" t="s">
        <v>27</v>
      </c>
      <c r="B392" s="3" t="s">
        <v>32</v>
      </c>
      <c r="C392" s="3" t="s">
        <v>23</v>
      </c>
      <c r="D392" s="3" t="s">
        <v>39</v>
      </c>
      <c r="E392" s="3" t="s">
        <v>25</v>
      </c>
      <c r="F392" s="3" t="s">
        <v>25</v>
      </c>
      <c r="G392" s="3" t="s">
        <v>25</v>
      </c>
      <c r="H392" s="3" t="s">
        <v>25</v>
      </c>
      <c r="I392" s="6">
        <v>44501</v>
      </c>
      <c r="J392" s="4">
        <v>0</v>
      </c>
      <c r="K392" s="4">
        <v>0</v>
      </c>
      <c r="L392" s="4">
        <v>13.1</v>
      </c>
      <c r="M392" s="4">
        <v>13.1</v>
      </c>
      <c r="N392" s="4">
        <v>13.1</v>
      </c>
      <c r="O392" s="4">
        <v>13.1</v>
      </c>
      <c r="P392" s="4">
        <v>62</v>
      </c>
      <c r="Q392" s="3" t="s">
        <v>26</v>
      </c>
      <c r="R392" s="3">
        <v>0</v>
      </c>
      <c r="S392" s="4">
        <v>0</v>
      </c>
      <c r="T392" s="4">
        <v>27</v>
      </c>
      <c r="U392" s="4">
        <v>76</v>
      </c>
      <c r="V392" s="4">
        <f>IF(ISERROR(VLOOKUP($S$392,'TAR FIN'!$A$1:$O$85,15,0)),0,VLOOKUP($S$392,'TAR FIN'!$A$1:$O$85,15,0))</f>
        <v>0</v>
      </c>
      <c r="W392" s="4">
        <f>IF(ISERROR(VLOOKUP($T$392,'TAR FIN'!$A$1:$O$85,15,0)),0,VLOOKUP($T$392,'TAR FIN'!$A$1:$O$85,15,0))</f>
        <v>370.66</v>
      </c>
      <c r="X392" s="4">
        <f>IF(ISERROR(VLOOKUP($U$392,'TAR FIN'!$A$1:$O$85,15,0)),0,VLOOKUP($U$392,'TAR FIN'!$A$1:$O$85,15,0))</f>
        <v>291.85000000000002</v>
      </c>
      <c r="Y392" s="4"/>
      <c r="Z392" s="4">
        <f ca="1">('TUSD BE'!$AM$48+'TUSD BF'!$AM$48+'TUSD CVA'!$AM$48)*1</f>
        <v>429.2108574011603</v>
      </c>
      <c r="AA392" s="4">
        <f>('TE BE'!$AB$39+'TE BF'!$AB$39+'TE CVA'!$AB$39)*1</f>
        <v>213.77329191067864</v>
      </c>
      <c r="AB392" s="4">
        <f>$K$392*$V$392</f>
        <v>0</v>
      </c>
      <c r="AC392" s="4">
        <f>$M$392*$W$392</f>
        <v>4855.6460000000006</v>
      </c>
      <c r="AD392" s="4">
        <f>$O$392*$X$392</f>
        <v>3823.2350000000001</v>
      </c>
      <c r="AE392" s="4">
        <f>$K$392*$Y$392</f>
        <v>0</v>
      </c>
      <c r="AF392" s="4">
        <f ca="1">$M$392*$Z$392</f>
        <v>5622.6622319551998</v>
      </c>
      <c r="AG392" s="4">
        <f>$O$392*$AA$392</f>
        <v>2800.4301240298901</v>
      </c>
    </row>
    <row r="393" spans="1:33" ht="11.25" customHeight="1" x14ac:dyDescent="0.3">
      <c r="A393" s="3" t="s">
        <v>21</v>
      </c>
      <c r="B393" s="3" t="s">
        <v>32</v>
      </c>
      <c r="C393" s="3" t="s">
        <v>23</v>
      </c>
      <c r="D393" s="3" t="s">
        <v>39</v>
      </c>
      <c r="E393" s="3" t="s">
        <v>25</v>
      </c>
      <c r="F393" s="3" t="s">
        <v>25</v>
      </c>
      <c r="G393" s="3" t="s">
        <v>25</v>
      </c>
      <c r="H393" s="3" t="s">
        <v>25</v>
      </c>
      <c r="I393" s="6">
        <v>44531</v>
      </c>
      <c r="J393" s="4">
        <v>0</v>
      </c>
      <c r="K393" s="4">
        <v>0</v>
      </c>
      <c r="L393" s="4">
        <v>246.774</v>
      </c>
      <c r="M393" s="4">
        <v>246.774</v>
      </c>
      <c r="N393" s="4">
        <v>246.774</v>
      </c>
      <c r="O393" s="4">
        <v>246.774</v>
      </c>
      <c r="P393" s="4">
        <v>469</v>
      </c>
      <c r="Q393" s="3" t="s">
        <v>26</v>
      </c>
      <c r="R393" s="3">
        <v>0</v>
      </c>
      <c r="S393" s="4">
        <v>0</v>
      </c>
      <c r="T393" s="4">
        <v>27</v>
      </c>
      <c r="U393" s="4">
        <v>76</v>
      </c>
      <c r="V393" s="4">
        <f>IF(ISERROR(VLOOKUP($S$393,'TAR FIN'!$A$1:$O$85,15,0)),0,VLOOKUP($S$393,'TAR FIN'!$A$1:$O$85,15,0))</f>
        <v>0</v>
      </c>
      <c r="W393" s="4">
        <f>IF(ISERROR(VLOOKUP($T$393,'TAR FIN'!$A$1:$O$85,15,0)),0,VLOOKUP($T$393,'TAR FIN'!$A$1:$O$85,15,0))</f>
        <v>370.66</v>
      </c>
      <c r="X393" s="4">
        <f>IF(ISERROR(VLOOKUP($U$393,'TAR FIN'!$A$1:$O$85,15,0)),0,VLOOKUP($U$393,'TAR FIN'!$A$1:$O$85,15,0))</f>
        <v>291.85000000000002</v>
      </c>
      <c r="Y393" s="4"/>
      <c r="Z393" s="4">
        <f ca="1">('TUSD BE'!$AM$48+'TUSD BF'!$AM$48+'TUSD CVA'!$AM$48)*1</f>
        <v>429.2108574011603</v>
      </c>
      <c r="AA393" s="4">
        <f>('TE BE'!$AB$39+'TE BF'!$AB$39+'TE CVA'!$AB$39)*1</f>
        <v>213.77329191067864</v>
      </c>
      <c r="AB393" s="4">
        <f>$K$393*$V$393</f>
        <v>0</v>
      </c>
      <c r="AC393" s="4">
        <f>$M$393*$W$393</f>
        <v>91469.250840000008</v>
      </c>
      <c r="AD393" s="4">
        <f>$O$393*$X$393</f>
        <v>72020.991900000008</v>
      </c>
      <c r="AE393" s="4">
        <f>$K$393*$Y$393</f>
        <v>0</v>
      </c>
      <c r="AF393" s="4">
        <f ca="1">$M$393*$Z$393</f>
        <v>105918.08012431393</v>
      </c>
      <c r="AG393" s="4">
        <f>$O$393*$AA$393</f>
        <v>52753.690337965811</v>
      </c>
    </row>
    <row r="394" spans="1:33" ht="11.25" customHeight="1" x14ac:dyDescent="0.3">
      <c r="A394" s="3" t="s">
        <v>27</v>
      </c>
      <c r="B394" s="3" t="s">
        <v>32</v>
      </c>
      <c r="C394" s="3" t="s">
        <v>23</v>
      </c>
      <c r="D394" s="3" t="s">
        <v>39</v>
      </c>
      <c r="E394" s="3" t="s">
        <v>25</v>
      </c>
      <c r="F394" s="3" t="s">
        <v>25</v>
      </c>
      <c r="G394" s="3" t="s">
        <v>25</v>
      </c>
      <c r="H394" s="3" t="s">
        <v>25</v>
      </c>
      <c r="I394" s="6">
        <v>44531</v>
      </c>
      <c r="J394" s="4">
        <v>0</v>
      </c>
      <c r="K394" s="4">
        <v>0</v>
      </c>
      <c r="L394" s="4">
        <v>17.266999999999999</v>
      </c>
      <c r="M394" s="4">
        <v>17.266999999999999</v>
      </c>
      <c r="N394" s="4">
        <v>17.266999999999999</v>
      </c>
      <c r="O394" s="4">
        <v>17.266999999999999</v>
      </c>
      <c r="P394" s="4">
        <v>64</v>
      </c>
      <c r="Q394" s="3" t="s">
        <v>26</v>
      </c>
      <c r="R394" s="3">
        <v>0</v>
      </c>
      <c r="S394" s="4">
        <v>0</v>
      </c>
      <c r="T394" s="4">
        <v>27</v>
      </c>
      <c r="U394" s="4">
        <v>76</v>
      </c>
      <c r="V394" s="4">
        <f>IF(ISERROR(VLOOKUP($S$394,'TAR FIN'!$A$1:$O$85,15,0)),0,VLOOKUP($S$394,'TAR FIN'!$A$1:$O$85,15,0))</f>
        <v>0</v>
      </c>
      <c r="W394" s="4">
        <f>IF(ISERROR(VLOOKUP($T$394,'TAR FIN'!$A$1:$O$85,15,0)),0,VLOOKUP($T$394,'TAR FIN'!$A$1:$O$85,15,0))</f>
        <v>370.66</v>
      </c>
      <c r="X394" s="4">
        <f>IF(ISERROR(VLOOKUP($U$394,'TAR FIN'!$A$1:$O$85,15,0)),0,VLOOKUP($U$394,'TAR FIN'!$A$1:$O$85,15,0))</f>
        <v>291.85000000000002</v>
      </c>
      <c r="Y394" s="4"/>
      <c r="Z394" s="4">
        <f ca="1">('TUSD BE'!$AM$48+'TUSD BF'!$AM$48+'TUSD CVA'!$AM$48)*1</f>
        <v>429.2108574011603</v>
      </c>
      <c r="AA394" s="4">
        <f>('TE BE'!$AB$39+'TE BF'!$AB$39+'TE CVA'!$AB$39)*1</f>
        <v>213.77329191067864</v>
      </c>
      <c r="AB394" s="4">
        <f>$K$394*$V$394</f>
        <v>0</v>
      </c>
      <c r="AC394" s="4">
        <f>$M$394*$W$394</f>
        <v>6400.1862200000005</v>
      </c>
      <c r="AD394" s="4">
        <f>$O$394*$X$394</f>
        <v>5039.3739500000001</v>
      </c>
      <c r="AE394" s="4">
        <f>$K$394*$Y$394</f>
        <v>0</v>
      </c>
      <c r="AF394" s="4">
        <f ca="1">$M$394*$Z$394</f>
        <v>7411.1838747458351</v>
      </c>
      <c r="AG394" s="4">
        <f>$O$394*$AA$394</f>
        <v>3691.223431421688</v>
      </c>
    </row>
    <row r="395" spans="1:33" ht="11.25" customHeight="1" x14ac:dyDescent="0.3">
      <c r="A395" s="3" t="s">
        <v>21</v>
      </c>
      <c r="B395" s="3" t="s">
        <v>32</v>
      </c>
      <c r="C395" s="3" t="s">
        <v>23</v>
      </c>
      <c r="D395" s="3" t="s">
        <v>39</v>
      </c>
      <c r="E395" s="3" t="s">
        <v>25</v>
      </c>
      <c r="F395" s="3" t="s">
        <v>25</v>
      </c>
      <c r="G395" s="3" t="s">
        <v>25</v>
      </c>
      <c r="H395" s="3" t="s">
        <v>25</v>
      </c>
      <c r="I395" s="6">
        <v>44562</v>
      </c>
      <c r="J395" s="4">
        <v>0</v>
      </c>
      <c r="K395" s="4">
        <v>0</v>
      </c>
      <c r="L395" s="4">
        <v>261.529</v>
      </c>
      <c r="M395" s="4">
        <v>261.529</v>
      </c>
      <c r="N395" s="4">
        <v>261.529</v>
      </c>
      <c r="O395" s="4">
        <v>261.529</v>
      </c>
      <c r="P395" s="4">
        <v>460</v>
      </c>
      <c r="Q395" s="3" t="s">
        <v>26</v>
      </c>
      <c r="R395" s="3">
        <v>0</v>
      </c>
      <c r="S395" s="4">
        <v>0</v>
      </c>
      <c r="T395" s="4">
        <v>27</v>
      </c>
      <c r="U395" s="4">
        <v>76</v>
      </c>
      <c r="V395" s="4">
        <f>IF(ISERROR(VLOOKUP($S$395,'TAR FIN'!$A$1:$O$85,15,0)),0,VLOOKUP($S$395,'TAR FIN'!$A$1:$O$85,15,0))</f>
        <v>0</v>
      </c>
      <c r="W395" s="4">
        <f>IF(ISERROR(VLOOKUP($T$395,'TAR FIN'!$A$1:$O$85,15,0)),0,VLOOKUP($T$395,'TAR FIN'!$A$1:$O$85,15,0))</f>
        <v>370.66</v>
      </c>
      <c r="X395" s="4">
        <f>IF(ISERROR(VLOOKUP($U$395,'TAR FIN'!$A$1:$O$85,15,0)),0,VLOOKUP($U$395,'TAR FIN'!$A$1:$O$85,15,0))</f>
        <v>291.85000000000002</v>
      </c>
      <c r="Y395" s="4"/>
      <c r="Z395" s="4">
        <f ca="1">('TUSD BE'!$AM$48+'TUSD BF'!$AM$48+'TUSD CVA'!$AM$48)*1</f>
        <v>429.2108574011603</v>
      </c>
      <c r="AA395" s="4">
        <f>('TE BE'!$AB$39+'TE BF'!$AB$39+'TE CVA'!$AB$39)*1</f>
        <v>213.77329191067864</v>
      </c>
      <c r="AB395" s="4">
        <f>$K$395*$V$395</f>
        <v>0</v>
      </c>
      <c r="AC395" s="4">
        <f>$M$395*$W$395</f>
        <v>96938.339140000011</v>
      </c>
      <c r="AD395" s="4">
        <f>$O$395*$X$395</f>
        <v>76327.238649999999</v>
      </c>
      <c r="AE395" s="4">
        <f>$K$395*$Y$395</f>
        <v>0</v>
      </c>
      <c r="AF395" s="4">
        <f ca="1">$M$395*$Z$395</f>
        <v>112251.08632526804</v>
      </c>
      <c r="AG395" s="4">
        <f>$O$395*$AA$395</f>
        <v>55907.915260107875</v>
      </c>
    </row>
    <row r="396" spans="1:33" ht="11.25" customHeight="1" x14ac:dyDescent="0.3">
      <c r="A396" s="3" t="s">
        <v>27</v>
      </c>
      <c r="B396" s="3" t="s">
        <v>32</v>
      </c>
      <c r="C396" s="3" t="s">
        <v>23</v>
      </c>
      <c r="D396" s="3" t="s">
        <v>39</v>
      </c>
      <c r="E396" s="3" t="s">
        <v>25</v>
      </c>
      <c r="F396" s="3" t="s">
        <v>25</v>
      </c>
      <c r="G396" s="3" t="s">
        <v>25</v>
      </c>
      <c r="H396" s="3" t="s">
        <v>25</v>
      </c>
      <c r="I396" s="6">
        <v>44562</v>
      </c>
      <c r="J396" s="4">
        <v>0</v>
      </c>
      <c r="K396" s="4">
        <v>0</v>
      </c>
      <c r="L396" s="4">
        <v>16.466000000000001</v>
      </c>
      <c r="M396" s="4">
        <v>16.466000000000001</v>
      </c>
      <c r="N396" s="4">
        <v>16.466000000000001</v>
      </c>
      <c r="O396" s="4">
        <v>16.466000000000001</v>
      </c>
      <c r="P396" s="4">
        <v>70</v>
      </c>
      <c r="Q396" s="3" t="s">
        <v>26</v>
      </c>
      <c r="R396" s="3">
        <v>0</v>
      </c>
      <c r="S396" s="4">
        <v>0</v>
      </c>
      <c r="T396" s="4">
        <v>27</v>
      </c>
      <c r="U396" s="4">
        <v>76</v>
      </c>
      <c r="V396" s="4">
        <f>IF(ISERROR(VLOOKUP($S$396,'TAR FIN'!$A$1:$O$85,15,0)),0,VLOOKUP($S$396,'TAR FIN'!$A$1:$O$85,15,0))</f>
        <v>0</v>
      </c>
      <c r="W396" s="4">
        <f>IF(ISERROR(VLOOKUP($T$396,'TAR FIN'!$A$1:$O$85,15,0)),0,VLOOKUP($T$396,'TAR FIN'!$A$1:$O$85,15,0))</f>
        <v>370.66</v>
      </c>
      <c r="X396" s="4">
        <f>IF(ISERROR(VLOOKUP($U$396,'TAR FIN'!$A$1:$O$85,15,0)),0,VLOOKUP($U$396,'TAR FIN'!$A$1:$O$85,15,0))</f>
        <v>291.85000000000002</v>
      </c>
      <c r="Y396" s="4"/>
      <c r="Z396" s="4">
        <f ca="1">('TUSD BE'!$AM$48+'TUSD BF'!$AM$48+'TUSD CVA'!$AM$48)*1</f>
        <v>429.2108574011603</v>
      </c>
      <c r="AA396" s="4">
        <f>('TE BE'!$AB$39+'TE BF'!$AB$39+'TE CVA'!$AB$39)*1</f>
        <v>213.77329191067864</v>
      </c>
      <c r="AB396" s="4">
        <f>$K$396*$V$396</f>
        <v>0</v>
      </c>
      <c r="AC396" s="4">
        <f>$M$396*$W$396</f>
        <v>6103.2875600000007</v>
      </c>
      <c r="AD396" s="4">
        <f>$O$396*$X$396</f>
        <v>4805.602100000001</v>
      </c>
      <c r="AE396" s="4">
        <f>$K$396*$Y$396</f>
        <v>0</v>
      </c>
      <c r="AF396" s="4">
        <f ca="1">$M$396*$Z$396</f>
        <v>7067.3859779675058</v>
      </c>
      <c r="AG396" s="4">
        <f>$O$396*$AA$396</f>
        <v>3519.9910246012346</v>
      </c>
    </row>
    <row r="397" spans="1:33" ht="11.25" customHeight="1" x14ac:dyDescent="0.3">
      <c r="A397" s="3" t="s">
        <v>21</v>
      </c>
      <c r="B397" s="3" t="s">
        <v>32</v>
      </c>
      <c r="C397" s="3" t="s">
        <v>23</v>
      </c>
      <c r="D397" s="3" t="s">
        <v>39</v>
      </c>
      <c r="E397" s="3" t="s">
        <v>25</v>
      </c>
      <c r="F397" s="3" t="s">
        <v>25</v>
      </c>
      <c r="G397" s="3" t="s">
        <v>25</v>
      </c>
      <c r="H397" s="3" t="s">
        <v>25</v>
      </c>
      <c r="I397" s="6">
        <v>44593</v>
      </c>
      <c r="J397" s="4">
        <v>0</v>
      </c>
      <c r="K397" s="4">
        <v>0</v>
      </c>
      <c r="L397" s="4">
        <v>341.85300000000001</v>
      </c>
      <c r="M397" s="4">
        <v>341.85300000000001</v>
      </c>
      <c r="N397" s="4">
        <v>341.85300000000001</v>
      </c>
      <c r="O397" s="4">
        <v>341.85300000000001</v>
      </c>
      <c r="P397" s="4">
        <v>459</v>
      </c>
      <c r="Q397" s="3" t="s">
        <v>26</v>
      </c>
      <c r="R397" s="3">
        <v>0</v>
      </c>
      <c r="S397" s="4">
        <v>0</v>
      </c>
      <c r="T397" s="4">
        <v>27</v>
      </c>
      <c r="U397" s="4">
        <v>76</v>
      </c>
      <c r="V397" s="4">
        <f>IF(ISERROR(VLOOKUP($S$397,'TAR FIN'!$A$1:$O$85,15,0)),0,VLOOKUP($S$397,'TAR FIN'!$A$1:$O$85,15,0))</f>
        <v>0</v>
      </c>
      <c r="W397" s="4">
        <f>IF(ISERROR(VLOOKUP($T$397,'TAR FIN'!$A$1:$O$85,15,0)),0,VLOOKUP($T$397,'TAR FIN'!$A$1:$O$85,15,0))</f>
        <v>370.66</v>
      </c>
      <c r="X397" s="4">
        <f>IF(ISERROR(VLOOKUP($U$397,'TAR FIN'!$A$1:$O$85,15,0)),0,VLOOKUP($U$397,'TAR FIN'!$A$1:$O$85,15,0))</f>
        <v>291.85000000000002</v>
      </c>
      <c r="Y397" s="4"/>
      <c r="Z397" s="4">
        <f ca="1">('TUSD BE'!$AM$48+'TUSD BF'!$AM$48+'TUSD CVA'!$AM$48)*1</f>
        <v>429.2108574011603</v>
      </c>
      <c r="AA397" s="4">
        <f>('TE BE'!$AB$39+'TE BF'!$AB$39+'TE CVA'!$AB$39)*1</f>
        <v>213.77329191067864</v>
      </c>
      <c r="AB397" s="4">
        <f>$K$397*$V$397</f>
        <v>0</v>
      </c>
      <c r="AC397" s="4">
        <f>$M$397*$W$397</f>
        <v>126711.23298000002</v>
      </c>
      <c r="AD397" s="4">
        <f>$O$397*$X$397</f>
        <v>99769.798050000012</v>
      </c>
      <c r="AE397" s="4">
        <f>$K$397*$Y$397</f>
        <v>0</v>
      </c>
      <c r="AF397" s="4">
        <f ca="1">$M$397*$Z$397</f>
        <v>146727.01923515886</v>
      </c>
      <c r="AG397" s="4">
        <f>$O$397*$AA$397</f>
        <v>73079.04115954123</v>
      </c>
    </row>
    <row r="398" spans="1:33" ht="11.25" customHeight="1" x14ac:dyDescent="0.3">
      <c r="A398" s="3" t="s">
        <v>27</v>
      </c>
      <c r="B398" s="3" t="s">
        <v>32</v>
      </c>
      <c r="C398" s="3" t="s">
        <v>23</v>
      </c>
      <c r="D398" s="3" t="s">
        <v>39</v>
      </c>
      <c r="E398" s="3" t="s">
        <v>25</v>
      </c>
      <c r="F398" s="3" t="s">
        <v>25</v>
      </c>
      <c r="G398" s="3" t="s">
        <v>25</v>
      </c>
      <c r="H398" s="3" t="s">
        <v>25</v>
      </c>
      <c r="I398" s="6">
        <v>44593</v>
      </c>
      <c r="J398" s="4">
        <v>0</v>
      </c>
      <c r="K398" s="4">
        <v>0</v>
      </c>
      <c r="L398" s="4">
        <v>21.829000000000001</v>
      </c>
      <c r="M398" s="4">
        <v>21.829000000000001</v>
      </c>
      <c r="N398" s="4">
        <v>21.829000000000001</v>
      </c>
      <c r="O398" s="4">
        <v>21.829000000000001</v>
      </c>
      <c r="P398" s="4">
        <v>70</v>
      </c>
      <c r="Q398" s="3" t="s">
        <v>26</v>
      </c>
      <c r="R398" s="3">
        <v>0</v>
      </c>
      <c r="S398" s="4">
        <v>0</v>
      </c>
      <c r="T398" s="4">
        <v>27</v>
      </c>
      <c r="U398" s="4">
        <v>76</v>
      </c>
      <c r="V398" s="4">
        <f>IF(ISERROR(VLOOKUP($S$398,'TAR FIN'!$A$1:$O$85,15,0)),0,VLOOKUP($S$398,'TAR FIN'!$A$1:$O$85,15,0))</f>
        <v>0</v>
      </c>
      <c r="W398" s="4">
        <f>IF(ISERROR(VLOOKUP($T$398,'TAR FIN'!$A$1:$O$85,15,0)),0,VLOOKUP($T$398,'TAR FIN'!$A$1:$O$85,15,0))</f>
        <v>370.66</v>
      </c>
      <c r="X398" s="4">
        <f>IF(ISERROR(VLOOKUP($U$398,'TAR FIN'!$A$1:$O$85,15,0)),0,VLOOKUP($U$398,'TAR FIN'!$A$1:$O$85,15,0))</f>
        <v>291.85000000000002</v>
      </c>
      <c r="Y398" s="4"/>
      <c r="Z398" s="4">
        <f ca="1">('TUSD BE'!$AM$48+'TUSD BF'!$AM$48+'TUSD CVA'!$AM$48)*1</f>
        <v>429.2108574011603</v>
      </c>
      <c r="AA398" s="4">
        <f>('TE BE'!$AB$39+'TE BF'!$AB$39+'TE CVA'!$AB$39)*1</f>
        <v>213.77329191067864</v>
      </c>
      <c r="AB398" s="4">
        <f>$K$398*$V$398</f>
        <v>0</v>
      </c>
      <c r="AC398" s="4">
        <f>$M$398*$W$398</f>
        <v>8091.1371400000007</v>
      </c>
      <c r="AD398" s="4">
        <f>$O$398*$X$398</f>
        <v>6370.7936500000005</v>
      </c>
      <c r="AE398" s="4">
        <f>$K$398*$Y$398</f>
        <v>0</v>
      </c>
      <c r="AF398" s="4">
        <f ca="1">$M$398*$Z$398</f>
        <v>9369.2438062099282</v>
      </c>
      <c r="AG398" s="4">
        <f>$O$398*$AA$398</f>
        <v>4666.457189118204</v>
      </c>
    </row>
    <row r="399" spans="1:33" ht="11.25" customHeight="1" x14ac:dyDescent="0.3">
      <c r="A399" s="3" t="s">
        <v>21</v>
      </c>
      <c r="B399" s="3" t="s">
        <v>32</v>
      </c>
      <c r="C399" s="3" t="s">
        <v>23</v>
      </c>
      <c r="D399" s="3" t="s">
        <v>39</v>
      </c>
      <c r="E399" s="3" t="s">
        <v>25</v>
      </c>
      <c r="F399" s="3" t="s">
        <v>25</v>
      </c>
      <c r="G399" s="3" t="s">
        <v>25</v>
      </c>
      <c r="H399" s="3" t="s">
        <v>25</v>
      </c>
      <c r="I399" s="6">
        <v>44621</v>
      </c>
      <c r="J399" s="4">
        <v>0</v>
      </c>
      <c r="K399" s="4">
        <v>0</v>
      </c>
      <c r="L399" s="4">
        <v>315.83699999999999</v>
      </c>
      <c r="M399" s="4">
        <v>315.83699999999999</v>
      </c>
      <c r="N399" s="4">
        <v>315.83699999999999</v>
      </c>
      <c r="O399" s="4">
        <v>315.83699999999999</v>
      </c>
      <c r="P399" s="4">
        <v>466</v>
      </c>
      <c r="Q399" s="3" t="s">
        <v>26</v>
      </c>
      <c r="R399" s="3">
        <v>0</v>
      </c>
      <c r="S399" s="4">
        <v>0</v>
      </c>
      <c r="T399" s="4">
        <v>27</v>
      </c>
      <c r="U399" s="4">
        <v>76</v>
      </c>
      <c r="V399" s="4">
        <f>IF(ISERROR(VLOOKUP($S$399,'TAR FIN'!$A$1:$O$85,15,0)),0,VLOOKUP($S$399,'TAR FIN'!$A$1:$O$85,15,0))</f>
        <v>0</v>
      </c>
      <c r="W399" s="4">
        <f>IF(ISERROR(VLOOKUP($T$399,'TAR FIN'!$A$1:$O$85,15,0)),0,VLOOKUP($T$399,'TAR FIN'!$A$1:$O$85,15,0))</f>
        <v>370.66</v>
      </c>
      <c r="X399" s="4">
        <f>IF(ISERROR(VLOOKUP($U$399,'TAR FIN'!$A$1:$O$85,15,0)),0,VLOOKUP($U$399,'TAR FIN'!$A$1:$O$85,15,0))</f>
        <v>291.85000000000002</v>
      </c>
      <c r="Y399" s="4"/>
      <c r="Z399" s="4">
        <f ca="1">('TUSD BE'!$AM$48+'TUSD BF'!$AM$48+'TUSD CVA'!$AM$48)*1</f>
        <v>429.2108574011603</v>
      </c>
      <c r="AA399" s="4">
        <f>('TE BE'!$AB$39+'TE BF'!$AB$39+'TE CVA'!$AB$39)*1</f>
        <v>213.77329191067864</v>
      </c>
      <c r="AB399" s="4">
        <f>$K$399*$V$399</f>
        <v>0</v>
      </c>
      <c r="AC399" s="4">
        <f>$M$399*$W$399</f>
        <v>117068.14242</v>
      </c>
      <c r="AD399" s="4">
        <f>$O$399*$X$399</f>
        <v>92177.028449999998</v>
      </c>
      <c r="AE399" s="4">
        <f>$K$399*$Y$399</f>
        <v>0</v>
      </c>
      <c r="AF399" s="4">
        <f ca="1">$M$399*$Z$399</f>
        <v>135560.66956901026</v>
      </c>
      <c r="AG399" s="4">
        <f>$O$399*$AA$399</f>
        <v>67517.515197193003</v>
      </c>
    </row>
    <row r="400" spans="1:33" ht="11.25" customHeight="1" x14ac:dyDescent="0.3">
      <c r="A400" s="3" t="s">
        <v>27</v>
      </c>
      <c r="B400" s="3" t="s">
        <v>32</v>
      </c>
      <c r="C400" s="3" t="s">
        <v>23</v>
      </c>
      <c r="D400" s="3" t="s">
        <v>39</v>
      </c>
      <c r="E400" s="3" t="s">
        <v>25</v>
      </c>
      <c r="F400" s="3" t="s">
        <v>25</v>
      </c>
      <c r="G400" s="3" t="s">
        <v>25</v>
      </c>
      <c r="H400" s="3" t="s">
        <v>25</v>
      </c>
      <c r="I400" s="6">
        <v>44621</v>
      </c>
      <c r="J400" s="4">
        <v>0</v>
      </c>
      <c r="K400" s="4">
        <v>0</v>
      </c>
      <c r="L400" s="4">
        <v>26.666</v>
      </c>
      <c r="M400" s="4">
        <v>26.666</v>
      </c>
      <c r="N400" s="4">
        <v>26.666</v>
      </c>
      <c r="O400" s="4">
        <v>26.666</v>
      </c>
      <c r="P400" s="4">
        <v>68</v>
      </c>
      <c r="Q400" s="3" t="s">
        <v>26</v>
      </c>
      <c r="R400" s="3">
        <v>0</v>
      </c>
      <c r="S400" s="4">
        <v>0</v>
      </c>
      <c r="T400" s="4">
        <v>27</v>
      </c>
      <c r="U400" s="4">
        <v>76</v>
      </c>
      <c r="V400" s="4">
        <f>IF(ISERROR(VLOOKUP($S$400,'TAR FIN'!$A$1:$O$85,15,0)),0,VLOOKUP($S$400,'TAR FIN'!$A$1:$O$85,15,0))</f>
        <v>0</v>
      </c>
      <c r="W400" s="4">
        <f>IF(ISERROR(VLOOKUP($T$400,'TAR FIN'!$A$1:$O$85,15,0)),0,VLOOKUP($T$400,'TAR FIN'!$A$1:$O$85,15,0))</f>
        <v>370.66</v>
      </c>
      <c r="X400" s="4">
        <f>IF(ISERROR(VLOOKUP($U$400,'TAR FIN'!$A$1:$O$85,15,0)),0,VLOOKUP($U$400,'TAR FIN'!$A$1:$O$85,15,0))</f>
        <v>291.85000000000002</v>
      </c>
      <c r="Y400" s="4"/>
      <c r="Z400" s="4">
        <f ca="1">('TUSD BE'!$AM$48+'TUSD BF'!$AM$48+'TUSD CVA'!$AM$48)*1</f>
        <v>429.2108574011603</v>
      </c>
      <c r="AA400" s="4">
        <f>('TE BE'!$AB$39+'TE BF'!$AB$39+'TE CVA'!$AB$39)*1</f>
        <v>213.77329191067864</v>
      </c>
      <c r="AB400" s="4">
        <f>$K$400*$V$400</f>
        <v>0</v>
      </c>
      <c r="AC400" s="4">
        <f>$M$400*$W$400</f>
        <v>9884.0195600000006</v>
      </c>
      <c r="AD400" s="4">
        <f>$O$400*$X$400</f>
        <v>7782.4721000000009</v>
      </c>
      <c r="AE400" s="4">
        <f>$K$400*$Y$400</f>
        <v>0</v>
      </c>
      <c r="AF400" s="4">
        <f ca="1">$M$400*$Z$400</f>
        <v>11445.336723459341</v>
      </c>
      <c r="AG400" s="4">
        <f>$O$400*$AA$400</f>
        <v>5700.4786020901565</v>
      </c>
    </row>
    <row r="401" spans="1:33" ht="11.25" customHeight="1" x14ac:dyDescent="0.3">
      <c r="A401" s="3" t="s">
        <v>21</v>
      </c>
      <c r="B401" s="3" t="s">
        <v>32</v>
      </c>
      <c r="C401" s="3" t="s">
        <v>23</v>
      </c>
      <c r="D401" s="3" t="s">
        <v>39</v>
      </c>
      <c r="E401" s="3" t="s">
        <v>25</v>
      </c>
      <c r="F401" s="3" t="s">
        <v>25</v>
      </c>
      <c r="G401" s="3" t="s">
        <v>25</v>
      </c>
      <c r="H401" s="3" t="s">
        <v>25</v>
      </c>
      <c r="I401" s="6">
        <v>44652</v>
      </c>
      <c r="J401" s="4">
        <v>0</v>
      </c>
      <c r="K401" s="4">
        <v>0</v>
      </c>
      <c r="L401" s="4">
        <v>239.57900000000001</v>
      </c>
      <c r="M401" s="4">
        <v>239.57900000000001</v>
      </c>
      <c r="N401" s="4">
        <v>239.57900000000001</v>
      </c>
      <c r="O401" s="4">
        <v>239.57900000000001</v>
      </c>
      <c r="P401" s="4">
        <v>456</v>
      </c>
      <c r="Q401" s="3" t="s">
        <v>26</v>
      </c>
      <c r="R401" s="3">
        <v>0</v>
      </c>
      <c r="S401" s="4">
        <v>0</v>
      </c>
      <c r="T401" s="4">
        <v>27</v>
      </c>
      <c r="U401" s="4">
        <v>76</v>
      </c>
      <c r="V401" s="4">
        <f>IF(ISERROR(VLOOKUP($S$401,'TAR FIN'!$A$1:$O$85,15,0)),0,VLOOKUP($S$401,'TAR FIN'!$A$1:$O$85,15,0))</f>
        <v>0</v>
      </c>
      <c r="W401" s="4">
        <f>IF(ISERROR(VLOOKUP($T$401,'TAR FIN'!$A$1:$O$85,15,0)),0,VLOOKUP($T$401,'TAR FIN'!$A$1:$O$85,15,0))</f>
        <v>370.66</v>
      </c>
      <c r="X401" s="4">
        <f>IF(ISERROR(VLOOKUP($U$401,'TAR FIN'!$A$1:$O$85,15,0)),0,VLOOKUP($U$401,'TAR FIN'!$A$1:$O$85,15,0))</f>
        <v>291.85000000000002</v>
      </c>
      <c r="Y401" s="4"/>
      <c r="Z401" s="4">
        <f ca="1">('TUSD BE'!$AM$48+'TUSD BF'!$AM$48+'TUSD CVA'!$AM$48)*1</f>
        <v>429.2108574011603</v>
      </c>
      <c r="AA401" s="4">
        <f>('TE BE'!$AB$39+'TE BF'!$AB$39+'TE CVA'!$AB$39)*1</f>
        <v>213.77329191067864</v>
      </c>
      <c r="AB401" s="4">
        <f>$K$401*$V$401</f>
        <v>0</v>
      </c>
      <c r="AC401" s="4">
        <f>$M$401*$W$401</f>
        <v>88802.352140000003</v>
      </c>
      <c r="AD401" s="4">
        <f>$O$401*$X$401</f>
        <v>69921.131150000001</v>
      </c>
      <c r="AE401" s="4">
        <f>$K$401*$Y$401</f>
        <v>0</v>
      </c>
      <c r="AF401" s="4">
        <f ca="1">$M$401*$Z$401</f>
        <v>102829.90800531258</v>
      </c>
      <c r="AG401" s="4">
        <f>$O$401*$AA$401</f>
        <v>51215.591502668482</v>
      </c>
    </row>
    <row r="402" spans="1:33" ht="11.25" customHeight="1" x14ac:dyDescent="0.3">
      <c r="A402" s="3" t="s">
        <v>27</v>
      </c>
      <c r="B402" s="3" t="s">
        <v>32</v>
      </c>
      <c r="C402" s="3" t="s">
        <v>23</v>
      </c>
      <c r="D402" s="3" t="s">
        <v>39</v>
      </c>
      <c r="E402" s="3" t="s">
        <v>25</v>
      </c>
      <c r="F402" s="3" t="s">
        <v>25</v>
      </c>
      <c r="G402" s="3" t="s">
        <v>25</v>
      </c>
      <c r="H402" s="3" t="s">
        <v>25</v>
      </c>
      <c r="I402" s="6">
        <v>44652</v>
      </c>
      <c r="J402" s="4">
        <v>0</v>
      </c>
      <c r="K402" s="4">
        <v>0</v>
      </c>
      <c r="L402" s="4">
        <v>37.057000000000002</v>
      </c>
      <c r="M402" s="4">
        <v>37.057000000000002</v>
      </c>
      <c r="N402" s="4">
        <v>37.057000000000002</v>
      </c>
      <c r="O402" s="4">
        <v>37.057000000000002</v>
      </c>
      <c r="P402" s="4">
        <v>77</v>
      </c>
      <c r="Q402" s="3" t="s">
        <v>26</v>
      </c>
      <c r="R402" s="3">
        <v>0</v>
      </c>
      <c r="S402" s="4">
        <v>0</v>
      </c>
      <c r="T402" s="4">
        <v>27</v>
      </c>
      <c r="U402" s="4">
        <v>76</v>
      </c>
      <c r="V402" s="4">
        <f>IF(ISERROR(VLOOKUP($S$402,'TAR FIN'!$A$1:$O$85,15,0)),0,VLOOKUP($S$402,'TAR FIN'!$A$1:$O$85,15,0))</f>
        <v>0</v>
      </c>
      <c r="W402" s="4">
        <f>IF(ISERROR(VLOOKUP($T$402,'TAR FIN'!$A$1:$O$85,15,0)),0,VLOOKUP($T$402,'TAR FIN'!$A$1:$O$85,15,0))</f>
        <v>370.66</v>
      </c>
      <c r="X402" s="4">
        <f>IF(ISERROR(VLOOKUP($U$402,'TAR FIN'!$A$1:$O$85,15,0)),0,VLOOKUP($U$402,'TAR FIN'!$A$1:$O$85,15,0))</f>
        <v>291.85000000000002</v>
      </c>
      <c r="Y402" s="4"/>
      <c r="Z402" s="4">
        <f ca="1">('TUSD BE'!$AM$48+'TUSD BF'!$AM$48+'TUSD CVA'!$AM$48)*1</f>
        <v>429.2108574011603</v>
      </c>
      <c r="AA402" s="4">
        <f>('TE BE'!$AB$39+'TE BF'!$AB$39+'TE CVA'!$AB$39)*1</f>
        <v>213.77329191067864</v>
      </c>
      <c r="AB402" s="4">
        <f>$K$402*$V$402</f>
        <v>0</v>
      </c>
      <c r="AC402" s="4">
        <f>$M$402*$W$402</f>
        <v>13735.547620000001</v>
      </c>
      <c r="AD402" s="4">
        <f>$O$402*$X$402</f>
        <v>10815.085450000002</v>
      </c>
      <c r="AE402" s="4">
        <f>$K$402*$Y$402</f>
        <v>0</v>
      </c>
      <c r="AF402" s="4">
        <f ca="1">$M$402*$Z$402</f>
        <v>15905.266742714797</v>
      </c>
      <c r="AG402" s="4">
        <f>$O$402*$AA$402</f>
        <v>7921.7968783340184</v>
      </c>
    </row>
    <row r="403" spans="1:33" ht="11.25" customHeight="1" x14ac:dyDescent="0.3">
      <c r="A403" s="3" t="s">
        <v>21</v>
      </c>
      <c r="B403" s="3" t="s">
        <v>32</v>
      </c>
      <c r="C403" s="3" t="s">
        <v>23</v>
      </c>
      <c r="D403" s="3" t="s">
        <v>39</v>
      </c>
      <c r="E403" s="3" t="s">
        <v>25</v>
      </c>
      <c r="F403" s="3" t="s">
        <v>25</v>
      </c>
      <c r="G403" s="3" t="s">
        <v>25</v>
      </c>
      <c r="H403" s="3" t="s">
        <v>25</v>
      </c>
      <c r="I403" s="6">
        <v>44682</v>
      </c>
      <c r="J403" s="4">
        <v>0</v>
      </c>
      <c r="K403" s="4">
        <v>0</v>
      </c>
      <c r="L403" s="4">
        <v>234.89500000000001</v>
      </c>
      <c r="M403" s="4">
        <v>234.89500000000001</v>
      </c>
      <c r="N403" s="4">
        <v>234.89500000000001</v>
      </c>
      <c r="O403" s="4">
        <v>234.89500000000001</v>
      </c>
      <c r="P403" s="4">
        <v>455</v>
      </c>
      <c r="Q403" s="3" t="s">
        <v>26</v>
      </c>
      <c r="R403" s="3">
        <v>0</v>
      </c>
      <c r="S403" s="4">
        <v>0</v>
      </c>
      <c r="T403" s="4">
        <v>27</v>
      </c>
      <c r="U403" s="4">
        <v>76</v>
      </c>
      <c r="V403" s="4">
        <f>IF(ISERROR(VLOOKUP($S$403,'TAR FIN'!$A$1:$O$85,15,0)),0,VLOOKUP($S$403,'TAR FIN'!$A$1:$O$85,15,0))</f>
        <v>0</v>
      </c>
      <c r="W403" s="4">
        <f>IF(ISERROR(VLOOKUP($T$403,'TAR FIN'!$A$1:$O$85,15,0)),0,VLOOKUP($T$403,'TAR FIN'!$A$1:$O$85,15,0))</f>
        <v>370.66</v>
      </c>
      <c r="X403" s="4">
        <f>IF(ISERROR(VLOOKUP($U$403,'TAR FIN'!$A$1:$O$85,15,0)),0,VLOOKUP($U$403,'TAR FIN'!$A$1:$O$85,15,0))</f>
        <v>291.85000000000002</v>
      </c>
      <c r="Y403" s="4"/>
      <c r="Z403" s="4">
        <f ca="1">('TUSD BE'!$AM$48+'TUSD BF'!$AM$48+'TUSD CVA'!$AM$48)*1</f>
        <v>429.2108574011603</v>
      </c>
      <c r="AA403" s="4">
        <f>('TE BE'!$AB$39+'TE BF'!$AB$39+'TE CVA'!$AB$39)*1</f>
        <v>213.77329191067864</v>
      </c>
      <c r="AB403" s="4">
        <f>$K$403*$V$403</f>
        <v>0</v>
      </c>
      <c r="AC403" s="4">
        <f>$M$403*$W$403</f>
        <v>87066.180700000012</v>
      </c>
      <c r="AD403" s="4">
        <f>$O$403*$X$403</f>
        <v>68554.105750000002</v>
      </c>
      <c r="AE403" s="4">
        <f>$K$403*$Y$403</f>
        <v>0</v>
      </c>
      <c r="AF403" s="4">
        <f ca="1">$M$403*$Z$403</f>
        <v>100819.48434924555</v>
      </c>
      <c r="AG403" s="4">
        <f>$O$403*$AA$403</f>
        <v>50214.277403358858</v>
      </c>
    </row>
    <row r="404" spans="1:33" ht="11.25" customHeight="1" x14ac:dyDescent="0.3">
      <c r="A404" s="3" t="s">
        <v>27</v>
      </c>
      <c r="B404" s="3" t="s">
        <v>32</v>
      </c>
      <c r="C404" s="3" t="s">
        <v>23</v>
      </c>
      <c r="D404" s="3" t="s">
        <v>39</v>
      </c>
      <c r="E404" s="3" t="s">
        <v>25</v>
      </c>
      <c r="F404" s="3" t="s">
        <v>25</v>
      </c>
      <c r="G404" s="3" t="s">
        <v>25</v>
      </c>
      <c r="H404" s="3" t="s">
        <v>25</v>
      </c>
      <c r="I404" s="6">
        <v>44682</v>
      </c>
      <c r="J404" s="4">
        <v>0</v>
      </c>
      <c r="K404" s="4">
        <v>0</v>
      </c>
      <c r="L404" s="4">
        <v>38.975000000000001</v>
      </c>
      <c r="M404" s="4">
        <v>38.975000000000001</v>
      </c>
      <c r="N404" s="4">
        <v>38.975000000000001</v>
      </c>
      <c r="O404" s="4">
        <v>38.975000000000001</v>
      </c>
      <c r="P404" s="4">
        <v>79</v>
      </c>
      <c r="Q404" s="3" t="s">
        <v>26</v>
      </c>
      <c r="R404" s="3">
        <v>0</v>
      </c>
      <c r="S404" s="4">
        <v>0</v>
      </c>
      <c r="T404" s="4">
        <v>27</v>
      </c>
      <c r="U404" s="4">
        <v>76</v>
      </c>
      <c r="V404" s="4">
        <f>IF(ISERROR(VLOOKUP($S$404,'TAR FIN'!$A$1:$O$85,15,0)),0,VLOOKUP($S$404,'TAR FIN'!$A$1:$O$85,15,0))</f>
        <v>0</v>
      </c>
      <c r="W404" s="4">
        <f>IF(ISERROR(VLOOKUP($T$404,'TAR FIN'!$A$1:$O$85,15,0)),0,VLOOKUP($T$404,'TAR FIN'!$A$1:$O$85,15,0))</f>
        <v>370.66</v>
      </c>
      <c r="X404" s="4">
        <f>IF(ISERROR(VLOOKUP($U$404,'TAR FIN'!$A$1:$O$85,15,0)),0,VLOOKUP($U$404,'TAR FIN'!$A$1:$O$85,15,0))</f>
        <v>291.85000000000002</v>
      </c>
      <c r="Y404" s="4"/>
      <c r="Z404" s="4">
        <f ca="1">('TUSD BE'!$AM$48+'TUSD BF'!$AM$48+'TUSD CVA'!$AM$48)*1</f>
        <v>429.2108574011603</v>
      </c>
      <c r="AA404" s="4">
        <f>('TE BE'!$AB$39+'TE BF'!$AB$39+'TE CVA'!$AB$39)*1</f>
        <v>213.77329191067864</v>
      </c>
      <c r="AB404" s="4">
        <f>$K$404*$V$404</f>
        <v>0</v>
      </c>
      <c r="AC404" s="4">
        <f>$M$404*$W$404</f>
        <v>14446.473500000002</v>
      </c>
      <c r="AD404" s="4">
        <f>$O$404*$X$404</f>
        <v>11374.853750000002</v>
      </c>
      <c r="AE404" s="4">
        <f>$K$404*$Y$404</f>
        <v>0</v>
      </c>
      <c r="AF404" s="4">
        <f ca="1">$M$404*$Z$404</f>
        <v>16728.493167210225</v>
      </c>
      <c r="AG404" s="4">
        <f>$O$404*$AA$404</f>
        <v>8331.8140522187005</v>
      </c>
    </row>
    <row r="405" spans="1:33" ht="11.25" customHeight="1" x14ac:dyDescent="0.3">
      <c r="A405" s="3" t="s">
        <v>21</v>
      </c>
      <c r="B405" s="3" t="s">
        <v>32</v>
      </c>
      <c r="C405" s="3" t="s">
        <v>23</v>
      </c>
      <c r="D405" s="3" t="s">
        <v>39</v>
      </c>
      <c r="E405" s="3" t="s">
        <v>25</v>
      </c>
      <c r="F405" s="3" t="s">
        <v>25</v>
      </c>
      <c r="G405" s="3" t="s">
        <v>25</v>
      </c>
      <c r="H405" s="3" t="s">
        <v>25</v>
      </c>
      <c r="I405" s="6">
        <v>44713</v>
      </c>
      <c r="J405" s="4">
        <v>0</v>
      </c>
      <c r="K405" s="4">
        <v>0</v>
      </c>
      <c r="L405" s="4">
        <v>229.131</v>
      </c>
      <c r="M405" s="4">
        <v>229.131</v>
      </c>
      <c r="N405" s="4">
        <v>229.131</v>
      </c>
      <c r="O405" s="4">
        <v>229.131</v>
      </c>
      <c r="P405" s="4">
        <v>457</v>
      </c>
      <c r="Q405" s="3" t="s">
        <v>26</v>
      </c>
      <c r="R405" s="3">
        <v>0</v>
      </c>
      <c r="S405" s="4">
        <v>0</v>
      </c>
      <c r="T405" s="4">
        <v>27</v>
      </c>
      <c r="U405" s="4">
        <v>76</v>
      </c>
      <c r="V405" s="4">
        <f>IF(ISERROR(VLOOKUP($S$405,'TAR FIN'!$A$1:$O$85,15,0)),0,VLOOKUP($S$405,'TAR FIN'!$A$1:$O$85,15,0))</f>
        <v>0</v>
      </c>
      <c r="W405" s="4">
        <f>IF(ISERROR(VLOOKUP($T$405,'TAR FIN'!$A$1:$O$85,15,0)),0,VLOOKUP($T$405,'TAR FIN'!$A$1:$O$85,15,0))</f>
        <v>370.66</v>
      </c>
      <c r="X405" s="4">
        <f>IF(ISERROR(VLOOKUP($U$405,'TAR FIN'!$A$1:$O$85,15,0)),0,VLOOKUP($U$405,'TAR FIN'!$A$1:$O$85,15,0))</f>
        <v>291.85000000000002</v>
      </c>
      <c r="Y405" s="4"/>
      <c r="Z405" s="4">
        <f ca="1">('TUSD BE'!$AM$48+'TUSD BF'!$AM$48+'TUSD CVA'!$AM$48)*1</f>
        <v>429.2108574011603</v>
      </c>
      <c r="AA405" s="4">
        <f>('TE BE'!$AB$39+'TE BF'!$AB$39+'TE CVA'!$AB$39)*1</f>
        <v>213.77329191067864</v>
      </c>
      <c r="AB405" s="4">
        <f>$K$405*$V$405</f>
        <v>0</v>
      </c>
      <c r="AC405" s="4">
        <f>$M$405*$W$405</f>
        <v>84929.696460000006</v>
      </c>
      <c r="AD405" s="4">
        <f>$O$405*$X$405</f>
        <v>66871.88235</v>
      </c>
      <c r="AE405" s="4">
        <f>$K$405*$Y$405</f>
        <v>0</v>
      </c>
      <c r="AF405" s="4">
        <f ca="1">$M$405*$Z$405</f>
        <v>98345.512967185263</v>
      </c>
      <c r="AG405" s="4">
        <f>$O$405*$AA$405</f>
        <v>48982.088148785704</v>
      </c>
    </row>
    <row r="406" spans="1:33" ht="11.25" customHeight="1" x14ac:dyDescent="0.3">
      <c r="A406" s="3" t="s">
        <v>27</v>
      </c>
      <c r="B406" s="3" t="s">
        <v>32</v>
      </c>
      <c r="C406" s="3" t="s">
        <v>23</v>
      </c>
      <c r="D406" s="3" t="s">
        <v>39</v>
      </c>
      <c r="E406" s="3" t="s">
        <v>25</v>
      </c>
      <c r="F406" s="3" t="s">
        <v>25</v>
      </c>
      <c r="G406" s="3" t="s">
        <v>25</v>
      </c>
      <c r="H406" s="3" t="s">
        <v>25</v>
      </c>
      <c r="I406" s="6">
        <v>44713</v>
      </c>
      <c r="J406" s="4">
        <v>0</v>
      </c>
      <c r="K406" s="4">
        <v>0</v>
      </c>
      <c r="L406" s="4">
        <v>40.637999999999998</v>
      </c>
      <c r="M406" s="4">
        <v>40.637999999999998</v>
      </c>
      <c r="N406" s="4">
        <v>40.637999999999998</v>
      </c>
      <c r="O406" s="4">
        <v>40.637999999999998</v>
      </c>
      <c r="P406" s="4">
        <v>80</v>
      </c>
      <c r="Q406" s="3" t="s">
        <v>26</v>
      </c>
      <c r="R406" s="3">
        <v>0</v>
      </c>
      <c r="S406" s="4">
        <v>0</v>
      </c>
      <c r="T406" s="4">
        <v>27</v>
      </c>
      <c r="U406" s="4">
        <v>76</v>
      </c>
      <c r="V406" s="4">
        <f>IF(ISERROR(VLOOKUP($S$406,'TAR FIN'!$A$1:$O$85,15,0)),0,VLOOKUP($S$406,'TAR FIN'!$A$1:$O$85,15,0))</f>
        <v>0</v>
      </c>
      <c r="W406" s="4">
        <f>IF(ISERROR(VLOOKUP($T$406,'TAR FIN'!$A$1:$O$85,15,0)),0,VLOOKUP($T$406,'TAR FIN'!$A$1:$O$85,15,0))</f>
        <v>370.66</v>
      </c>
      <c r="X406" s="4">
        <f>IF(ISERROR(VLOOKUP($U$406,'TAR FIN'!$A$1:$O$85,15,0)),0,VLOOKUP($U$406,'TAR FIN'!$A$1:$O$85,15,0))</f>
        <v>291.85000000000002</v>
      </c>
      <c r="Y406" s="4"/>
      <c r="Z406" s="4">
        <f ca="1">('TUSD BE'!$AM$48+'TUSD BF'!$AM$48+'TUSD CVA'!$AM$48)*1</f>
        <v>429.2108574011603</v>
      </c>
      <c r="AA406" s="4">
        <f>('TE BE'!$AB$39+'TE BF'!$AB$39+'TE CVA'!$AB$39)*1</f>
        <v>213.77329191067864</v>
      </c>
      <c r="AB406" s="4">
        <f>$K$406*$V$406</f>
        <v>0</v>
      </c>
      <c r="AC406" s="4">
        <f>$M$406*$W$406</f>
        <v>15062.881080000001</v>
      </c>
      <c r="AD406" s="4">
        <f>$O$406*$X$406</f>
        <v>11860.2003</v>
      </c>
      <c r="AE406" s="4">
        <f>$K$406*$Y$406</f>
        <v>0</v>
      </c>
      <c r="AF406" s="4">
        <f ca="1">$M$406*$Z$406</f>
        <v>17442.270823068353</v>
      </c>
      <c r="AG406" s="4">
        <f>$O$406*$AA$406</f>
        <v>8687.3190366661584</v>
      </c>
    </row>
    <row r="407" spans="1:33" ht="11.25" customHeight="1" x14ac:dyDescent="0.3">
      <c r="A407" s="3" t="s">
        <v>21</v>
      </c>
      <c r="B407" s="3" t="s">
        <v>32</v>
      </c>
      <c r="C407" s="3" t="s">
        <v>23</v>
      </c>
      <c r="D407" s="3" t="s">
        <v>39</v>
      </c>
      <c r="E407" s="3" t="s">
        <v>25</v>
      </c>
      <c r="F407" s="3" t="s">
        <v>25</v>
      </c>
      <c r="G407" s="3" t="s">
        <v>25</v>
      </c>
      <c r="H407" s="3" t="s">
        <v>25</v>
      </c>
      <c r="I407" s="6">
        <v>44743</v>
      </c>
      <c r="J407" s="4">
        <v>0</v>
      </c>
      <c r="K407" s="4">
        <v>0</v>
      </c>
      <c r="L407" s="4">
        <v>206.131</v>
      </c>
      <c r="M407" s="4">
        <v>206.131</v>
      </c>
      <c r="N407" s="4">
        <v>206.131</v>
      </c>
      <c r="O407" s="4">
        <v>206.131</v>
      </c>
      <c r="P407" s="4">
        <v>458</v>
      </c>
      <c r="Q407" s="3" t="s">
        <v>26</v>
      </c>
      <c r="R407" s="3">
        <v>0</v>
      </c>
      <c r="S407" s="4">
        <v>0</v>
      </c>
      <c r="T407" s="4">
        <v>27</v>
      </c>
      <c r="U407" s="4">
        <v>76</v>
      </c>
      <c r="V407" s="4">
        <f>IF(ISERROR(VLOOKUP($S$407,'TAR FIN'!$A$1:$O$85,15,0)),0,VLOOKUP($S$407,'TAR FIN'!$A$1:$O$85,15,0))</f>
        <v>0</v>
      </c>
      <c r="W407" s="4">
        <f>IF(ISERROR(VLOOKUP($T$407,'TAR FIN'!$A$1:$O$85,15,0)),0,VLOOKUP($T$407,'TAR FIN'!$A$1:$O$85,15,0))</f>
        <v>370.66</v>
      </c>
      <c r="X407" s="4">
        <f>IF(ISERROR(VLOOKUP($U$407,'TAR FIN'!$A$1:$O$85,15,0)),0,VLOOKUP($U$407,'TAR FIN'!$A$1:$O$85,15,0))</f>
        <v>291.85000000000002</v>
      </c>
      <c r="Y407" s="4"/>
      <c r="Z407" s="4">
        <f ca="1">('TUSD BE'!$AM$48+'TUSD BF'!$AM$48+'TUSD CVA'!$AM$48)*1</f>
        <v>429.2108574011603</v>
      </c>
      <c r="AA407" s="4">
        <f>('TE BE'!$AB$39+'TE BF'!$AB$39+'TE CVA'!$AB$39)*1</f>
        <v>213.77329191067864</v>
      </c>
      <c r="AB407" s="4">
        <f>$K$407*$V$407</f>
        <v>0</v>
      </c>
      <c r="AC407" s="4">
        <f>$M$407*$W$407</f>
        <v>76404.516459999999</v>
      </c>
      <c r="AD407" s="4">
        <f>$O$407*$X$407</f>
        <v>60159.332350000004</v>
      </c>
      <c r="AE407" s="4">
        <f>$K$407*$Y$407</f>
        <v>0</v>
      </c>
      <c r="AF407" s="4">
        <f ca="1">$M$407*$Z$407</f>
        <v>88473.663246958575</v>
      </c>
      <c r="AG407" s="4">
        <f>$O$407*$AA$407</f>
        <v>44065.302434840101</v>
      </c>
    </row>
    <row r="408" spans="1:33" ht="11.25" customHeight="1" x14ac:dyDescent="0.3">
      <c r="A408" s="3" t="s">
        <v>27</v>
      </c>
      <c r="B408" s="3" t="s">
        <v>32</v>
      </c>
      <c r="C408" s="3" t="s">
        <v>23</v>
      </c>
      <c r="D408" s="3" t="s">
        <v>39</v>
      </c>
      <c r="E408" s="3" t="s">
        <v>25</v>
      </c>
      <c r="F408" s="3" t="s">
        <v>25</v>
      </c>
      <c r="G408" s="3" t="s">
        <v>25</v>
      </c>
      <c r="H408" s="3" t="s">
        <v>25</v>
      </c>
      <c r="I408" s="6">
        <v>44743</v>
      </c>
      <c r="J408" s="4">
        <v>0</v>
      </c>
      <c r="K408" s="4">
        <v>0</v>
      </c>
      <c r="L408" s="4">
        <v>40.728999999999999</v>
      </c>
      <c r="M408" s="4">
        <v>40.728999999999999</v>
      </c>
      <c r="N408" s="4">
        <v>40.728999999999999</v>
      </c>
      <c r="O408" s="4">
        <v>40.728999999999999</v>
      </c>
      <c r="P408" s="4">
        <v>79</v>
      </c>
      <c r="Q408" s="3" t="s">
        <v>26</v>
      </c>
      <c r="R408" s="3">
        <v>0</v>
      </c>
      <c r="S408" s="4">
        <v>0</v>
      </c>
      <c r="T408" s="4">
        <v>27</v>
      </c>
      <c r="U408" s="4">
        <v>76</v>
      </c>
      <c r="V408" s="4">
        <f>IF(ISERROR(VLOOKUP($S$408,'TAR FIN'!$A$1:$O$85,15,0)),0,VLOOKUP($S$408,'TAR FIN'!$A$1:$O$85,15,0))</f>
        <v>0</v>
      </c>
      <c r="W408" s="4">
        <f>IF(ISERROR(VLOOKUP($T$408,'TAR FIN'!$A$1:$O$85,15,0)),0,VLOOKUP($T$408,'TAR FIN'!$A$1:$O$85,15,0))</f>
        <v>370.66</v>
      </c>
      <c r="X408" s="4">
        <f>IF(ISERROR(VLOOKUP($U$408,'TAR FIN'!$A$1:$O$85,15,0)),0,VLOOKUP($U$408,'TAR FIN'!$A$1:$O$85,15,0))</f>
        <v>291.85000000000002</v>
      </c>
      <c r="Y408" s="4"/>
      <c r="Z408" s="4">
        <f ca="1">('TUSD BE'!$AM$48+'TUSD BF'!$AM$48+'TUSD CVA'!$AM$48)*1</f>
        <v>429.2108574011603</v>
      </c>
      <c r="AA408" s="4">
        <f>('TE BE'!$AB$39+'TE BF'!$AB$39+'TE CVA'!$AB$39)*1</f>
        <v>213.77329191067864</v>
      </c>
      <c r="AB408" s="4">
        <f>$K$408*$V$408</f>
        <v>0</v>
      </c>
      <c r="AC408" s="4">
        <f>$M$408*$W$408</f>
        <v>15096.611140000001</v>
      </c>
      <c r="AD408" s="4">
        <f>$O$408*$X$408</f>
        <v>11886.758650000002</v>
      </c>
      <c r="AE408" s="4">
        <f>$K$408*$Y$408</f>
        <v>0</v>
      </c>
      <c r="AF408" s="4">
        <f ca="1">$M$408*$Z$408</f>
        <v>17481.329011091857</v>
      </c>
      <c r="AG408" s="4">
        <f>$O$408*$AA$408</f>
        <v>8706.7724062300294</v>
      </c>
    </row>
    <row r="409" spans="1:33" ht="11.25" customHeight="1" x14ac:dyDescent="0.3">
      <c r="A409" s="3" t="s">
        <v>53</v>
      </c>
      <c r="B409" s="3" t="s">
        <v>32</v>
      </c>
      <c r="C409" s="3" t="s">
        <v>23</v>
      </c>
      <c r="D409" s="3" t="s">
        <v>39</v>
      </c>
      <c r="E409" s="3" t="s">
        <v>25</v>
      </c>
      <c r="F409" s="3" t="s">
        <v>25</v>
      </c>
      <c r="G409" s="3" t="s">
        <v>25</v>
      </c>
      <c r="H409" s="3" t="s">
        <v>25</v>
      </c>
      <c r="I409" s="6">
        <v>44774</v>
      </c>
      <c r="J409" s="4">
        <v>0</v>
      </c>
      <c r="K409" s="4">
        <v>0</v>
      </c>
      <c r="L409" s="4">
        <v>206.131</v>
      </c>
      <c r="M409" s="4">
        <v>206.131</v>
      </c>
      <c r="N409" s="4">
        <v>206.131</v>
      </c>
      <c r="O409" s="4">
        <v>206.131</v>
      </c>
      <c r="P409" s="4">
        <v>458</v>
      </c>
      <c r="Q409" s="3" t="s">
        <v>26</v>
      </c>
      <c r="R409" s="3">
        <v>0</v>
      </c>
      <c r="S409" s="4">
        <v>0</v>
      </c>
      <c r="T409" s="4">
        <v>27</v>
      </c>
      <c r="U409" s="4">
        <v>76</v>
      </c>
      <c r="V409" s="4">
        <f>IF(ISERROR(VLOOKUP($S$409,'TAR FIN'!$A$1:$O$85,15,0)),0,VLOOKUP($S$409,'TAR FIN'!$A$1:$O$85,15,0))</f>
        <v>0</v>
      </c>
      <c r="W409" s="4">
        <f>IF(ISERROR(VLOOKUP($T$409,'TAR FIN'!$A$1:$O$85,15,0)),0,VLOOKUP($T$409,'TAR FIN'!$A$1:$O$85,15,0))</f>
        <v>370.66</v>
      </c>
      <c r="X409" s="4">
        <f>IF(ISERROR(VLOOKUP($U$409,'TAR FIN'!$A$1:$O$85,15,0)),0,VLOOKUP($U$409,'TAR FIN'!$A$1:$O$85,15,0))</f>
        <v>291.85000000000002</v>
      </c>
      <c r="Y409" s="4"/>
      <c r="Z409" s="4">
        <f ca="1">('TUSD BE'!$AM$48+'TUSD BF'!$AM$48+'TUSD CVA'!$AM$48)*1</f>
        <v>429.2108574011603</v>
      </c>
      <c r="AA409" s="4">
        <f>('TE BE'!$AB$39+'TE BF'!$AB$39+'TE CVA'!$AB$39)*1</f>
        <v>213.77329191067864</v>
      </c>
      <c r="AB409" s="4">
        <f>$K$409*$V$409</f>
        <v>0</v>
      </c>
      <c r="AC409" s="4">
        <f>$M$409*$W$409</f>
        <v>76404.516459999999</v>
      </c>
      <c r="AD409" s="4">
        <f>$O$409*$X$409</f>
        <v>60159.332350000004</v>
      </c>
      <c r="AE409" s="4">
        <f>$K$409*$Y$409</f>
        <v>0</v>
      </c>
      <c r="AF409" s="4">
        <f ca="1">$M$409*$Z$409</f>
        <v>88473.663246958575</v>
      </c>
      <c r="AG409" s="4">
        <f>$O$409*$AA$409</f>
        <v>44065.302434840101</v>
      </c>
    </row>
    <row r="410" spans="1:33" ht="11.25" customHeight="1" x14ac:dyDescent="0.3">
      <c r="A410" s="3" t="s">
        <v>53</v>
      </c>
      <c r="B410" s="3" t="s">
        <v>32</v>
      </c>
      <c r="C410" s="3" t="s">
        <v>23</v>
      </c>
      <c r="D410" s="3" t="s">
        <v>39</v>
      </c>
      <c r="E410" s="3" t="s">
        <v>25</v>
      </c>
      <c r="F410" s="3" t="s">
        <v>25</v>
      </c>
      <c r="G410" s="3" t="s">
        <v>25</v>
      </c>
      <c r="H410" s="3" t="s">
        <v>25</v>
      </c>
      <c r="I410" s="6">
        <v>44774</v>
      </c>
      <c r="J410" s="4">
        <v>0</v>
      </c>
      <c r="K410" s="4">
        <v>0</v>
      </c>
      <c r="L410" s="4">
        <v>40.728999999999999</v>
      </c>
      <c r="M410" s="4">
        <v>40.728999999999999</v>
      </c>
      <c r="N410" s="4">
        <v>40.728999999999999</v>
      </c>
      <c r="O410" s="4">
        <v>40.728999999999999</v>
      </c>
      <c r="P410" s="4">
        <v>79</v>
      </c>
      <c r="Q410" s="3" t="s">
        <v>26</v>
      </c>
      <c r="R410" s="3">
        <v>0</v>
      </c>
      <c r="S410" s="4">
        <v>0</v>
      </c>
      <c r="T410" s="4">
        <v>27</v>
      </c>
      <c r="U410" s="4">
        <v>76</v>
      </c>
      <c r="V410" s="4">
        <f>IF(ISERROR(VLOOKUP($S$410,'TAR FIN'!$A$1:$O$85,15,0)),0,VLOOKUP($S$410,'TAR FIN'!$A$1:$O$85,15,0))</f>
        <v>0</v>
      </c>
      <c r="W410" s="4">
        <f>IF(ISERROR(VLOOKUP($T$410,'TAR FIN'!$A$1:$O$85,15,0)),0,VLOOKUP($T$410,'TAR FIN'!$A$1:$O$85,15,0))</f>
        <v>370.66</v>
      </c>
      <c r="X410" s="4">
        <f>IF(ISERROR(VLOOKUP($U$410,'TAR FIN'!$A$1:$O$85,15,0)),0,VLOOKUP($U$410,'TAR FIN'!$A$1:$O$85,15,0))</f>
        <v>291.85000000000002</v>
      </c>
      <c r="Y410" s="4"/>
      <c r="Z410" s="4">
        <f ca="1">('TUSD BE'!$AM$48+'TUSD BF'!$AM$48+'TUSD CVA'!$AM$48)*1</f>
        <v>429.2108574011603</v>
      </c>
      <c r="AA410" s="4">
        <f>('TE BE'!$AB$39+'TE BF'!$AB$39+'TE CVA'!$AB$39)*1</f>
        <v>213.77329191067864</v>
      </c>
      <c r="AB410" s="4">
        <f>$K$410*$V$410</f>
        <v>0</v>
      </c>
      <c r="AC410" s="4">
        <f>$M$410*$W$410</f>
        <v>15096.611140000001</v>
      </c>
      <c r="AD410" s="4">
        <f>$O$410*$X$410</f>
        <v>11886.758650000002</v>
      </c>
      <c r="AE410" s="4">
        <f>$K$410*$Y$410</f>
        <v>0</v>
      </c>
      <c r="AF410" s="4">
        <f ca="1">$M$410*$Z$410</f>
        <v>17481.329011091857</v>
      </c>
      <c r="AG410" s="4">
        <f>$O$410*$AA$410</f>
        <v>8706.7724062300294</v>
      </c>
    </row>
    <row r="411" spans="1:33" ht="11.25" customHeight="1" x14ac:dyDescent="0.3">
      <c r="A411" s="3" t="s">
        <v>21</v>
      </c>
      <c r="B411" s="3" t="s">
        <v>32</v>
      </c>
      <c r="C411" s="3" t="s">
        <v>23</v>
      </c>
      <c r="D411" s="3" t="s">
        <v>49</v>
      </c>
      <c r="E411" s="3" t="s">
        <v>25</v>
      </c>
      <c r="F411" s="3" t="s">
        <v>25</v>
      </c>
      <c r="G411" s="3" t="s">
        <v>25</v>
      </c>
      <c r="H411" s="3" t="s">
        <v>25</v>
      </c>
      <c r="I411" s="6">
        <v>44440</v>
      </c>
      <c r="J411" s="4">
        <v>0</v>
      </c>
      <c r="K411" s="4">
        <v>0</v>
      </c>
      <c r="L411" s="4">
        <v>2.9140000000000001</v>
      </c>
      <c r="M411" s="4">
        <v>2.9140000000000001</v>
      </c>
      <c r="N411" s="4">
        <v>2.9140000000000001</v>
      </c>
      <c r="O411" s="4">
        <v>2.9140000000000001</v>
      </c>
      <c r="P411" s="4">
        <v>5</v>
      </c>
      <c r="Q411" s="3" t="s">
        <v>26</v>
      </c>
      <c r="R411" s="3">
        <v>0</v>
      </c>
      <c r="S411" s="4">
        <v>0</v>
      </c>
      <c r="T411" s="4">
        <v>27</v>
      </c>
      <c r="U411" s="4">
        <v>76</v>
      </c>
      <c r="V411" s="4">
        <f>IF(ISERROR(VLOOKUP($S$411,'TAR FIN'!$A$1:$O$85,15,0)),0,VLOOKUP($S$411,'TAR FIN'!$A$1:$O$85,15,0))</f>
        <v>0</v>
      </c>
      <c r="W411" s="4">
        <f>IF(ISERROR(VLOOKUP($T$411,'TAR FIN'!$A$1:$O$85,15,0)),0,VLOOKUP($T$411,'TAR FIN'!$A$1:$O$85,15,0))</f>
        <v>370.66</v>
      </c>
      <c r="X411" s="4">
        <f>IF(ISERROR(VLOOKUP($U$411,'TAR FIN'!$A$1:$O$85,15,0)),0,VLOOKUP($U$411,'TAR FIN'!$A$1:$O$85,15,0))</f>
        <v>291.85000000000002</v>
      </c>
      <c r="Y411" s="4"/>
      <c r="Z411" s="4">
        <f ca="1">('TUSD BE'!$AM$48+'TUSD BF'!$AM$48+'TUSD CVA'!$AM$48)*1</f>
        <v>429.2108574011603</v>
      </c>
      <c r="AA411" s="4">
        <f>('TE BE'!$AB$39+'TE BF'!$AB$39+'TE CVA'!$AB$39)*1</f>
        <v>213.77329191067864</v>
      </c>
      <c r="AB411" s="4">
        <f>$K$411*$V$411</f>
        <v>0</v>
      </c>
      <c r="AC411" s="4">
        <f>$M$411*$W$411</f>
        <v>1080.1032400000001</v>
      </c>
      <c r="AD411" s="4">
        <f>$O$411*$X$411</f>
        <v>850.45090000000016</v>
      </c>
      <c r="AE411" s="4">
        <f>$K$411*$Y$411</f>
        <v>0</v>
      </c>
      <c r="AF411" s="4">
        <f ca="1">$M$411*$Z$411</f>
        <v>1250.7204384669812</v>
      </c>
      <c r="AG411" s="4">
        <f>$O$411*$AA$411</f>
        <v>622.93537262771758</v>
      </c>
    </row>
    <row r="412" spans="1:33" ht="11.25" customHeight="1" x14ac:dyDescent="0.3">
      <c r="A412" s="3" t="s">
        <v>21</v>
      </c>
      <c r="B412" s="3" t="s">
        <v>32</v>
      </c>
      <c r="C412" s="3" t="s">
        <v>23</v>
      </c>
      <c r="D412" s="3" t="s">
        <v>49</v>
      </c>
      <c r="E412" s="3" t="s">
        <v>25</v>
      </c>
      <c r="F412" s="3" t="s">
        <v>25</v>
      </c>
      <c r="G412" s="3" t="s">
        <v>25</v>
      </c>
      <c r="H412" s="3" t="s">
        <v>25</v>
      </c>
      <c r="I412" s="6">
        <v>44470</v>
      </c>
      <c r="J412" s="4">
        <v>0</v>
      </c>
      <c r="K412" s="4">
        <v>0</v>
      </c>
      <c r="L412" s="4">
        <v>3.1989999999999998</v>
      </c>
      <c r="M412" s="4">
        <v>3.1989999999999998</v>
      </c>
      <c r="N412" s="4">
        <v>3.1989999999999998</v>
      </c>
      <c r="O412" s="4">
        <v>3.1989999999999998</v>
      </c>
      <c r="P412" s="4">
        <v>5</v>
      </c>
      <c r="Q412" s="3" t="s">
        <v>26</v>
      </c>
      <c r="R412" s="3">
        <v>0</v>
      </c>
      <c r="S412" s="4">
        <v>0</v>
      </c>
      <c r="T412" s="4">
        <v>27</v>
      </c>
      <c r="U412" s="4">
        <v>76</v>
      </c>
      <c r="V412" s="4">
        <f>IF(ISERROR(VLOOKUP($S$412,'TAR FIN'!$A$1:$O$85,15,0)),0,VLOOKUP($S$412,'TAR FIN'!$A$1:$O$85,15,0))</f>
        <v>0</v>
      </c>
      <c r="W412" s="4">
        <f>IF(ISERROR(VLOOKUP($T$412,'TAR FIN'!$A$1:$O$85,15,0)),0,VLOOKUP($T$412,'TAR FIN'!$A$1:$O$85,15,0))</f>
        <v>370.66</v>
      </c>
      <c r="X412" s="4">
        <f>IF(ISERROR(VLOOKUP($U$412,'TAR FIN'!$A$1:$O$85,15,0)),0,VLOOKUP($U$412,'TAR FIN'!$A$1:$O$85,15,0))</f>
        <v>291.85000000000002</v>
      </c>
      <c r="Y412" s="4"/>
      <c r="Z412" s="4">
        <f ca="1">('TUSD BE'!$AM$48+'TUSD BF'!$AM$48+'TUSD CVA'!$AM$48)*1</f>
        <v>429.2108574011603</v>
      </c>
      <c r="AA412" s="4">
        <f>('TE BE'!$AB$39+'TE BF'!$AB$39+'TE CVA'!$AB$39)*1</f>
        <v>213.77329191067864</v>
      </c>
      <c r="AB412" s="4">
        <f>$K$412*$V$412</f>
        <v>0</v>
      </c>
      <c r="AC412" s="4">
        <f>$M$412*$W$412</f>
        <v>1185.74134</v>
      </c>
      <c r="AD412" s="4">
        <f>$O$412*$X$412</f>
        <v>933.62815000000001</v>
      </c>
      <c r="AE412" s="4">
        <f>$K$412*$Y$412</f>
        <v>0</v>
      </c>
      <c r="AF412" s="4">
        <f ca="1">$M$412*$Z$412</f>
        <v>1373.0455328263117</v>
      </c>
      <c r="AG412" s="4">
        <f>$O$412*$AA$412</f>
        <v>683.86076082226089</v>
      </c>
    </row>
    <row r="413" spans="1:33" ht="11.25" customHeight="1" x14ac:dyDescent="0.3">
      <c r="A413" s="3" t="s">
        <v>21</v>
      </c>
      <c r="B413" s="3" t="s">
        <v>32</v>
      </c>
      <c r="C413" s="3" t="s">
        <v>23</v>
      </c>
      <c r="D413" s="3" t="s">
        <v>49</v>
      </c>
      <c r="E413" s="3" t="s">
        <v>25</v>
      </c>
      <c r="F413" s="3" t="s">
        <v>25</v>
      </c>
      <c r="G413" s="3" t="s">
        <v>25</v>
      </c>
      <c r="H413" s="3" t="s">
        <v>25</v>
      </c>
      <c r="I413" s="6">
        <v>44501</v>
      </c>
      <c r="J413" s="4">
        <v>0</v>
      </c>
      <c r="K413" s="4">
        <v>0</v>
      </c>
      <c r="L413" s="4">
        <v>3.5139999999999998</v>
      </c>
      <c r="M413" s="4">
        <v>3.5139999999999998</v>
      </c>
      <c r="N413" s="4">
        <v>3.5139999999999998</v>
      </c>
      <c r="O413" s="4">
        <v>3.5139999999999998</v>
      </c>
      <c r="P413" s="4">
        <v>5</v>
      </c>
      <c r="Q413" s="3" t="s">
        <v>26</v>
      </c>
      <c r="R413" s="3">
        <v>0</v>
      </c>
      <c r="S413" s="4">
        <v>0</v>
      </c>
      <c r="T413" s="4">
        <v>27</v>
      </c>
      <c r="U413" s="4">
        <v>76</v>
      </c>
      <c r="V413" s="4">
        <f>IF(ISERROR(VLOOKUP($S$413,'TAR FIN'!$A$1:$O$85,15,0)),0,VLOOKUP($S$413,'TAR FIN'!$A$1:$O$85,15,0))</f>
        <v>0</v>
      </c>
      <c r="W413" s="4">
        <f>IF(ISERROR(VLOOKUP($T$413,'TAR FIN'!$A$1:$O$85,15,0)),0,VLOOKUP($T$413,'TAR FIN'!$A$1:$O$85,15,0))</f>
        <v>370.66</v>
      </c>
      <c r="X413" s="4">
        <f>IF(ISERROR(VLOOKUP($U$413,'TAR FIN'!$A$1:$O$85,15,0)),0,VLOOKUP($U$413,'TAR FIN'!$A$1:$O$85,15,0))</f>
        <v>291.85000000000002</v>
      </c>
      <c r="Y413" s="4"/>
      <c r="Z413" s="4">
        <f ca="1">('TUSD BE'!$AM$48+'TUSD BF'!$AM$48+'TUSD CVA'!$AM$48)*1</f>
        <v>429.2108574011603</v>
      </c>
      <c r="AA413" s="4">
        <f>('TE BE'!$AB$39+'TE BF'!$AB$39+'TE CVA'!$AB$39)*1</f>
        <v>213.77329191067864</v>
      </c>
      <c r="AB413" s="4">
        <f>$K$413*$V$413</f>
        <v>0</v>
      </c>
      <c r="AC413" s="4">
        <f>$M$413*$W$413</f>
        <v>1302.4992400000001</v>
      </c>
      <c r="AD413" s="4">
        <f>$O$413*$X$413</f>
        <v>1025.5608999999999</v>
      </c>
      <c r="AE413" s="4">
        <f>$K$413*$Y$413</f>
        <v>0</v>
      </c>
      <c r="AF413" s="4">
        <f ca="1">$M$413*$Z$413</f>
        <v>1508.2469529076773</v>
      </c>
      <c r="AG413" s="4">
        <f>$O$413*$AA$413</f>
        <v>751.1993477741247</v>
      </c>
    </row>
    <row r="414" spans="1:33" ht="11.25" customHeight="1" x14ac:dyDescent="0.3">
      <c r="A414" s="3" t="s">
        <v>21</v>
      </c>
      <c r="B414" s="3" t="s">
        <v>32</v>
      </c>
      <c r="C414" s="3" t="s">
        <v>23</v>
      </c>
      <c r="D414" s="3" t="s">
        <v>49</v>
      </c>
      <c r="E414" s="3" t="s">
        <v>25</v>
      </c>
      <c r="F414" s="3" t="s">
        <v>25</v>
      </c>
      <c r="G414" s="3" t="s">
        <v>25</v>
      </c>
      <c r="H414" s="3" t="s">
        <v>25</v>
      </c>
      <c r="I414" s="6">
        <v>44531</v>
      </c>
      <c r="J414" s="4">
        <v>0</v>
      </c>
      <c r="K414" s="4">
        <v>0</v>
      </c>
      <c r="L414" s="4">
        <v>3.7909999999999999</v>
      </c>
      <c r="M414" s="4">
        <v>3.7909999999999999</v>
      </c>
      <c r="N414" s="4">
        <v>3.7909999999999999</v>
      </c>
      <c r="O414" s="4">
        <v>3.7909999999999999</v>
      </c>
      <c r="P414" s="4">
        <v>5</v>
      </c>
      <c r="Q414" s="3" t="s">
        <v>26</v>
      </c>
      <c r="R414" s="3">
        <v>0</v>
      </c>
      <c r="S414" s="4">
        <v>0</v>
      </c>
      <c r="T414" s="4">
        <v>27</v>
      </c>
      <c r="U414" s="4">
        <v>76</v>
      </c>
      <c r="V414" s="4">
        <f>IF(ISERROR(VLOOKUP($S$414,'TAR FIN'!$A$1:$O$85,15,0)),0,VLOOKUP($S$414,'TAR FIN'!$A$1:$O$85,15,0))</f>
        <v>0</v>
      </c>
      <c r="W414" s="4">
        <f>IF(ISERROR(VLOOKUP($T$414,'TAR FIN'!$A$1:$O$85,15,0)),0,VLOOKUP($T$414,'TAR FIN'!$A$1:$O$85,15,0))</f>
        <v>370.66</v>
      </c>
      <c r="X414" s="4">
        <f>IF(ISERROR(VLOOKUP($U$414,'TAR FIN'!$A$1:$O$85,15,0)),0,VLOOKUP($U$414,'TAR FIN'!$A$1:$O$85,15,0))</f>
        <v>291.85000000000002</v>
      </c>
      <c r="Y414" s="4"/>
      <c r="Z414" s="4">
        <f ca="1">('TUSD BE'!$AM$48+'TUSD BF'!$AM$48+'TUSD CVA'!$AM$48)*1</f>
        <v>429.2108574011603</v>
      </c>
      <c r="AA414" s="4">
        <f>('TE BE'!$AB$39+'TE BF'!$AB$39+'TE CVA'!$AB$39)*1</f>
        <v>213.77329191067864</v>
      </c>
      <c r="AB414" s="4">
        <f>$K$414*$V$414</f>
        <v>0</v>
      </c>
      <c r="AC414" s="4">
        <f>$M$414*$W$414</f>
        <v>1405.1720600000001</v>
      </c>
      <c r="AD414" s="4">
        <f>$O$414*$X$414</f>
        <v>1106.40335</v>
      </c>
      <c r="AE414" s="4">
        <f>$K$414*$Y$414</f>
        <v>0</v>
      </c>
      <c r="AF414" s="4">
        <f ca="1">$M$414*$Z$414</f>
        <v>1627.1383604077987</v>
      </c>
      <c r="AG414" s="4">
        <f>$O$414*$AA$414</f>
        <v>810.41454963338265</v>
      </c>
    </row>
    <row r="415" spans="1:33" ht="11.25" customHeight="1" x14ac:dyDescent="0.3">
      <c r="A415" s="3" t="s">
        <v>21</v>
      </c>
      <c r="B415" s="3" t="s">
        <v>32</v>
      </c>
      <c r="C415" s="3" t="s">
        <v>23</v>
      </c>
      <c r="D415" s="3" t="s">
        <v>49</v>
      </c>
      <c r="E415" s="3" t="s">
        <v>25</v>
      </c>
      <c r="F415" s="3" t="s">
        <v>25</v>
      </c>
      <c r="G415" s="3" t="s">
        <v>25</v>
      </c>
      <c r="H415" s="3" t="s">
        <v>25</v>
      </c>
      <c r="I415" s="6">
        <v>44562</v>
      </c>
      <c r="J415" s="4">
        <v>0</v>
      </c>
      <c r="K415" s="4">
        <v>0</v>
      </c>
      <c r="L415" s="4">
        <v>4.1710000000000003</v>
      </c>
      <c r="M415" s="4">
        <v>4.1710000000000003</v>
      </c>
      <c r="N415" s="4">
        <v>4.1710000000000003</v>
      </c>
      <c r="O415" s="4">
        <v>4.1710000000000003</v>
      </c>
      <c r="P415" s="4">
        <v>5</v>
      </c>
      <c r="Q415" s="3" t="s">
        <v>26</v>
      </c>
      <c r="R415" s="3">
        <v>0</v>
      </c>
      <c r="S415" s="4">
        <v>0</v>
      </c>
      <c r="T415" s="4">
        <v>27</v>
      </c>
      <c r="U415" s="4">
        <v>76</v>
      </c>
      <c r="V415" s="4">
        <f>IF(ISERROR(VLOOKUP($S$415,'TAR FIN'!$A$1:$O$85,15,0)),0,VLOOKUP($S$415,'TAR FIN'!$A$1:$O$85,15,0))</f>
        <v>0</v>
      </c>
      <c r="W415" s="4">
        <f>IF(ISERROR(VLOOKUP($T$415,'TAR FIN'!$A$1:$O$85,15,0)),0,VLOOKUP($T$415,'TAR FIN'!$A$1:$O$85,15,0))</f>
        <v>370.66</v>
      </c>
      <c r="X415" s="4">
        <f>IF(ISERROR(VLOOKUP($U$415,'TAR FIN'!$A$1:$O$85,15,0)),0,VLOOKUP($U$415,'TAR FIN'!$A$1:$O$85,15,0))</f>
        <v>291.85000000000002</v>
      </c>
      <c r="Y415" s="4"/>
      <c r="Z415" s="4">
        <f ca="1">('TUSD BE'!$AM$48+'TUSD BF'!$AM$48+'TUSD CVA'!$AM$48)*1</f>
        <v>429.2108574011603</v>
      </c>
      <c r="AA415" s="4">
        <f>('TE BE'!$AB$39+'TE BF'!$AB$39+'TE CVA'!$AB$39)*1</f>
        <v>213.77329191067864</v>
      </c>
      <c r="AB415" s="4">
        <f>$K$415*$V$415</f>
        <v>0</v>
      </c>
      <c r="AC415" s="4">
        <f>$M$415*$W$415</f>
        <v>1546.0228600000003</v>
      </c>
      <c r="AD415" s="4">
        <f>$O$415*$X$415</f>
        <v>1217.3063500000001</v>
      </c>
      <c r="AE415" s="4">
        <f>$K$415*$Y$415</f>
        <v>0</v>
      </c>
      <c r="AF415" s="4">
        <f ca="1">$M$415*$Z$415</f>
        <v>1790.2384862202398</v>
      </c>
      <c r="AG415" s="4">
        <f>$O$415*$AA$415</f>
        <v>891.64840055944069</v>
      </c>
    </row>
    <row r="416" spans="1:33" ht="11.25" customHeight="1" x14ac:dyDescent="0.3">
      <c r="A416" s="3" t="s">
        <v>21</v>
      </c>
      <c r="B416" s="3" t="s">
        <v>32</v>
      </c>
      <c r="C416" s="3" t="s">
        <v>23</v>
      </c>
      <c r="D416" s="3" t="s">
        <v>49</v>
      </c>
      <c r="E416" s="3" t="s">
        <v>25</v>
      </c>
      <c r="F416" s="3" t="s">
        <v>25</v>
      </c>
      <c r="G416" s="3" t="s">
        <v>25</v>
      </c>
      <c r="H416" s="3" t="s">
        <v>25</v>
      </c>
      <c r="I416" s="6">
        <v>44593</v>
      </c>
      <c r="J416" s="4">
        <v>0</v>
      </c>
      <c r="K416" s="4">
        <v>0</v>
      </c>
      <c r="L416" s="4">
        <v>6.1029999999999998</v>
      </c>
      <c r="M416" s="4">
        <v>6.1029999999999998</v>
      </c>
      <c r="N416" s="4">
        <v>6.1029999999999998</v>
      </c>
      <c r="O416" s="4">
        <v>6.1029999999999998</v>
      </c>
      <c r="P416" s="4">
        <v>5</v>
      </c>
      <c r="Q416" s="3" t="s">
        <v>26</v>
      </c>
      <c r="R416" s="3">
        <v>0</v>
      </c>
      <c r="S416" s="4">
        <v>0</v>
      </c>
      <c r="T416" s="4">
        <v>27</v>
      </c>
      <c r="U416" s="4">
        <v>76</v>
      </c>
      <c r="V416" s="4">
        <f>IF(ISERROR(VLOOKUP($S$416,'TAR FIN'!$A$1:$O$85,15,0)),0,VLOOKUP($S$416,'TAR FIN'!$A$1:$O$85,15,0))</f>
        <v>0</v>
      </c>
      <c r="W416" s="4">
        <f>IF(ISERROR(VLOOKUP($T$416,'TAR FIN'!$A$1:$O$85,15,0)),0,VLOOKUP($T$416,'TAR FIN'!$A$1:$O$85,15,0))</f>
        <v>370.66</v>
      </c>
      <c r="X416" s="4">
        <f>IF(ISERROR(VLOOKUP($U$416,'TAR FIN'!$A$1:$O$85,15,0)),0,VLOOKUP($U$416,'TAR FIN'!$A$1:$O$85,15,0))</f>
        <v>291.85000000000002</v>
      </c>
      <c r="Y416" s="4"/>
      <c r="Z416" s="4">
        <f ca="1">('TUSD BE'!$AM$48+'TUSD BF'!$AM$48+'TUSD CVA'!$AM$48)*1</f>
        <v>429.2108574011603</v>
      </c>
      <c r="AA416" s="4">
        <f>('TE BE'!$AB$39+'TE BF'!$AB$39+'TE CVA'!$AB$39)*1</f>
        <v>213.77329191067864</v>
      </c>
      <c r="AB416" s="4">
        <f>$K$416*$V$416</f>
        <v>0</v>
      </c>
      <c r="AC416" s="4">
        <f>$M$416*$W$416</f>
        <v>2262.13798</v>
      </c>
      <c r="AD416" s="4">
        <f>$O$416*$X$416</f>
        <v>1781.1605500000001</v>
      </c>
      <c r="AE416" s="4">
        <f>$K$416*$Y$416</f>
        <v>0</v>
      </c>
      <c r="AF416" s="4">
        <f ca="1">$M$416*$Z$416</f>
        <v>2619.473862719281</v>
      </c>
      <c r="AG416" s="4">
        <f>$O$416*$AA$416</f>
        <v>1304.6584005308716</v>
      </c>
    </row>
    <row r="417" spans="1:33" ht="11.25" customHeight="1" x14ac:dyDescent="0.3">
      <c r="A417" s="3" t="s">
        <v>21</v>
      </c>
      <c r="B417" s="3" t="s">
        <v>32</v>
      </c>
      <c r="C417" s="3" t="s">
        <v>23</v>
      </c>
      <c r="D417" s="3" t="s">
        <v>49</v>
      </c>
      <c r="E417" s="3" t="s">
        <v>25</v>
      </c>
      <c r="F417" s="3" t="s">
        <v>25</v>
      </c>
      <c r="G417" s="3" t="s">
        <v>25</v>
      </c>
      <c r="H417" s="3" t="s">
        <v>25</v>
      </c>
      <c r="I417" s="6">
        <v>44621</v>
      </c>
      <c r="J417" s="4">
        <v>0</v>
      </c>
      <c r="K417" s="4">
        <v>0</v>
      </c>
      <c r="L417" s="4">
        <v>5.08</v>
      </c>
      <c r="M417" s="4">
        <v>5.08</v>
      </c>
      <c r="N417" s="4">
        <v>5.08</v>
      </c>
      <c r="O417" s="4">
        <v>5.08</v>
      </c>
      <c r="P417" s="4">
        <v>5</v>
      </c>
      <c r="Q417" s="3" t="s">
        <v>26</v>
      </c>
      <c r="R417" s="3">
        <v>0</v>
      </c>
      <c r="S417" s="4">
        <v>0</v>
      </c>
      <c r="T417" s="4">
        <v>27</v>
      </c>
      <c r="U417" s="4">
        <v>76</v>
      </c>
      <c r="V417" s="4">
        <f>IF(ISERROR(VLOOKUP($S$417,'TAR FIN'!$A$1:$O$85,15,0)),0,VLOOKUP($S$417,'TAR FIN'!$A$1:$O$85,15,0))</f>
        <v>0</v>
      </c>
      <c r="W417" s="4">
        <f>IF(ISERROR(VLOOKUP($T$417,'TAR FIN'!$A$1:$O$85,15,0)),0,VLOOKUP($T$417,'TAR FIN'!$A$1:$O$85,15,0))</f>
        <v>370.66</v>
      </c>
      <c r="X417" s="4">
        <f>IF(ISERROR(VLOOKUP($U$417,'TAR FIN'!$A$1:$O$85,15,0)),0,VLOOKUP($U$417,'TAR FIN'!$A$1:$O$85,15,0))</f>
        <v>291.85000000000002</v>
      </c>
      <c r="Y417" s="4"/>
      <c r="Z417" s="4">
        <f ca="1">('TUSD BE'!$AM$48+'TUSD BF'!$AM$48+'TUSD CVA'!$AM$48)*1</f>
        <v>429.2108574011603</v>
      </c>
      <c r="AA417" s="4">
        <f>('TE BE'!$AB$39+'TE BF'!$AB$39+'TE CVA'!$AB$39)*1</f>
        <v>213.77329191067864</v>
      </c>
      <c r="AB417" s="4">
        <f>$K$417*$V$417</f>
        <v>0</v>
      </c>
      <c r="AC417" s="4">
        <f>$M$417*$W$417</f>
        <v>1882.9528000000003</v>
      </c>
      <c r="AD417" s="4">
        <f>$O$417*$X$417</f>
        <v>1482.5980000000002</v>
      </c>
      <c r="AE417" s="4">
        <f>$K$417*$Y$417</f>
        <v>0</v>
      </c>
      <c r="AF417" s="4">
        <f ca="1">$M$417*$Z$417</f>
        <v>2180.3911555978943</v>
      </c>
      <c r="AG417" s="4">
        <f>$O$417*$AA$417</f>
        <v>1085.9683229062475</v>
      </c>
    </row>
    <row r="418" spans="1:33" ht="11.25" customHeight="1" x14ac:dyDescent="0.3">
      <c r="A418" s="3" t="s">
        <v>21</v>
      </c>
      <c r="B418" s="3" t="s">
        <v>32</v>
      </c>
      <c r="C418" s="3" t="s">
        <v>23</v>
      </c>
      <c r="D418" s="3" t="s">
        <v>49</v>
      </c>
      <c r="E418" s="3" t="s">
        <v>25</v>
      </c>
      <c r="F418" s="3" t="s">
        <v>25</v>
      </c>
      <c r="G418" s="3" t="s">
        <v>25</v>
      </c>
      <c r="H418" s="3" t="s">
        <v>25</v>
      </c>
      <c r="I418" s="6">
        <v>44652</v>
      </c>
      <c r="J418" s="4">
        <v>0</v>
      </c>
      <c r="K418" s="4">
        <v>0</v>
      </c>
      <c r="L418" s="4">
        <v>3.653</v>
      </c>
      <c r="M418" s="4">
        <v>3.653</v>
      </c>
      <c r="N418" s="4">
        <v>3.653</v>
      </c>
      <c r="O418" s="4">
        <v>3.653</v>
      </c>
      <c r="P418" s="4">
        <v>5</v>
      </c>
      <c r="Q418" s="3" t="s">
        <v>26</v>
      </c>
      <c r="R418" s="3">
        <v>0</v>
      </c>
      <c r="S418" s="4">
        <v>0</v>
      </c>
      <c r="T418" s="4">
        <v>27</v>
      </c>
      <c r="U418" s="4">
        <v>76</v>
      </c>
      <c r="V418" s="4">
        <f>IF(ISERROR(VLOOKUP($S$418,'TAR FIN'!$A$1:$O$85,15,0)),0,VLOOKUP($S$418,'TAR FIN'!$A$1:$O$85,15,0))</f>
        <v>0</v>
      </c>
      <c r="W418" s="4">
        <f>IF(ISERROR(VLOOKUP($T$418,'TAR FIN'!$A$1:$O$85,15,0)),0,VLOOKUP($T$418,'TAR FIN'!$A$1:$O$85,15,0))</f>
        <v>370.66</v>
      </c>
      <c r="X418" s="4">
        <f>IF(ISERROR(VLOOKUP($U$418,'TAR FIN'!$A$1:$O$85,15,0)),0,VLOOKUP($U$418,'TAR FIN'!$A$1:$O$85,15,0))</f>
        <v>291.85000000000002</v>
      </c>
      <c r="Y418" s="4"/>
      <c r="Z418" s="4">
        <f ca="1">('TUSD BE'!$AM$48+'TUSD BF'!$AM$48+'TUSD CVA'!$AM$48)*1</f>
        <v>429.2108574011603</v>
      </c>
      <c r="AA418" s="4">
        <f>('TE BE'!$AB$39+'TE BF'!$AB$39+'TE CVA'!$AB$39)*1</f>
        <v>213.77329191067864</v>
      </c>
      <c r="AB418" s="4">
        <f>$K$418*$V$418</f>
        <v>0</v>
      </c>
      <c r="AC418" s="4">
        <f>$M$418*$W$418</f>
        <v>1354.02098</v>
      </c>
      <c r="AD418" s="4">
        <f>$O$418*$X$418</f>
        <v>1066.12805</v>
      </c>
      <c r="AE418" s="4">
        <f>$K$418*$Y$418</f>
        <v>0</v>
      </c>
      <c r="AF418" s="4">
        <f ca="1">$M$418*$Z$418</f>
        <v>1567.9072620864385</v>
      </c>
      <c r="AG418" s="4">
        <f>$O$418*$AA$418</f>
        <v>780.91383534970907</v>
      </c>
    </row>
    <row r="419" spans="1:33" ht="11.25" customHeight="1" x14ac:dyDescent="0.3">
      <c r="A419" s="3" t="s">
        <v>21</v>
      </c>
      <c r="B419" s="3" t="s">
        <v>32</v>
      </c>
      <c r="C419" s="3" t="s">
        <v>23</v>
      </c>
      <c r="D419" s="3" t="s">
        <v>49</v>
      </c>
      <c r="E419" s="3" t="s">
        <v>25</v>
      </c>
      <c r="F419" s="3" t="s">
        <v>25</v>
      </c>
      <c r="G419" s="3" t="s">
        <v>25</v>
      </c>
      <c r="H419" s="3" t="s">
        <v>25</v>
      </c>
      <c r="I419" s="6">
        <v>44682</v>
      </c>
      <c r="J419" s="4">
        <v>0</v>
      </c>
      <c r="K419" s="4">
        <v>0</v>
      </c>
      <c r="L419" s="4">
        <v>3.3069999999999999</v>
      </c>
      <c r="M419" s="4">
        <v>3.3069999999999999</v>
      </c>
      <c r="N419" s="4">
        <v>3.3069999999999999</v>
      </c>
      <c r="O419" s="4">
        <v>3.3069999999999999</v>
      </c>
      <c r="P419" s="4">
        <v>5</v>
      </c>
      <c r="Q419" s="3" t="s">
        <v>26</v>
      </c>
      <c r="R419" s="3">
        <v>0</v>
      </c>
      <c r="S419" s="4">
        <v>0</v>
      </c>
      <c r="T419" s="4">
        <v>27</v>
      </c>
      <c r="U419" s="4">
        <v>76</v>
      </c>
      <c r="V419" s="4">
        <f>IF(ISERROR(VLOOKUP($S$419,'TAR FIN'!$A$1:$O$85,15,0)),0,VLOOKUP($S$419,'TAR FIN'!$A$1:$O$85,15,0))</f>
        <v>0</v>
      </c>
      <c r="W419" s="4">
        <f>IF(ISERROR(VLOOKUP($T$419,'TAR FIN'!$A$1:$O$85,15,0)),0,VLOOKUP($T$419,'TAR FIN'!$A$1:$O$85,15,0))</f>
        <v>370.66</v>
      </c>
      <c r="X419" s="4">
        <f>IF(ISERROR(VLOOKUP($U$419,'TAR FIN'!$A$1:$O$85,15,0)),0,VLOOKUP($U$419,'TAR FIN'!$A$1:$O$85,15,0))</f>
        <v>291.85000000000002</v>
      </c>
      <c r="Y419" s="4"/>
      <c r="Z419" s="4">
        <f ca="1">('TUSD BE'!$AM$48+'TUSD BF'!$AM$48+'TUSD CVA'!$AM$48)*1</f>
        <v>429.2108574011603</v>
      </c>
      <c r="AA419" s="4">
        <f>('TE BE'!$AB$39+'TE BF'!$AB$39+'TE CVA'!$AB$39)*1</f>
        <v>213.77329191067864</v>
      </c>
      <c r="AB419" s="4">
        <f>$K$419*$V$419</f>
        <v>0</v>
      </c>
      <c r="AC419" s="4">
        <f>$M$419*$W$419</f>
        <v>1225.77262</v>
      </c>
      <c r="AD419" s="4">
        <f>$O$419*$X$419</f>
        <v>965.14795000000004</v>
      </c>
      <c r="AE419" s="4">
        <f>$K$419*$Y$419</f>
        <v>0</v>
      </c>
      <c r="AF419" s="4">
        <f ca="1">$M$419*$Z$419</f>
        <v>1419.400305425637</v>
      </c>
      <c r="AG419" s="4">
        <f>$O$419*$AA$419</f>
        <v>706.94827634861429</v>
      </c>
    </row>
    <row r="420" spans="1:33" ht="11.25" customHeight="1" x14ac:dyDescent="0.3">
      <c r="A420" s="3" t="s">
        <v>21</v>
      </c>
      <c r="B420" s="3" t="s">
        <v>32</v>
      </c>
      <c r="C420" s="3" t="s">
        <v>23</v>
      </c>
      <c r="D420" s="3" t="s">
        <v>49</v>
      </c>
      <c r="E420" s="3" t="s">
        <v>25</v>
      </c>
      <c r="F420" s="3" t="s">
        <v>25</v>
      </c>
      <c r="G420" s="3" t="s">
        <v>25</v>
      </c>
      <c r="H420" s="3" t="s">
        <v>25</v>
      </c>
      <c r="I420" s="6">
        <v>44713</v>
      </c>
      <c r="J420" s="4">
        <v>0</v>
      </c>
      <c r="K420" s="4">
        <v>0</v>
      </c>
      <c r="L420" s="4">
        <v>3.492</v>
      </c>
      <c r="M420" s="4">
        <v>3.492</v>
      </c>
      <c r="N420" s="4">
        <v>3.492</v>
      </c>
      <c r="O420" s="4">
        <v>3.492</v>
      </c>
      <c r="P420" s="4">
        <v>5</v>
      </c>
      <c r="Q420" s="3" t="s">
        <v>26</v>
      </c>
      <c r="R420" s="3">
        <v>0</v>
      </c>
      <c r="S420" s="4">
        <v>0</v>
      </c>
      <c r="T420" s="4">
        <v>27</v>
      </c>
      <c r="U420" s="4">
        <v>76</v>
      </c>
      <c r="V420" s="4">
        <f>IF(ISERROR(VLOOKUP($S$420,'TAR FIN'!$A$1:$O$85,15,0)),0,VLOOKUP($S$420,'TAR FIN'!$A$1:$O$85,15,0))</f>
        <v>0</v>
      </c>
      <c r="W420" s="4">
        <f>IF(ISERROR(VLOOKUP($T$420,'TAR FIN'!$A$1:$O$85,15,0)),0,VLOOKUP($T$420,'TAR FIN'!$A$1:$O$85,15,0))</f>
        <v>370.66</v>
      </c>
      <c r="X420" s="4">
        <f>IF(ISERROR(VLOOKUP($U$420,'TAR FIN'!$A$1:$O$85,15,0)),0,VLOOKUP($U$420,'TAR FIN'!$A$1:$O$85,15,0))</f>
        <v>291.85000000000002</v>
      </c>
      <c r="Y420" s="4"/>
      <c r="Z420" s="4">
        <f ca="1">('TUSD BE'!$AM$48+'TUSD BF'!$AM$48+'TUSD CVA'!$AM$48)*1</f>
        <v>429.2108574011603</v>
      </c>
      <c r="AA420" s="4">
        <f>('TE BE'!$AB$39+'TE BF'!$AB$39+'TE CVA'!$AB$39)*1</f>
        <v>213.77329191067864</v>
      </c>
      <c r="AB420" s="4">
        <f>$K$420*$V$420</f>
        <v>0</v>
      </c>
      <c r="AC420" s="4">
        <f>$M$420*$W$420</f>
        <v>1294.3447200000001</v>
      </c>
      <c r="AD420" s="4">
        <f>$O$420*$X$420</f>
        <v>1019.1402</v>
      </c>
      <c r="AE420" s="4">
        <f>$K$420*$Y$420</f>
        <v>0</v>
      </c>
      <c r="AF420" s="4">
        <f ca="1">$M$420*$Z$420</f>
        <v>1498.8043140448517</v>
      </c>
      <c r="AG420" s="4">
        <f>$O$420*$AA$420</f>
        <v>746.49633535208977</v>
      </c>
    </row>
    <row r="421" spans="1:33" ht="11.25" customHeight="1" x14ac:dyDescent="0.3">
      <c r="A421" s="3" t="s">
        <v>21</v>
      </c>
      <c r="B421" s="3" t="s">
        <v>32</v>
      </c>
      <c r="C421" s="3" t="s">
        <v>23</v>
      </c>
      <c r="D421" s="3" t="s">
        <v>49</v>
      </c>
      <c r="E421" s="3" t="s">
        <v>25</v>
      </c>
      <c r="F421" s="3" t="s">
        <v>25</v>
      </c>
      <c r="G421" s="3" t="s">
        <v>25</v>
      </c>
      <c r="H421" s="3" t="s">
        <v>25</v>
      </c>
      <c r="I421" s="6">
        <v>44743</v>
      </c>
      <c r="J421" s="4">
        <v>0</v>
      </c>
      <c r="K421" s="4">
        <v>0</v>
      </c>
      <c r="L421" s="4">
        <v>3.4340000000000002</v>
      </c>
      <c r="M421" s="4">
        <v>3.4340000000000002</v>
      </c>
      <c r="N421" s="4">
        <v>3.4340000000000002</v>
      </c>
      <c r="O421" s="4">
        <v>3.4340000000000002</v>
      </c>
      <c r="P421" s="4">
        <v>5</v>
      </c>
      <c r="Q421" s="3" t="s">
        <v>26</v>
      </c>
      <c r="R421" s="3">
        <v>0</v>
      </c>
      <c r="S421" s="4">
        <v>0</v>
      </c>
      <c r="T421" s="4">
        <v>27</v>
      </c>
      <c r="U421" s="4">
        <v>76</v>
      </c>
      <c r="V421" s="4">
        <f>IF(ISERROR(VLOOKUP($S$421,'TAR FIN'!$A$1:$O$85,15,0)),0,VLOOKUP($S$421,'TAR FIN'!$A$1:$O$85,15,0))</f>
        <v>0</v>
      </c>
      <c r="W421" s="4">
        <f>IF(ISERROR(VLOOKUP($T$421,'TAR FIN'!$A$1:$O$85,15,0)),0,VLOOKUP($T$421,'TAR FIN'!$A$1:$O$85,15,0))</f>
        <v>370.66</v>
      </c>
      <c r="X421" s="4">
        <f>IF(ISERROR(VLOOKUP($U$421,'TAR FIN'!$A$1:$O$85,15,0)),0,VLOOKUP($U$421,'TAR FIN'!$A$1:$O$85,15,0))</f>
        <v>291.85000000000002</v>
      </c>
      <c r="Y421" s="4"/>
      <c r="Z421" s="4">
        <f ca="1">('TUSD BE'!$AM$48+'TUSD BF'!$AM$48+'TUSD CVA'!$AM$48)*1</f>
        <v>429.2108574011603</v>
      </c>
      <c r="AA421" s="4">
        <f>('TE BE'!$AB$39+'TE BF'!$AB$39+'TE CVA'!$AB$39)*1</f>
        <v>213.77329191067864</v>
      </c>
      <c r="AB421" s="4">
        <f>$K$421*$V$421</f>
        <v>0</v>
      </c>
      <c r="AC421" s="4">
        <f>$M$421*$W$421</f>
        <v>1272.8464400000003</v>
      </c>
      <c r="AD421" s="4">
        <f>$O$421*$X$421</f>
        <v>1002.2129000000001</v>
      </c>
      <c r="AE421" s="4">
        <f>$K$421*$Y$421</f>
        <v>0</v>
      </c>
      <c r="AF421" s="4">
        <f ca="1">$M$421*$Z$421</f>
        <v>1473.9100843155845</v>
      </c>
      <c r="AG421" s="4">
        <f>$O$421*$AA$421</f>
        <v>734.09748442127045</v>
      </c>
    </row>
    <row r="422" spans="1:33" ht="11.25" customHeight="1" x14ac:dyDescent="0.3">
      <c r="A422" s="3" t="s">
        <v>53</v>
      </c>
      <c r="B422" s="3" t="s">
        <v>32</v>
      </c>
      <c r="C422" s="3" t="s">
        <v>23</v>
      </c>
      <c r="D422" s="3" t="s">
        <v>49</v>
      </c>
      <c r="E422" s="3" t="s">
        <v>25</v>
      </c>
      <c r="F422" s="3" t="s">
        <v>25</v>
      </c>
      <c r="G422" s="3" t="s">
        <v>25</v>
      </c>
      <c r="H422" s="3" t="s">
        <v>25</v>
      </c>
      <c r="I422" s="6">
        <v>44774</v>
      </c>
      <c r="J422" s="4">
        <v>0</v>
      </c>
      <c r="K422" s="4">
        <v>0</v>
      </c>
      <c r="L422" s="4">
        <v>3.4340000000000002</v>
      </c>
      <c r="M422" s="4">
        <v>3.4340000000000002</v>
      </c>
      <c r="N422" s="4">
        <v>3.4340000000000002</v>
      </c>
      <c r="O422" s="4">
        <v>3.4340000000000002</v>
      </c>
      <c r="P422" s="4">
        <v>5</v>
      </c>
      <c r="Q422" s="3" t="s">
        <v>26</v>
      </c>
      <c r="R422" s="3">
        <v>0</v>
      </c>
      <c r="S422" s="4">
        <v>0</v>
      </c>
      <c r="T422" s="4">
        <v>27</v>
      </c>
      <c r="U422" s="4">
        <v>76</v>
      </c>
      <c r="V422" s="4">
        <f>IF(ISERROR(VLOOKUP($S$422,'TAR FIN'!$A$1:$O$85,15,0)),0,VLOOKUP($S$422,'TAR FIN'!$A$1:$O$85,15,0))</f>
        <v>0</v>
      </c>
      <c r="W422" s="4">
        <f>IF(ISERROR(VLOOKUP($T$422,'TAR FIN'!$A$1:$O$85,15,0)),0,VLOOKUP($T$422,'TAR FIN'!$A$1:$O$85,15,0))</f>
        <v>370.66</v>
      </c>
      <c r="X422" s="4">
        <f>IF(ISERROR(VLOOKUP($U$422,'TAR FIN'!$A$1:$O$85,15,0)),0,VLOOKUP($U$422,'TAR FIN'!$A$1:$O$85,15,0))</f>
        <v>291.85000000000002</v>
      </c>
      <c r="Y422" s="4"/>
      <c r="Z422" s="4">
        <f ca="1">('TUSD BE'!$AM$48+'TUSD BF'!$AM$48+'TUSD CVA'!$AM$48)*1</f>
        <v>429.2108574011603</v>
      </c>
      <c r="AA422" s="4">
        <f>('TE BE'!$AB$39+'TE BF'!$AB$39+'TE CVA'!$AB$39)*1</f>
        <v>213.77329191067864</v>
      </c>
      <c r="AB422" s="4">
        <f>$K$422*$V$422</f>
        <v>0</v>
      </c>
      <c r="AC422" s="4">
        <f>$M$422*$W$422</f>
        <v>1272.8464400000003</v>
      </c>
      <c r="AD422" s="4">
        <f>$O$422*$X$422</f>
        <v>1002.2129000000001</v>
      </c>
      <c r="AE422" s="4">
        <f>$K$422*$Y$422</f>
        <v>0</v>
      </c>
      <c r="AF422" s="4">
        <f ca="1">$M$422*$Z$422</f>
        <v>1473.9100843155845</v>
      </c>
      <c r="AG422" s="4">
        <f>$O$422*$AA$422</f>
        <v>734.09748442127045</v>
      </c>
    </row>
    <row r="423" spans="1:33" ht="11.25" customHeight="1" x14ac:dyDescent="0.3">
      <c r="A423" s="3" t="s">
        <v>21</v>
      </c>
      <c r="B423" s="3" t="s">
        <v>32</v>
      </c>
      <c r="C423" s="3" t="s">
        <v>23</v>
      </c>
      <c r="D423" s="3" t="s">
        <v>33</v>
      </c>
      <c r="E423" s="3" t="s">
        <v>25</v>
      </c>
      <c r="F423" s="3" t="s">
        <v>25</v>
      </c>
      <c r="G423" s="3" t="s">
        <v>25</v>
      </c>
      <c r="H423" s="3" t="s">
        <v>25</v>
      </c>
      <c r="I423" s="6">
        <v>44440</v>
      </c>
      <c r="J423" s="4">
        <v>0</v>
      </c>
      <c r="K423" s="4">
        <v>0</v>
      </c>
      <c r="L423" s="4">
        <v>272.17599999999999</v>
      </c>
      <c r="M423" s="4">
        <v>272.17599999999999</v>
      </c>
      <c r="N423" s="4">
        <v>272.17599999999999</v>
      </c>
      <c r="O423" s="4">
        <v>272.17599999999999</v>
      </c>
      <c r="P423" s="4">
        <v>116</v>
      </c>
      <c r="Q423" s="3" t="s">
        <v>26</v>
      </c>
      <c r="R423" s="3">
        <v>0</v>
      </c>
      <c r="S423" s="4">
        <v>0</v>
      </c>
      <c r="T423" s="4">
        <v>27</v>
      </c>
      <c r="U423" s="4">
        <v>76</v>
      </c>
      <c r="V423" s="4">
        <f>IF(ISERROR(VLOOKUP($S$423,'TAR FIN'!$A$1:$O$85,15,0)),0,VLOOKUP($S$423,'TAR FIN'!$A$1:$O$85,15,0))</f>
        <v>0</v>
      </c>
      <c r="W423" s="4">
        <f>IF(ISERROR(VLOOKUP($T$423,'TAR FIN'!$A$1:$O$85,15,0)),0,VLOOKUP($T$423,'TAR FIN'!$A$1:$O$85,15,0))</f>
        <v>370.66</v>
      </c>
      <c r="X423" s="4">
        <f>IF(ISERROR(VLOOKUP($U$423,'TAR FIN'!$A$1:$O$85,15,0)),0,VLOOKUP($U$423,'TAR FIN'!$A$1:$O$85,15,0))</f>
        <v>291.85000000000002</v>
      </c>
      <c r="Y423" s="4"/>
      <c r="Z423" s="4">
        <f ca="1">('TUSD BE'!$AM$48+'TUSD BF'!$AM$48+'TUSD CVA'!$AM$48)*1</f>
        <v>429.2108574011603</v>
      </c>
      <c r="AA423" s="4">
        <f>('TE BE'!$AB$39+'TE BF'!$AB$39+'TE CVA'!$AB$39)*1</f>
        <v>213.77329191067864</v>
      </c>
      <c r="AB423" s="4">
        <f>$K$423*$V$423</f>
        <v>0</v>
      </c>
      <c r="AC423" s="4">
        <f>$M$423*$W$423</f>
        <v>100884.75616</v>
      </c>
      <c r="AD423" s="4">
        <f>$O$423*$X$423</f>
        <v>79434.565600000002</v>
      </c>
      <c r="AE423" s="4">
        <f>$K$423*$Y$423</f>
        <v>0</v>
      </c>
      <c r="AF423" s="4">
        <f ca="1">$M$423*$Z$423</f>
        <v>116820.8943240182</v>
      </c>
      <c r="AG423" s="4">
        <f>$O$423*$AA$423</f>
        <v>58183.959499080869</v>
      </c>
    </row>
    <row r="424" spans="1:33" ht="11.25" customHeight="1" x14ac:dyDescent="0.3">
      <c r="A424" s="3" t="s">
        <v>27</v>
      </c>
      <c r="B424" s="3" t="s">
        <v>32</v>
      </c>
      <c r="C424" s="3" t="s">
        <v>23</v>
      </c>
      <c r="D424" s="3" t="s">
        <v>33</v>
      </c>
      <c r="E424" s="3" t="s">
        <v>25</v>
      </c>
      <c r="F424" s="3" t="s">
        <v>25</v>
      </c>
      <c r="G424" s="3" t="s">
        <v>25</v>
      </c>
      <c r="H424" s="3" t="s">
        <v>25</v>
      </c>
      <c r="I424" s="6">
        <v>44440</v>
      </c>
      <c r="J424" s="4">
        <v>0</v>
      </c>
      <c r="K424" s="4">
        <v>0</v>
      </c>
      <c r="L424" s="4">
        <v>55.561999999999998</v>
      </c>
      <c r="M424" s="4">
        <v>55.561999999999998</v>
      </c>
      <c r="N424" s="4">
        <v>55.561999999999998</v>
      </c>
      <c r="O424" s="4">
        <v>55.561999999999998</v>
      </c>
      <c r="P424" s="4">
        <v>17</v>
      </c>
      <c r="Q424" s="3" t="s">
        <v>26</v>
      </c>
      <c r="R424" s="3">
        <v>0</v>
      </c>
      <c r="S424" s="4">
        <v>0</v>
      </c>
      <c r="T424" s="4">
        <v>27</v>
      </c>
      <c r="U424" s="4">
        <v>76</v>
      </c>
      <c r="V424" s="4">
        <f>IF(ISERROR(VLOOKUP($S$424,'TAR FIN'!$A$1:$O$85,15,0)),0,VLOOKUP($S$424,'TAR FIN'!$A$1:$O$85,15,0))</f>
        <v>0</v>
      </c>
      <c r="W424" s="4">
        <f>IF(ISERROR(VLOOKUP($T$424,'TAR FIN'!$A$1:$O$85,15,0)),0,VLOOKUP($T$424,'TAR FIN'!$A$1:$O$85,15,0))</f>
        <v>370.66</v>
      </c>
      <c r="X424" s="4">
        <f>IF(ISERROR(VLOOKUP($U$424,'TAR FIN'!$A$1:$O$85,15,0)),0,VLOOKUP($U$424,'TAR FIN'!$A$1:$O$85,15,0))</f>
        <v>291.85000000000002</v>
      </c>
      <c r="Y424" s="4"/>
      <c r="Z424" s="4">
        <f ca="1">('TUSD BE'!$AM$48+'TUSD BF'!$AM$48+'TUSD CVA'!$AM$48)*1</f>
        <v>429.2108574011603</v>
      </c>
      <c r="AA424" s="4">
        <f>('TE BE'!$AB$39+'TE BF'!$AB$39+'TE CVA'!$AB$39)*1</f>
        <v>213.77329191067864</v>
      </c>
      <c r="AB424" s="4">
        <f>$K$424*$V$424</f>
        <v>0</v>
      </c>
      <c r="AC424" s="4">
        <f>$M$424*$W$424</f>
        <v>20594.610919999999</v>
      </c>
      <c r="AD424" s="4">
        <f>$O$424*$X$424</f>
        <v>16215.769700000001</v>
      </c>
      <c r="AE424" s="4">
        <f>$K$424*$Y$424</f>
        <v>0</v>
      </c>
      <c r="AF424" s="4">
        <f ca="1">$M$424*$Z$424</f>
        <v>23847.813658923267</v>
      </c>
      <c r="AG424" s="4">
        <f>$O$424*$AA$424</f>
        <v>11877.671645141127</v>
      </c>
    </row>
    <row r="425" spans="1:33" ht="11.25" customHeight="1" x14ac:dyDescent="0.3">
      <c r="A425" s="3" t="s">
        <v>21</v>
      </c>
      <c r="B425" s="3" t="s">
        <v>32</v>
      </c>
      <c r="C425" s="3" t="s">
        <v>23</v>
      </c>
      <c r="D425" s="3" t="s">
        <v>33</v>
      </c>
      <c r="E425" s="3" t="s">
        <v>25</v>
      </c>
      <c r="F425" s="3" t="s">
        <v>25</v>
      </c>
      <c r="G425" s="3" t="s">
        <v>25</v>
      </c>
      <c r="H425" s="3" t="s">
        <v>25</v>
      </c>
      <c r="I425" s="6">
        <v>44470</v>
      </c>
      <c r="J425" s="4">
        <v>0</v>
      </c>
      <c r="K425" s="4">
        <v>0</v>
      </c>
      <c r="L425" s="4">
        <v>285.58600000000001</v>
      </c>
      <c r="M425" s="4">
        <v>285.58600000000001</v>
      </c>
      <c r="N425" s="4">
        <v>285.58600000000001</v>
      </c>
      <c r="O425" s="4">
        <v>285.58600000000001</v>
      </c>
      <c r="P425" s="4">
        <v>116</v>
      </c>
      <c r="Q425" s="3" t="s">
        <v>26</v>
      </c>
      <c r="R425" s="3">
        <v>0</v>
      </c>
      <c r="S425" s="4">
        <v>0</v>
      </c>
      <c r="T425" s="4">
        <v>27</v>
      </c>
      <c r="U425" s="4">
        <v>76</v>
      </c>
      <c r="V425" s="4">
        <f>IF(ISERROR(VLOOKUP($S$425,'TAR FIN'!$A$1:$O$85,15,0)),0,VLOOKUP($S$425,'TAR FIN'!$A$1:$O$85,15,0))</f>
        <v>0</v>
      </c>
      <c r="W425" s="4">
        <f>IF(ISERROR(VLOOKUP($T$425,'TAR FIN'!$A$1:$O$85,15,0)),0,VLOOKUP($T$425,'TAR FIN'!$A$1:$O$85,15,0))</f>
        <v>370.66</v>
      </c>
      <c r="X425" s="4">
        <f>IF(ISERROR(VLOOKUP($U$425,'TAR FIN'!$A$1:$O$85,15,0)),0,VLOOKUP($U$425,'TAR FIN'!$A$1:$O$85,15,0))</f>
        <v>291.85000000000002</v>
      </c>
      <c r="Y425" s="4"/>
      <c r="Z425" s="4">
        <f ca="1">('TUSD BE'!$AM$48+'TUSD BF'!$AM$48+'TUSD CVA'!$AM$48)*1</f>
        <v>429.2108574011603</v>
      </c>
      <c r="AA425" s="4">
        <f>('TE BE'!$AB$39+'TE BF'!$AB$39+'TE CVA'!$AB$39)*1</f>
        <v>213.77329191067864</v>
      </c>
      <c r="AB425" s="4">
        <f>$K$425*$V$425</f>
        <v>0</v>
      </c>
      <c r="AC425" s="4">
        <f>$M$425*$W$425</f>
        <v>105855.30676000001</v>
      </c>
      <c r="AD425" s="4">
        <f>$O$425*$X$425</f>
        <v>83348.27410000001</v>
      </c>
      <c r="AE425" s="4">
        <f>$K$425*$Y$425</f>
        <v>0</v>
      </c>
      <c r="AF425" s="4">
        <f ca="1">$M$425*$Z$425</f>
        <v>122576.61192176778</v>
      </c>
      <c r="AG425" s="4">
        <f>$O$425*$AA$425</f>
        <v>61050.659343603074</v>
      </c>
    </row>
    <row r="426" spans="1:33" ht="11.25" customHeight="1" x14ac:dyDescent="0.3">
      <c r="A426" s="3" t="s">
        <v>27</v>
      </c>
      <c r="B426" s="3" t="s">
        <v>32</v>
      </c>
      <c r="C426" s="3" t="s">
        <v>23</v>
      </c>
      <c r="D426" s="3" t="s">
        <v>33</v>
      </c>
      <c r="E426" s="3" t="s">
        <v>25</v>
      </c>
      <c r="F426" s="3" t="s">
        <v>25</v>
      </c>
      <c r="G426" s="3" t="s">
        <v>25</v>
      </c>
      <c r="H426" s="3" t="s">
        <v>25</v>
      </c>
      <c r="I426" s="6">
        <v>44470</v>
      </c>
      <c r="J426" s="4">
        <v>0</v>
      </c>
      <c r="K426" s="4">
        <v>0</v>
      </c>
      <c r="L426" s="4">
        <v>56.695999999999998</v>
      </c>
      <c r="M426" s="4">
        <v>56.695999999999998</v>
      </c>
      <c r="N426" s="4">
        <v>56.695999999999998</v>
      </c>
      <c r="O426" s="4">
        <v>56.695999999999998</v>
      </c>
      <c r="P426" s="4">
        <v>18</v>
      </c>
      <c r="Q426" s="3" t="s">
        <v>26</v>
      </c>
      <c r="R426" s="3">
        <v>0</v>
      </c>
      <c r="S426" s="4">
        <v>0</v>
      </c>
      <c r="T426" s="4">
        <v>27</v>
      </c>
      <c r="U426" s="4">
        <v>76</v>
      </c>
      <c r="V426" s="4">
        <f>IF(ISERROR(VLOOKUP($S$426,'TAR FIN'!$A$1:$O$85,15,0)),0,VLOOKUP($S$426,'TAR FIN'!$A$1:$O$85,15,0))</f>
        <v>0</v>
      </c>
      <c r="W426" s="4">
        <f>IF(ISERROR(VLOOKUP($T$426,'TAR FIN'!$A$1:$O$85,15,0)),0,VLOOKUP($T$426,'TAR FIN'!$A$1:$O$85,15,0))</f>
        <v>370.66</v>
      </c>
      <c r="X426" s="4">
        <f>IF(ISERROR(VLOOKUP($U$426,'TAR FIN'!$A$1:$O$85,15,0)),0,VLOOKUP($U$426,'TAR FIN'!$A$1:$O$85,15,0))</f>
        <v>291.85000000000002</v>
      </c>
      <c r="Y426" s="4"/>
      <c r="Z426" s="4">
        <f ca="1">('TUSD BE'!$AM$48+'TUSD BF'!$AM$48+'TUSD CVA'!$AM$48)*1</f>
        <v>429.2108574011603</v>
      </c>
      <c r="AA426" s="4">
        <f>('TE BE'!$AB$39+'TE BF'!$AB$39+'TE CVA'!$AB$39)*1</f>
        <v>213.77329191067864</v>
      </c>
      <c r="AB426" s="4">
        <f>$K$426*$V$426</f>
        <v>0</v>
      </c>
      <c r="AC426" s="4">
        <f>$M$426*$W$426</f>
        <v>21014.93936</v>
      </c>
      <c r="AD426" s="4">
        <f>$O$426*$X$426</f>
        <v>16546.727600000002</v>
      </c>
      <c r="AE426" s="4">
        <f>$K$426*$Y$426</f>
        <v>0</v>
      </c>
      <c r="AF426" s="4">
        <f ca="1">$M$426*$Z$426</f>
        <v>24334.538771216183</v>
      </c>
      <c r="AG426" s="4">
        <f>$O$426*$AA$426</f>
        <v>12120.090558167836</v>
      </c>
    </row>
    <row r="427" spans="1:33" ht="11.25" customHeight="1" x14ac:dyDescent="0.3">
      <c r="A427" s="3" t="s">
        <v>21</v>
      </c>
      <c r="B427" s="3" t="s">
        <v>32</v>
      </c>
      <c r="C427" s="3" t="s">
        <v>23</v>
      </c>
      <c r="D427" s="3" t="s">
        <v>33</v>
      </c>
      <c r="E427" s="3" t="s">
        <v>25</v>
      </c>
      <c r="F427" s="3" t="s">
        <v>25</v>
      </c>
      <c r="G427" s="3" t="s">
        <v>25</v>
      </c>
      <c r="H427" s="3" t="s">
        <v>25</v>
      </c>
      <c r="I427" s="6">
        <v>44501</v>
      </c>
      <c r="J427" s="4">
        <v>0</v>
      </c>
      <c r="K427" s="4">
        <v>0</v>
      </c>
      <c r="L427" s="4">
        <v>280.73500000000001</v>
      </c>
      <c r="M427" s="4">
        <v>280.73500000000001</v>
      </c>
      <c r="N427" s="4">
        <v>280.73500000000001</v>
      </c>
      <c r="O427" s="4">
        <v>280.73500000000001</v>
      </c>
      <c r="P427" s="4">
        <v>116</v>
      </c>
      <c r="Q427" s="3" t="s">
        <v>26</v>
      </c>
      <c r="R427" s="3">
        <v>0</v>
      </c>
      <c r="S427" s="4">
        <v>0</v>
      </c>
      <c r="T427" s="4">
        <v>27</v>
      </c>
      <c r="U427" s="4">
        <v>76</v>
      </c>
      <c r="V427" s="4">
        <f>IF(ISERROR(VLOOKUP($S$427,'TAR FIN'!$A$1:$O$85,15,0)),0,VLOOKUP($S$427,'TAR FIN'!$A$1:$O$85,15,0))</f>
        <v>0</v>
      </c>
      <c r="W427" s="4">
        <f>IF(ISERROR(VLOOKUP($T$427,'TAR FIN'!$A$1:$O$85,15,0)),0,VLOOKUP($T$427,'TAR FIN'!$A$1:$O$85,15,0))</f>
        <v>370.66</v>
      </c>
      <c r="X427" s="4">
        <f>IF(ISERROR(VLOOKUP($U$427,'TAR FIN'!$A$1:$O$85,15,0)),0,VLOOKUP($U$427,'TAR FIN'!$A$1:$O$85,15,0))</f>
        <v>291.85000000000002</v>
      </c>
      <c r="Y427" s="4"/>
      <c r="Z427" s="4">
        <f ca="1">('TUSD BE'!$AM$48+'TUSD BF'!$AM$48+'TUSD CVA'!$AM$48)*1</f>
        <v>429.2108574011603</v>
      </c>
      <c r="AA427" s="4">
        <f>('TE BE'!$AB$39+'TE BF'!$AB$39+'TE CVA'!$AB$39)*1</f>
        <v>213.77329191067864</v>
      </c>
      <c r="AB427" s="4">
        <f>$K$427*$V$427</f>
        <v>0</v>
      </c>
      <c r="AC427" s="4">
        <f>$M$427*$W$427</f>
        <v>104057.23510000001</v>
      </c>
      <c r="AD427" s="4">
        <f>$O$427*$X$427</f>
        <v>81932.509750000012</v>
      </c>
      <c r="AE427" s="4">
        <f>$K$427*$Y$427</f>
        <v>0</v>
      </c>
      <c r="AF427" s="4">
        <f ca="1">$M$427*$Z$427</f>
        <v>120494.51005251474</v>
      </c>
      <c r="AG427" s="4">
        <f>$O$427*$AA$427</f>
        <v>60013.645104544368</v>
      </c>
    </row>
    <row r="428" spans="1:33" ht="11.25" customHeight="1" x14ac:dyDescent="0.3">
      <c r="A428" s="3" t="s">
        <v>27</v>
      </c>
      <c r="B428" s="3" t="s">
        <v>32</v>
      </c>
      <c r="C428" s="3" t="s">
        <v>23</v>
      </c>
      <c r="D428" s="3" t="s">
        <v>33</v>
      </c>
      <c r="E428" s="3" t="s">
        <v>25</v>
      </c>
      <c r="F428" s="3" t="s">
        <v>25</v>
      </c>
      <c r="G428" s="3" t="s">
        <v>25</v>
      </c>
      <c r="H428" s="3" t="s">
        <v>25</v>
      </c>
      <c r="I428" s="6">
        <v>44501</v>
      </c>
      <c r="J428" s="4">
        <v>0</v>
      </c>
      <c r="K428" s="4">
        <v>0</v>
      </c>
      <c r="L428" s="4">
        <v>30.734000000000002</v>
      </c>
      <c r="M428" s="4">
        <v>30.734000000000002</v>
      </c>
      <c r="N428" s="4">
        <v>30.734000000000002</v>
      </c>
      <c r="O428" s="4">
        <v>30.734000000000002</v>
      </c>
      <c r="P428" s="4">
        <v>18</v>
      </c>
      <c r="Q428" s="3" t="s">
        <v>26</v>
      </c>
      <c r="R428" s="3">
        <v>0</v>
      </c>
      <c r="S428" s="4">
        <v>0</v>
      </c>
      <c r="T428" s="4">
        <v>27</v>
      </c>
      <c r="U428" s="4">
        <v>76</v>
      </c>
      <c r="V428" s="4">
        <f>IF(ISERROR(VLOOKUP($S$428,'TAR FIN'!$A$1:$O$85,15,0)),0,VLOOKUP($S$428,'TAR FIN'!$A$1:$O$85,15,0))</f>
        <v>0</v>
      </c>
      <c r="W428" s="4">
        <f>IF(ISERROR(VLOOKUP($T$428,'TAR FIN'!$A$1:$O$85,15,0)),0,VLOOKUP($T$428,'TAR FIN'!$A$1:$O$85,15,0))</f>
        <v>370.66</v>
      </c>
      <c r="X428" s="4">
        <f>IF(ISERROR(VLOOKUP($U$428,'TAR FIN'!$A$1:$O$85,15,0)),0,VLOOKUP($U$428,'TAR FIN'!$A$1:$O$85,15,0))</f>
        <v>291.85000000000002</v>
      </c>
      <c r="Y428" s="4"/>
      <c r="Z428" s="4">
        <f ca="1">('TUSD BE'!$AM$48+'TUSD BF'!$AM$48+'TUSD CVA'!$AM$48)*1</f>
        <v>429.2108574011603</v>
      </c>
      <c r="AA428" s="4">
        <f>('TE BE'!$AB$39+'TE BF'!$AB$39+'TE CVA'!$AB$39)*1</f>
        <v>213.77329191067864</v>
      </c>
      <c r="AB428" s="4">
        <f>$K$428*$V$428</f>
        <v>0</v>
      </c>
      <c r="AC428" s="4">
        <f>$M$428*$W$428</f>
        <v>11391.864440000001</v>
      </c>
      <c r="AD428" s="4">
        <f>$O$428*$X$428</f>
        <v>8969.7179000000015</v>
      </c>
      <c r="AE428" s="4">
        <f>$K$428*$Y$428</f>
        <v>0</v>
      </c>
      <c r="AF428" s="4">
        <f ca="1">$M$428*$Z$428</f>
        <v>13191.366491367262</v>
      </c>
      <c r="AG428" s="4">
        <f>$O$428*$AA$428</f>
        <v>6570.1083535827975</v>
      </c>
    </row>
    <row r="429" spans="1:33" ht="11.25" customHeight="1" x14ac:dyDescent="0.3">
      <c r="A429" s="3" t="s">
        <v>21</v>
      </c>
      <c r="B429" s="3" t="s">
        <v>32</v>
      </c>
      <c r="C429" s="3" t="s">
        <v>23</v>
      </c>
      <c r="D429" s="3" t="s">
        <v>33</v>
      </c>
      <c r="E429" s="3" t="s">
        <v>25</v>
      </c>
      <c r="F429" s="3" t="s">
        <v>25</v>
      </c>
      <c r="G429" s="3" t="s">
        <v>25</v>
      </c>
      <c r="H429" s="3" t="s">
        <v>25</v>
      </c>
      <c r="I429" s="6">
        <v>44531</v>
      </c>
      <c r="J429" s="4">
        <v>0</v>
      </c>
      <c r="K429" s="4">
        <v>0</v>
      </c>
      <c r="L429" s="4">
        <v>241.036</v>
      </c>
      <c r="M429" s="4">
        <v>241.036</v>
      </c>
      <c r="N429" s="4">
        <v>241.036</v>
      </c>
      <c r="O429" s="4">
        <v>241.036</v>
      </c>
      <c r="P429" s="4">
        <v>113</v>
      </c>
      <c r="Q429" s="3" t="s">
        <v>26</v>
      </c>
      <c r="R429" s="3">
        <v>0</v>
      </c>
      <c r="S429" s="4">
        <v>0</v>
      </c>
      <c r="T429" s="4">
        <v>27</v>
      </c>
      <c r="U429" s="4">
        <v>76</v>
      </c>
      <c r="V429" s="4">
        <f>IF(ISERROR(VLOOKUP($S$429,'TAR FIN'!$A$1:$O$85,15,0)),0,VLOOKUP($S$429,'TAR FIN'!$A$1:$O$85,15,0))</f>
        <v>0</v>
      </c>
      <c r="W429" s="4">
        <f>IF(ISERROR(VLOOKUP($T$429,'TAR FIN'!$A$1:$O$85,15,0)),0,VLOOKUP($T$429,'TAR FIN'!$A$1:$O$85,15,0))</f>
        <v>370.66</v>
      </c>
      <c r="X429" s="4">
        <f>IF(ISERROR(VLOOKUP($U$429,'TAR FIN'!$A$1:$O$85,15,0)),0,VLOOKUP($U$429,'TAR FIN'!$A$1:$O$85,15,0))</f>
        <v>291.85000000000002</v>
      </c>
      <c r="Y429" s="4"/>
      <c r="Z429" s="4">
        <f ca="1">('TUSD BE'!$AM$48+'TUSD BF'!$AM$48+'TUSD CVA'!$AM$48)*1</f>
        <v>429.2108574011603</v>
      </c>
      <c r="AA429" s="4">
        <f>('TE BE'!$AB$39+'TE BF'!$AB$39+'TE CVA'!$AB$39)*1</f>
        <v>213.77329191067864</v>
      </c>
      <c r="AB429" s="4">
        <f>$K$429*$V$429</f>
        <v>0</v>
      </c>
      <c r="AC429" s="4">
        <f>$M$429*$W$429</f>
        <v>89342.403760000001</v>
      </c>
      <c r="AD429" s="4">
        <f>$O$429*$X$429</f>
        <v>70346.356599999999</v>
      </c>
      <c r="AE429" s="4">
        <f>$K$429*$Y$429</f>
        <v>0</v>
      </c>
      <c r="AF429" s="4">
        <f ca="1">$M$429*$Z$429</f>
        <v>103455.26822454607</v>
      </c>
      <c r="AG429" s="4">
        <f>$O$429*$AA$429</f>
        <v>51527.059188982334</v>
      </c>
    </row>
    <row r="430" spans="1:33" ht="11.25" customHeight="1" x14ac:dyDescent="0.3">
      <c r="A430" s="3" t="s">
        <v>27</v>
      </c>
      <c r="B430" s="3" t="s">
        <v>32</v>
      </c>
      <c r="C430" s="3" t="s">
        <v>23</v>
      </c>
      <c r="D430" s="3" t="s">
        <v>33</v>
      </c>
      <c r="E430" s="3" t="s">
        <v>25</v>
      </c>
      <c r="F430" s="3" t="s">
        <v>25</v>
      </c>
      <c r="G430" s="3" t="s">
        <v>25</v>
      </c>
      <c r="H430" s="3" t="s">
        <v>25</v>
      </c>
      <c r="I430" s="6">
        <v>44531</v>
      </c>
      <c r="J430" s="4">
        <v>0</v>
      </c>
      <c r="K430" s="4">
        <v>0</v>
      </c>
      <c r="L430" s="4">
        <v>23.257000000000001</v>
      </c>
      <c r="M430" s="4">
        <v>23.257000000000001</v>
      </c>
      <c r="N430" s="4">
        <v>23.257000000000001</v>
      </c>
      <c r="O430" s="4">
        <v>23.257000000000001</v>
      </c>
      <c r="P430" s="4">
        <v>20</v>
      </c>
      <c r="Q430" s="3" t="s">
        <v>26</v>
      </c>
      <c r="R430" s="3">
        <v>0</v>
      </c>
      <c r="S430" s="4">
        <v>0</v>
      </c>
      <c r="T430" s="4">
        <v>27</v>
      </c>
      <c r="U430" s="4">
        <v>76</v>
      </c>
      <c r="V430" s="4">
        <f>IF(ISERROR(VLOOKUP($S$430,'TAR FIN'!$A$1:$O$85,15,0)),0,VLOOKUP($S$430,'TAR FIN'!$A$1:$O$85,15,0))</f>
        <v>0</v>
      </c>
      <c r="W430" s="4">
        <f>IF(ISERROR(VLOOKUP($T$430,'TAR FIN'!$A$1:$O$85,15,0)),0,VLOOKUP($T$430,'TAR FIN'!$A$1:$O$85,15,0))</f>
        <v>370.66</v>
      </c>
      <c r="X430" s="4">
        <f>IF(ISERROR(VLOOKUP($U$430,'TAR FIN'!$A$1:$O$85,15,0)),0,VLOOKUP($U$430,'TAR FIN'!$A$1:$O$85,15,0))</f>
        <v>291.85000000000002</v>
      </c>
      <c r="Y430" s="4"/>
      <c r="Z430" s="4">
        <f ca="1">('TUSD BE'!$AM$48+'TUSD BF'!$AM$48+'TUSD CVA'!$AM$48)*1</f>
        <v>429.2108574011603</v>
      </c>
      <c r="AA430" s="4">
        <f>('TE BE'!$AB$39+'TE BF'!$AB$39+'TE CVA'!$AB$39)*1</f>
        <v>213.77329191067864</v>
      </c>
      <c r="AB430" s="4">
        <f>$K$430*$V$430</f>
        <v>0</v>
      </c>
      <c r="AC430" s="4">
        <f>$M$430*$W$430</f>
        <v>8620.439620000001</v>
      </c>
      <c r="AD430" s="4">
        <f>$O$430*$X$430</f>
        <v>6787.5554500000007</v>
      </c>
      <c r="AE430" s="4">
        <f>$K$430*$Y$430</f>
        <v>0</v>
      </c>
      <c r="AF430" s="4">
        <f ca="1">$M$430*$Z$430</f>
        <v>9982.1569105787858</v>
      </c>
      <c r="AG430" s="4">
        <f>$O$430*$AA$430</f>
        <v>4971.7254499666533</v>
      </c>
    </row>
    <row r="431" spans="1:33" ht="11.25" customHeight="1" x14ac:dyDescent="0.3">
      <c r="A431" s="3" t="s">
        <v>21</v>
      </c>
      <c r="B431" s="3" t="s">
        <v>32</v>
      </c>
      <c r="C431" s="3" t="s">
        <v>23</v>
      </c>
      <c r="D431" s="3" t="s">
        <v>33</v>
      </c>
      <c r="E431" s="3" t="s">
        <v>25</v>
      </c>
      <c r="F431" s="3" t="s">
        <v>25</v>
      </c>
      <c r="G431" s="3" t="s">
        <v>25</v>
      </c>
      <c r="H431" s="3" t="s">
        <v>25</v>
      </c>
      <c r="I431" s="6">
        <v>44562</v>
      </c>
      <c r="J431" s="4">
        <v>0</v>
      </c>
      <c r="K431" s="4">
        <v>0</v>
      </c>
      <c r="L431" s="4">
        <v>161.21</v>
      </c>
      <c r="M431" s="4">
        <v>161.21</v>
      </c>
      <c r="N431" s="4">
        <v>161.21</v>
      </c>
      <c r="O431" s="4">
        <v>161.21</v>
      </c>
      <c r="P431" s="4">
        <v>112</v>
      </c>
      <c r="Q431" s="3" t="s">
        <v>26</v>
      </c>
      <c r="R431" s="3">
        <v>0</v>
      </c>
      <c r="S431" s="4">
        <v>0</v>
      </c>
      <c r="T431" s="4">
        <v>27</v>
      </c>
      <c r="U431" s="4">
        <v>76</v>
      </c>
      <c r="V431" s="4">
        <f>IF(ISERROR(VLOOKUP($S$431,'TAR FIN'!$A$1:$O$85,15,0)),0,VLOOKUP($S$431,'TAR FIN'!$A$1:$O$85,15,0))</f>
        <v>0</v>
      </c>
      <c r="W431" s="4">
        <f>IF(ISERROR(VLOOKUP($T$431,'TAR FIN'!$A$1:$O$85,15,0)),0,VLOOKUP($T$431,'TAR FIN'!$A$1:$O$85,15,0))</f>
        <v>370.66</v>
      </c>
      <c r="X431" s="4">
        <f>IF(ISERROR(VLOOKUP($U$431,'TAR FIN'!$A$1:$O$85,15,0)),0,VLOOKUP($U$431,'TAR FIN'!$A$1:$O$85,15,0))</f>
        <v>291.85000000000002</v>
      </c>
      <c r="Y431" s="4"/>
      <c r="Z431" s="4">
        <f ca="1">('TUSD BE'!$AM$48+'TUSD BF'!$AM$48+'TUSD CVA'!$AM$48)*1</f>
        <v>429.2108574011603</v>
      </c>
      <c r="AA431" s="4">
        <f>('TE BE'!$AB$39+'TE BF'!$AB$39+'TE CVA'!$AB$39)*1</f>
        <v>213.77329191067864</v>
      </c>
      <c r="AB431" s="4">
        <f>$K$431*$V$431</f>
        <v>0</v>
      </c>
      <c r="AC431" s="4">
        <f>$M$431*$W$431</f>
        <v>59754.098600000005</v>
      </c>
      <c r="AD431" s="4">
        <f>$O$431*$X$431</f>
        <v>47049.138500000008</v>
      </c>
      <c r="AE431" s="4">
        <f>$K$431*$Y$431</f>
        <v>0</v>
      </c>
      <c r="AF431" s="4">
        <f ca="1">$M$431*$Z$431</f>
        <v>69193.08232164105</v>
      </c>
      <c r="AG431" s="4">
        <f>$O$431*$AA$431</f>
        <v>34462.392388920503</v>
      </c>
    </row>
    <row r="432" spans="1:33" ht="11.25" customHeight="1" x14ac:dyDescent="0.3">
      <c r="A432" s="3" t="s">
        <v>27</v>
      </c>
      <c r="B432" s="3" t="s">
        <v>32</v>
      </c>
      <c r="C432" s="3" t="s">
        <v>23</v>
      </c>
      <c r="D432" s="3" t="s">
        <v>33</v>
      </c>
      <c r="E432" s="3" t="s">
        <v>25</v>
      </c>
      <c r="F432" s="3" t="s">
        <v>25</v>
      </c>
      <c r="G432" s="3" t="s">
        <v>25</v>
      </c>
      <c r="H432" s="3" t="s">
        <v>25</v>
      </c>
      <c r="I432" s="6">
        <v>44562</v>
      </c>
      <c r="J432" s="4">
        <v>0</v>
      </c>
      <c r="K432" s="4">
        <v>0</v>
      </c>
      <c r="L432" s="4">
        <v>14.427</v>
      </c>
      <c r="M432" s="4">
        <v>14.427</v>
      </c>
      <c r="N432" s="4">
        <v>14.427</v>
      </c>
      <c r="O432" s="4">
        <v>14.427</v>
      </c>
      <c r="P432" s="4">
        <v>20</v>
      </c>
      <c r="Q432" s="3" t="s">
        <v>26</v>
      </c>
      <c r="R432" s="3">
        <v>0</v>
      </c>
      <c r="S432" s="4">
        <v>0</v>
      </c>
      <c r="T432" s="4">
        <v>27</v>
      </c>
      <c r="U432" s="4">
        <v>76</v>
      </c>
      <c r="V432" s="4">
        <f>IF(ISERROR(VLOOKUP($S$432,'TAR FIN'!$A$1:$O$85,15,0)),0,VLOOKUP($S$432,'TAR FIN'!$A$1:$O$85,15,0))</f>
        <v>0</v>
      </c>
      <c r="W432" s="4">
        <f>IF(ISERROR(VLOOKUP($T$432,'TAR FIN'!$A$1:$O$85,15,0)),0,VLOOKUP($T$432,'TAR FIN'!$A$1:$O$85,15,0))</f>
        <v>370.66</v>
      </c>
      <c r="X432" s="4">
        <f>IF(ISERROR(VLOOKUP($U$432,'TAR FIN'!$A$1:$O$85,15,0)),0,VLOOKUP($U$432,'TAR FIN'!$A$1:$O$85,15,0))</f>
        <v>291.85000000000002</v>
      </c>
      <c r="Y432" s="4"/>
      <c r="Z432" s="4">
        <f ca="1">('TUSD BE'!$AM$48+'TUSD BF'!$AM$48+'TUSD CVA'!$AM$48)*1</f>
        <v>429.2108574011603</v>
      </c>
      <c r="AA432" s="4">
        <f>('TE BE'!$AB$39+'TE BF'!$AB$39+'TE CVA'!$AB$39)*1</f>
        <v>213.77329191067864</v>
      </c>
      <c r="AB432" s="4">
        <f>$K$432*$V$432</f>
        <v>0</v>
      </c>
      <c r="AC432" s="4">
        <f>$M$432*$W$432</f>
        <v>5347.5118200000006</v>
      </c>
      <c r="AD432" s="4">
        <f>$O$432*$X$432</f>
        <v>4210.5199499999999</v>
      </c>
      <c r="AE432" s="4">
        <f>$K$432*$Y$432</f>
        <v>0</v>
      </c>
      <c r="AF432" s="4">
        <f ca="1">$M$432*$Z$432</f>
        <v>6192.2250397265398</v>
      </c>
      <c r="AG432" s="4">
        <f>$O$432*$AA$432</f>
        <v>3084.1072823953605</v>
      </c>
    </row>
    <row r="433" spans="1:33" ht="11.25" customHeight="1" x14ac:dyDescent="0.3">
      <c r="A433" s="3" t="s">
        <v>21</v>
      </c>
      <c r="B433" s="3" t="s">
        <v>32</v>
      </c>
      <c r="C433" s="3" t="s">
        <v>23</v>
      </c>
      <c r="D433" s="3" t="s">
        <v>33</v>
      </c>
      <c r="E433" s="3" t="s">
        <v>25</v>
      </c>
      <c r="F433" s="3" t="s">
        <v>25</v>
      </c>
      <c r="G433" s="3" t="s">
        <v>25</v>
      </c>
      <c r="H433" s="3" t="s">
        <v>25</v>
      </c>
      <c r="I433" s="6">
        <v>44593</v>
      </c>
      <c r="J433" s="4">
        <v>0</v>
      </c>
      <c r="K433" s="4">
        <v>0</v>
      </c>
      <c r="L433" s="4">
        <v>276.875</v>
      </c>
      <c r="M433" s="4">
        <v>276.875</v>
      </c>
      <c r="N433" s="4">
        <v>276.875</v>
      </c>
      <c r="O433" s="4">
        <v>276.875</v>
      </c>
      <c r="P433" s="4">
        <v>110</v>
      </c>
      <c r="Q433" s="3" t="s">
        <v>26</v>
      </c>
      <c r="R433" s="3">
        <v>0</v>
      </c>
      <c r="S433" s="4">
        <v>0</v>
      </c>
      <c r="T433" s="4">
        <v>27</v>
      </c>
      <c r="U433" s="4">
        <v>76</v>
      </c>
      <c r="V433" s="4">
        <f>IF(ISERROR(VLOOKUP($S$433,'TAR FIN'!$A$1:$O$85,15,0)),0,VLOOKUP($S$433,'TAR FIN'!$A$1:$O$85,15,0))</f>
        <v>0</v>
      </c>
      <c r="W433" s="4">
        <f>IF(ISERROR(VLOOKUP($T$433,'TAR FIN'!$A$1:$O$85,15,0)),0,VLOOKUP($T$433,'TAR FIN'!$A$1:$O$85,15,0))</f>
        <v>370.66</v>
      </c>
      <c r="X433" s="4">
        <f>IF(ISERROR(VLOOKUP($U$433,'TAR FIN'!$A$1:$O$85,15,0)),0,VLOOKUP($U$433,'TAR FIN'!$A$1:$O$85,15,0))</f>
        <v>291.85000000000002</v>
      </c>
      <c r="Y433" s="4"/>
      <c r="Z433" s="4">
        <f ca="1">('TUSD BE'!$AM$48+'TUSD BF'!$AM$48+'TUSD CVA'!$AM$48)*1</f>
        <v>429.2108574011603</v>
      </c>
      <c r="AA433" s="4">
        <f>('TE BE'!$AB$39+'TE BF'!$AB$39+'TE CVA'!$AB$39)*1</f>
        <v>213.77329191067864</v>
      </c>
      <c r="AB433" s="4">
        <f>$K$433*$V$433</f>
        <v>0</v>
      </c>
      <c r="AC433" s="4">
        <f>$M$433*$W$433</f>
        <v>102626.4875</v>
      </c>
      <c r="AD433" s="4">
        <f>$O$433*$X$433</f>
        <v>80805.96875</v>
      </c>
      <c r="AE433" s="4">
        <f>$K$433*$Y$433</f>
        <v>0</v>
      </c>
      <c r="AF433" s="4">
        <f ca="1">$M$433*$Z$433</f>
        <v>118837.75614294625</v>
      </c>
      <c r="AG433" s="4">
        <f>$O$433*$AA$433</f>
        <v>59188.480197769146</v>
      </c>
    </row>
    <row r="434" spans="1:33" ht="11.25" customHeight="1" x14ac:dyDescent="0.3">
      <c r="A434" s="3" t="s">
        <v>27</v>
      </c>
      <c r="B434" s="3" t="s">
        <v>32</v>
      </c>
      <c r="C434" s="3" t="s">
        <v>23</v>
      </c>
      <c r="D434" s="3" t="s">
        <v>33</v>
      </c>
      <c r="E434" s="3" t="s">
        <v>25</v>
      </c>
      <c r="F434" s="3" t="s">
        <v>25</v>
      </c>
      <c r="G434" s="3" t="s">
        <v>25</v>
      </c>
      <c r="H434" s="3" t="s">
        <v>25</v>
      </c>
      <c r="I434" s="6">
        <v>44593</v>
      </c>
      <c r="J434" s="4">
        <v>0</v>
      </c>
      <c r="K434" s="4">
        <v>0</v>
      </c>
      <c r="L434" s="4">
        <v>20.085999999999999</v>
      </c>
      <c r="M434" s="4">
        <v>20.085999999999999</v>
      </c>
      <c r="N434" s="4">
        <v>20.085999999999999</v>
      </c>
      <c r="O434" s="4">
        <v>20.085999999999999</v>
      </c>
      <c r="P434" s="4">
        <v>20</v>
      </c>
      <c r="Q434" s="3" t="s">
        <v>26</v>
      </c>
      <c r="R434" s="3">
        <v>0</v>
      </c>
      <c r="S434" s="4">
        <v>0</v>
      </c>
      <c r="T434" s="4">
        <v>27</v>
      </c>
      <c r="U434" s="4">
        <v>76</v>
      </c>
      <c r="V434" s="4">
        <f>IF(ISERROR(VLOOKUP($S$434,'TAR FIN'!$A$1:$O$85,15,0)),0,VLOOKUP($S$434,'TAR FIN'!$A$1:$O$85,15,0))</f>
        <v>0</v>
      </c>
      <c r="W434" s="4">
        <f>IF(ISERROR(VLOOKUP($T$434,'TAR FIN'!$A$1:$O$85,15,0)),0,VLOOKUP($T$434,'TAR FIN'!$A$1:$O$85,15,0))</f>
        <v>370.66</v>
      </c>
      <c r="X434" s="4">
        <f>IF(ISERROR(VLOOKUP($U$434,'TAR FIN'!$A$1:$O$85,15,0)),0,VLOOKUP($U$434,'TAR FIN'!$A$1:$O$85,15,0))</f>
        <v>291.85000000000002</v>
      </c>
      <c r="Y434" s="4"/>
      <c r="Z434" s="4">
        <f ca="1">('TUSD BE'!$AM$48+'TUSD BF'!$AM$48+'TUSD CVA'!$AM$48)*1</f>
        <v>429.2108574011603</v>
      </c>
      <c r="AA434" s="4">
        <f>('TE BE'!$AB$39+'TE BF'!$AB$39+'TE CVA'!$AB$39)*1</f>
        <v>213.77329191067864</v>
      </c>
      <c r="AB434" s="4">
        <f>$K$434*$V$434</f>
        <v>0</v>
      </c>
      <c r="AC434" s="4">
        <f>$M$434*$W$434</f>
        <v>7445.0767599999999</v>
      </c>
      <c r="AD434" s="4">
        <f>$O$434*$X$434</f>
        <v>5862.0991000000004</v>
      </c>
      <c r="AE434" s="4">
        <f>$K$434*$Y$434</f>
        <v>0</v>
      </c>
      <c r="AF434" s="4">
        <f ca="1">$M$434*$Z$434</f>
        <v>8621.1292817597059</v>
      </c>
      <c r="AG434" s="4">
        <f>$O$434*$AA$434</f>
        <v>4293.8503413178905</v>
      </c>
    </row>
    <row r="435" spans="1:33" ht="11.25" customHeight="1" x14ac:dyDescent="0.3">
      <c r="A435" s="3" t="s">
        <v>21</v>
      </c>
      <c r="B435" s="3" t="s">
        <v>32</v>
      </c>
      <c r="C435" s="3" t="s">
        <v>23</v>
      </c>
      <c r="D435" s="3" t="s">
        <v>33</v>
      </c>
      <c r="E435" s="3" t="s">
        <v>25</v>
      </c>
      <c r="F435" s="3" t="s">
        <v>25</v>
      </c>
      <c r="G435" s="3" t="s">
        <v>25</v>
      </c>
      <c r="H435" s="3" t="s">
        <v>25</v>
      </c>
      <c r="I435" s="6">
        <v>44621</v>
      </c>
      <c r="J435" s="4">
        <v>0</v>
      </c>
      <c r="K435" s="4">
        <v>0</v>
      </c>
      <c r="L435" s="4">
        <v>235.19399999999999</v>
      </c>
      <c r="M435" s="4">
        <v>235.19399999999999</v>
      </c>
      <c r="N435" s="4">
        <v>235.19399999999999</v>
      </c>
      <c r="O435" s="4">
        <v>235.19399999999999</v>
      </c>
      <c r="P435" s="4">
        <v>109</v>
      </c>
      <c r="Q435" s="3" t="s">
        <v>26</v>
      </c>
      <c r="R435" s="3">
        <v>0</v>
      </c>
      <c r="S435" s="4">
        <v>0</v>
      </c>
      <c r="T435" s="4">
        <v>27</v>
      </c>
      <c r="U435" s="4">
        <v>76</v>
      </c>
      <c r="V435" s="4">
        <f>IF(ISERROR(VLOOKUP($S$435,'TAR FIN'!$A$1:$O$85,15,0)),0,VLOOKUP($S$435,'TAR FIN'!$A$1:$O$85,15,0))</f>
        <v>0</v>
      </c>
      <c r="W435" s="4">
        <f>IF(ISERROR(VLOOKUP($T$435,'TAR FIN'!$A$1:$O$85,15,0)),0,VLOOKUP($T$435,'TAR FIN'!$A$1:$O$85,15,0))</f>
        <v>370.66</v>
      </c>
      <c r="X435" s="4">
        <f>IF(ISERROR(VLOOKUP($U$435,'TAR FIN'!$A$1:$O$85,15,0)),0,VLOOKUP($U$435,'TAR FIN'!$A$1:$O$85,15,0))</f>
        <v>291.85000000000002</v>
      </c>
      <c r="Y435" s="4"/>
      <c r="Z435" s="4">
        <f ca="1">('TUSD BE'!$AM$48+'TUSD BF'!$AM$48+'TUSD CVA'!$AM$48)*1</f>
        <v>429.2108574011603</v>
      </c>
      <c r="AA435" s="4">
        <f>('TE BE'!$AB$39+'TE BF'!$AB$39+'TE CVA'!$AB$39)*1</f>
        <v>213.77329191067864</v>
      </c>
      <c r="AB435" s="4">
        <f>$K$435*$V$435</f>
        <v>0</v>
      </c>
      <c r="AC435" s="4">
        <f>$M$435*$W$435</f>
        <v>87177.008040000001</v>
      </c>
      <c r="AD435" s="4">
        <f>$O$435*$X$435</f>
        <v>68641.368900000001</v>
      </c>
      <c r="AE435" s="4">
        <f>$K$435*$Y$435</f>
        <v>0</v>
      </c>
      <c r="AF435" s="4">
        <f ca="1">$M$435*$Z$435</f>
        <v>100947.81839560848</v>
      </c>
      <c r="AG435" s="4">
        <f>$O$435*$AA$435</f>
        <v>50278.195617640151</v>
      </c>
    </row>
    <row r="436" spans="1:33" ht="11.25" customHeight="1" x14ac:dyDescent="0.3">
      <c r="A436" s="3" t="s">
        <v>27</v>
      </c>
      <c r="B436" s="3" t="s">
        <v>32</v>
      </c>
      <c r="C436" s="3" t="s">
        <v>23</v>
      </c>
      <c r="D436" s="3" t="s">
        <v>33</v>
      </c>
      <c r="E436" s="3" t="s">
        <v>25</v>
      </c>
      <c r="F436" s="3" t="s">
        <v>25</v>
      </c>
      <c r="G436" s="3" t="s">
        <v>25</v>
      </c>
      <c r="H436" s="3" t="s">
        <v>25</v>
      </c>
      <c r="I436" s="6">
        <v>44621</v>
      </c>
      <c r="J436" s="4">
        <v>0</v>
      </c>
      <c r="K436" s="4">
        <v>0</v>
      </c>
      <c r="L436" s="4">
        <v>28.888000000000002</v>
      </c>
      <c r="M436" s="4">
        <v>28.888000000000002</v>
      </c>
      <c r="N436" s="4">
        <v>28.888000000000002</v>
      </c>
      <c r="O436" s="4">
        <v>28.888000000000002</v>
      </c>
      <c r="P436" s="4">
        <v>23</v>
      </c>
      <c r="Q436" s="3" t="s">
        <v>26</v>
      </c>
      <c r="R436" s="3">
        <v>0</v>
      </c>
      <c r="S436" s="4">
        <v>0</v>
      </c>
      <c r="T436" s="4">
        <v>27</v>
      </c>
      <c r="U436" s="4">
        <v>76</v>
      </c>
      <c r="V436" s="4">
        <f>IF(ISERROR(VLOOKUP($S$436,'TAR FIN'!$A$1:$O$85,15,0)),0,VLOOKUP($S$436,'TAR FIN'!$A$1:$O$85,15,0))</f>
        <v>0</v>
      </c>
      <c r="W436" s="4">
        <f>IF(ISERROR(VLOOKUP($T$436,'TAR FIN'!$A$1:$O$85,15,0)),0,VLOOKUP($T$436,'TAR FIN'!$A$1:$O$85,15,0))</f>
        <v>370.66</v>
      </c>
      <c r="X436" s="4">
        <f>IF(ISERROR(VLOOKUP($U$436,'TAR FIN'!$A$1:$O$85,15,0)),0,VLOOKUP($U$436,'TAR FIN'!$A$1:$O$85,15,0))</f>
        <v>291.85000000000002</v>
      </c>
      <c r="Y436" s="4"/>
      <c r="Z436" s="4">
        <f ca="1">('TUSD BE'!$AM$48+'TUSD BF'!$AM$48+'TUSD CVA'!$AM$48)*1</f>
        <v>429.2108574011603</v>
      </c>
      <c r="AA436" s="4">
        <f>('TE BE'!$AB$39+'TE BF'!$AB$39+'TE CVA'!$AB$39)*1</f>
        <v>213.77329191067864</v>
      </c>
      <c r="AB436" s="4">
        <f>$K$436*$V$436</f>
        <v>0</v>
      </c>
      <c r="AC436" s="4">
        <f>$M$436*$W$436</f>
        <v>10707.626080000002</v>
      </c>
      <c r="AD436" s="4">
        <f>$O$436*$X$436</f>
        <v>8430.9628000000012</v>
      </c>
      <c r="AE436" s="4">
        <f>$K$436*$Y$436</f>
        <v>0</v>
      </c>
      <c r="AF436" s="4">
        <f ca="1">$M$436*$Z$436</f>
        <v>12399.043248604719</v>
      </c>
      <c r="AG436" s="4">
        <f>$O$436*$AA$436</f>
        <v>6175.4828567156846</v>
      </c>
    </row>
    <row r="437" spans="1:33" ht="11.25" customHeight="1" x14ac:dyDescent="0.3">
      <c r="A437" s="3" t="s">
        <v>21</v>
      </c>
      <c r="B437" s="3" t="s">
        <v>32</v>
      </c>
      <c r="C437" s="3" t="s">
        <v>23</v>
      </c>
      <c r="D437" s="3" t="s">
        <v>33</v>
      </c>
      <c r="E437" s="3" t="s">
        <v>25</v>
      </c>
      <c r="F437" s="3" t="s">
        <v>25</v>
      </c>
      <c r="G437" s="3" t="s">
        <v>25</v>
      </c>
      <c r="H437" s="3" t="s">
        <v>25</v>
      </c>
      <c r="I437" s="6">
        <v>44652</v>
      </c>
      <c r="J437" s="4">
        <v>0</v>
      </c>
      <c r="K437" s="4">
        <v>0</v>
      </c>
      <c r="L437" s="4">
        <v>231.643</v>
      </c>
      <c r="M437" s="4">
        <v>231.643</v>
      </c>
      <c r="N437" s="4">
        <v>231.643</v>
      </c>
      <c r="O437" s="4">
        <v>231.643</v>
      </c>
      <c r="P437" s="4">
        <v>110</v>
      </c>
      <c r="Q437" s="3" t="s">
        <v>26</v>
      </c>
      <c r="R437" s="3">
        <v>0</v>
      </c>
      <c r="S437" s="4">
        <v>0</v>
      </c>
      <c r="T437" s="4">
        <v>27</v>
      </c>
      <c r="U437" s="4">
        <v>76</v>
      </c>
      <c r="V437" s="4">
        <f>IF(ISERROR(VLOOKUP($S$437,'TAR FIN'!$A$1:$O$85,15,0)),0,VLOOKUP($S$437,'TAR FIN'!$A$1:$O$85,15,0))</f>
        <v>0</v>
      </c>
      <c r="W437" s="4">
        <f>IF(ISERROR(VLOOKUP($T$437,'TAR FIN'!$A$1:$O$85,15,0)),0,VLOOKUP($T$437,'TAR FIN'!$A$1:$O$85,15,0))</f>
        <v>370.66</v>
      </c>
      <c r="X437" s="4">
        <f>IF(ISERROR(VLOOKUP($U$437,'TAR FIN'!$A$1:$O$85,15,0)),0,VLOOKUP($U$437,'TAR FIN'!$A$1:$O$85,15,0))</f>
        <v>291.85000000000002</v>
      </c>
      <c r="Y437" s="4"/>
      <c r="Z437" s="4">
        <f ca="1">('TUSD BE'!$AM$48+'TUSD BF'!$AM$48+'TUSD CVA'!$AM$48)*1</f>
        <v>429.2108574011603</v>
      </c>
      <c r="AA437" s="4">
        <f>('TE BE'!$AB$39+'TE BF'!$AB$39+'TE CVA'!$AB$39)*1</f>
        <v>213.77329191067864</v>
      </c>
      <c r="AB437" s="4">
        <f>$K$437*$V$437</f>
        <v>0</v>
      </c>
      <c r="AC437" s="4">
        <f>$M$437*$W$437</f>
        <v>85860.794380000007</v>
      </c>
      <c r="AD437" s="4">
        <f>$O$437*$X$437</f>
        <v>67605.009550000002</v>
      </c>
      <c r="AE437" s="4">
        <f>$K$437*$Y$437</f>
        <v>0</v>
      </c>
      <c r="AF437" s="4">
        <f ca="1">$M$437*$Z$437</f>
        <v>99423.690640976973</v>
      </c>
      <c r="AG437" s="4">
        <f>$O$437*$AA$437</f>
        <v>49519.086658065331</v>
      </c>
    </row>
    <row r="438" spans="1:33" ht="11.25" customHeight="1" x14ac:dyDescent="0.3">
      <c r="A438" s="3" t="s">
        <v>27</v>
      </c>
      <c r="B438" s="3" t="s">
        <v>32</v>
      </c>
      <c r="C438" s="3" t="s">
        <v>23</v>
      </c>
      <c r="D438" s="3" t="s">
        <v>33</v>
      </c>
      <c r="E438" s="3" t="s">
        <v>25</v>
      </c>
      <c r="F438" s="3" t="s">
        <v>25</v>
      </c>
      <c r="G438" s="3" t="s">
        <v>25</v>
      </c>
      <c r="H438" s="3" t="s">
        <v>25</v>
      </c>
      <c r="I438" s="6">
        <v>44652</v>
      </c>
      <c r="J438" s="4">
        <v>0</v>
      </c>
      <c r="K438" s="4">
        <v>0</v>
      </c>
      <c r="L438" s="4">
        <v>32.756999999999998</v>
      </c>
      <c r="M438" s="4">
        <v>32.756999999999998</v>
      </c>
      <c r="N438" s="4">
        <v>32.756999999999998</v>
      </c>
      <c r="O438" s="4">
        <v>32.756999999999998</v>
      </c>
      <c r="P438" s="4">
        <v>23</v>
      </c>
      <c r="Q438" s="3" t="s">
        <v>26</v>
      </c>
      <c r="R438" s="3">
        <v>0</v>
      </c>
      <c r="S438" s="4">
        <v>0</v>
      </c>
      <c r="T438" s="4">
        <v>27</v>
      </c>
      <c r="U438" s="4">
        <v>76</v>
      </c>
      <c r="V438" s="4">
        <f>IF(ISERROR(VLOOKUP($S$438,'TAR FIN'!$A$1:$O$85,15,0)),0,VLOOKUP($S$438,'TAR FIN'!$A$1:$O$85,15,0))</f>
        <v>0</v>
      </c>
      <c r="W438" s="4">
        <f>IF(ISERROR(VLOOKUP($T$438,'TAR FIN'!$A$1:$O$85,15,0)),0,VLOOKUP($T$438,'TAR FIN'!$A$1:$O$85,15,0))</f>
        <v>370.66</v>
      </c>
      <c r="X438" s="4">
        <f>IF(ISERROR(VLOOKUP($U$438,'TAR FIN'!$A$1:$O$85,15,0)),0,VLOOKUP($U$438,'TAR FIN'!$A$1:$O$85,15,0))</f>
        <v>291.85000000000002</v>
      </c>
      <c r="Y438" s="4"/>
      <c r="Z438" s="4">
        <f ca="1">('TUSD BE'!$AM$48+'TUSD BF'!$AM$48+'TUSD CVA'!$AM$48)*1</f>
        <v>429.2108574011603</v>
      </c>
      <c r="AA438" s="4">
        <f>('TE BE'!$AB$39+'TE BF'!$AB$39+'TE CVA'!$AB$39)*1</f>
        <v>213.77329191067864</v>
      </c>
      <c r="AB438" s="4">
        <f>$K$438*$V$438</f>
        <v>0</v>
      </c>
      <c r="AC438" s="4">
        <f>$M$438*$W$438</f>
        <v>12141.70962</v>
      </c>
      <c r="AD438" s="4">
        <f>$O$438*$X$438</f>
        <v>9560.1304500000006</v>
      </c>
      <c r="AE438" s="4">
        <f>$K$438*$Y$438</f>
        <v>0</v>
      </c>
      <c r="AF438" s="4">
        <f ca="1">$M$438*$Z$438</f>
        <v>14059.660055889806</v>
      </c>
      <c r="AG438" s="4">
        <f>$O$438*$AA$438</f>
        <v>7002.5717231180997</v>
      </c>
    </row>
    <row r="439" spans="1:33" ht="11.25" customHeight="1" x14ac:dyDescent="0.3">
      <c r="A439" s="3" t="s">
        <v>21</v>
      </c>
      <c r="B439" s="3" t="s">
        <v>32</v>
      </c>
      <c r="C439" s="3" t="s">
        <v>23</v>
      </c>
      <c r="D439" s="3" t="s">
        <v>33</v>
      </c>
      <c r="E439" s="3" t="s">
        <v>25</v>
      </c>
      <c r="F439" s="3" t="s">
        <v>25</v>
      </c>
      <c r="G439" s="3" t="s">
        <v>25</v>
      </c>
      <c r="H439" s="3" t="s">
        <v>25</v>
      </c>
      <c r="I439" s="6">
        <v>44682</v>
      </c>
      <c r="J439" s="4">
        <v>0</v>
      </c>
      <c r="K439" s="4">
        <v>0</v>
      </c>
      <c r="L439" s="4">
        <v>221.31</v>
      </c>
      <c r="M439" s="4">
        <v>221.31</v>
      </c>
      <c r="N439" s="4">
        <v>221.31</v>
      </c>
      <c r="O439" s="4">
        <v>221.31</v>
      </c>
      <c r="P439" s="4">
        <v>108</v>
      </c>
      <c r="Q439" s="3" t="s">
        <v>26</v>
      </c>
      <c r="R439" s="3">
        <v>0</v>
      </c>
      <c r="S439" s="4">
        <v>0</v>
      </c>
      <c r="T439" s="4">
        <v>27</v>
      </c>
      <c r="U439" s="4">
        <v>76</v>
      </c>
      <c r="V439" s="4">
        <f>IF(ISERROR(VLOOKUP($S$439,'TAR FIN'!$A$1:$O$85,15,0)),0,VLOOKUP($S$439,'TAR FIN'!$A$1:$O$85,15,0))</f>
        <v>0</v>
      </c>
      <c r="W439" s="4">
        <f>IF(ISERROR(VLOOKUP($T$439,'TAR FIN'!$A$1:$O$85,15,0)),0,VLOOKUP($T$439,'TAR FIN'!$A$1:$O$85,15,0))</f>
        <v>370.66</v>
      </c>
      <c r="X439" s="4">
        <f>IF(ISERROR(VLOOKUP($U$439,'TAR FIN'!$A$1:$O$85,15,0)),0,VLOOKUP($U$439,'TAR FIN'!$A$1:$O$85,15,0))</f>
        <v>291.85000000000002</v>
      </c>
      <c r="Y439" s="4"/>
      <c r="Z439" s="4">
        <f ca="1">('TUSD BE'!$AM$48+'TUSD BF'!$AM$48+'TUSD CVA'!$AM$48)*1</f>
        <v>429.2108574011603</v>
      </c>
      <c r="AA439" s="4">
        <f>('TE BE'!$AB$39+'TE BF'!$AB$39+'TE CVA'!$AB$39)*1</f>
        <v>213.77329191067864</v>
      </c>
      <c r="AB439" s="4">
        <f>$K$439*$V$439</f>
        <v>0</v>
      </c>
      <c r="AC439" s="4">
        <f>$M$439*$W$439</f>
        <v>82030.76460000001</v>
      </c>
      <c r="AD439" s="4">
        <f>$O$439*$X$439</f>
        <v>64589.323500000006</v>
      </c>
      <c r="AE439" s="4">
        <f>$K$439*$Y$439</f>
        <v>0</v>
      </c>
      <c r="AF439" s="4">
        <f ca="1">$M$439*$Z$439</f>
        <v>94988.654851450789</v>
      </c>
      <c r="AG439" s="4">
        <f>$O$439*$AA$439</f>
        <v>47310.16723275229</v>
      </c>
    </row>
    <row r="440" spans="1:33" ht="11.25" customHeight="1" x14ac:dyDescent="0.3">
      <c r="A440" s="3" t="s">
        <v>27</v>
      </c>
      <c r="B440" s="3" t="s">
        <v>32</v>
      </c>
      <c r="C440" s="3" t="s">
        <v>23</v>
      </c>
      <c r="D440" s="3" t="s">
        <v>33</v>
      </c>
      <c r="E440" s="3" t="s">
        <v>25</v>
      </c>
      <c r="F440" s="3" t="s">
        <v>25</v>
      </c>
      <c r="G440" s="3" t="s">
        <v>25</v>
      </c>
      <c r="H440" s="3" t="s">
        <v>25</v>
      </c>
      <c r="I440" s="6">
        <v>44682</v>
      </c>
      <c r="J440" s="4">
        <v>0</v>
      </c>
      <c r="K440" s="4">
        <v>0</v>
      </c>
      <c r="L440" s="4">
        <v>31.154</v>
      </c>
      <c r="M440" s="4">
        <v>31.154</v>
      </c>
      <c r="N440" s="4">
        <v>31.154</v>
      </c>
      <c r="O440" s="4">
        <v>31.154</v>
      </c>
      <c r="P440" s="4">
        <v>24</v>
      </c>
      <c r="Q440" s="3" t="s">
        <v>26</v>
      </c>
      <c r="R440" s="3">
        <v>0</v>
      </c>
      <c r="S440" s="4">
        <v>0</v>
      </c>
      <c r="T440" s="4">
        <v>27</v>
      </c>
      <c r="U440" s="4">
        <v>76</v>
      </c>
      <c r="V440" s="4">
        <f>IF(ISERROR(VLOOKUP($S$440,'TAR FIN'!$A$1:$O$85,15,0)),0,VLOOKUP($S$440,'TAR FIN'!$A$1:$O$85,15,0))</f>
        <v>0</v>
      </c>
      <c r="W440" s="4">
        <f>IF(ISERROR(VLOOKUP($T$440,'TAR FIN'!$A$1:$O$85,15,0)),0,VLOOKUP($T$440,'TAR FIN'!$A$1:$O$85,15,0))</f>
        <v>370.66</v>
      </c>
      <c r="X440" s="4">
        <f>IF(ISERROR(VLOOKUP($U$440,'TAR FIN'!$A$1:$O$85,15,0)),0,VLOOKUP($U$440,'TAR FIN'!$A$1:$O$85,15,0))</f>
        <v>291.85000000000002</v>
      </c>
      <c r="Y440" s="4"/>
      <c r="Z440" s="4">
        <f ca="1">('TUSD BE'!$AM$48+'TUSD BF'!$AM$48+'TUSD CVA'!$AM$48)*1</f>
        <v>429.2108574011603</v>
      </c>
      <c r="AA440" s="4">
        <f>('TE BE'!$AB$39+'TE BF'!$AB$39+'TE CVA'!$AB$39)*1</f>
        <v>213.77329191067864</v>
      </c>
      <c r="AB440" s="4">
        <f>$K$440*$V$440</f>
        <v>0</v>
      </c>
      <c r="AC440" s="4">
        <f>$M$440*$W$440</f>
        <v>11547.541640000001</v>
      </c>
      <c r="AD440" s="4">
        <f>$O$440*$X$440</f>
        <v>9092.2949000000008</v>
      </c>
      <c r="AE440" s="4">
        <f>$K$440*$Y$440</f>
        <v>0</v>
      </c>
      <c r="AF440" s="4">
        <f ca="1">$M$440*$Z$440</f>
        <v>13371.635051475749</v>
      </c>
      <c r="AG440" s="4">
        <f>$O$440*$AA$440</f>
        <v>6659.8931361852819</v>
      </c>
    </row>
    <row r="441" spans="1:33" ht="11.25" customHeight="1" x14ac:dyDescent="0.3">
      <c r="A441" s="3" t="s">
        <v>21</v>
      </c>
      <c r="B441" s="3" t="s">
        <v>32</v>
      </c>
      <c r="C441" s="3" t="s">
        <v>23</v>
      </c>
      <c r="D441" s="3" t="s">
        <v>33</v>
      </c>
      <c r="E441" s="3" t="s">
        <v>25</v>
      </c>
      <c r="F441" s="3" t="s">
        <v>25</v>
      </c>
      <c r="G441" s="3" t="s">
        <v>25</v>
      </c>
      <c r="H441" s="3" t="s">
        <v>25</v>
      </c>
      <c r="I441" s="6">
        <v>44713</v>
      </c>
      <c r="J441" s="4">
        <v>0</v>
      </c>
      <c r="K441" s="4">
        <v>0</v>
      </c>
      <c r="L441" s="4">
        <v>245.06</v>
      </c>
      <c r="M441" s="4">
        <v>245.06</v>
      </c>
      <c r="N441" s="4">
        <v>245.06</v>
      </c>
      <c r="O441" s="4">
        <v>245.06</v>
      </c>
      <c r="P441" s="4">
        <v>104</v>
      </c>
      <c r="Q441" s="3" t="s">
        <v>26</v>
      </c>
      <c r="R441" s="3">
        <v>0</v>
      </c>
      <c r="S441" s="4">
        <v>0</v>
      </c>
      <c r="T441" s="4">
        <v>27</v>
      </c>
      <c r="U441" s="4">
        <v>76</v>
      </c>
      <c r="V441" s="4">
        <f>IF(ISERROR(VLOOKUP($S$441,'TAR FIN'!$A$1:$O$85,15,0)),0,VLOOKUP($S$441,'TAR FIN'!$A$1:$O$85,15,0))</f>
        <v>0</v>
      </c>
      <c r="W441" s="4">
        <f>IF(ISERROR(VLOOKUP($T$441,'TAR FIN'!$A$1:$O$85,15,0)),0,VLOOKUP($T$441,'TAR FIN'!$A$1:$O$85,15,0))</f>
        <v>370.66</v>
      </c>
      <c r="X441" s="4">
        <f>IF(ISERROR(VLOOKUP($U$441,'TAR FIN'!$A$1:$O$85,15,0)),0,VLOOKUP($U$441,'TAR FIN'!$A$1:$O$85,15,0))</f>
        <v>291.85000000000002</v>
      </c>
      <c r="Y441" s="4"/>
      <c r="Z441" s="4">
        <f ca="1">('TUSD BE'!$AM$48+'TUSD BF'!$AM$48+'TUSD CVA'!$AM$48)*1</f>
        <v>429.2108574011603</v>
      </c>
      <c r="AA441" s="4">
        <f>('TE BE'!$AB$39+'TE BF'!$AB$39+'TE CVA'!$AB$39)*1</f>
        <v>213.77329191067864</v>
      </c>
      <c r="AB441" s="4">
        <f>$K$441*$V$441</f>
        <v>0</v>
      </c>
      <c r="AC441" s="4">
        <f>$M$441*$W$441</f>
        <v>90833.939600000012</v>
      </c>
      <c r="AD441" s="4">
        <f>$O$441*$X$441</f>
        <v>71520.761000000013</v>
      </c>
      <c r="AE441" s="4">
        <f>$K$441*$Y$441</f>
        <v>0</v>
      </c>
      <c r="AF441" s="4">
        <f ca="1">$M$441*$Z$441</f>
        <v>105182.41271472834</v>
      </c>
      <c r="AG441" s="4">
        <f>$O$441*$AA$441</f>
        <v>52387.282915630909</v>
      </c>
    </row>
    <row r="442" spans="1:33" ht="11.25" customHeight="1" x14ac:dyDescent="0.3">
      <c r="A442" s="3" t="s">
        <v>27</v>
      </c>
      <c r="B442" s="3" t="s">
        <v>32</v>
      </c>
      <c r="C442" s="3" t="s">
        <v>23</v>
      </c>
      <c r="D442" s="3" t="s">
        <v>33</v>
      </c>
      <c r="E442" s="3" t="s">
        <v>25</v>
      </c>
      <c r="F442" s="3" t="s">
        <v>25</v>
      </c>
      <c r="G442" s="3" t="s">
        <v>25</v>
      </c>
      <c r="H442" s="3" t="s">
        <v>25</v>
      </c>
      <c r="I442" s="6">
        <v>44713</v>
      </c>
      <c r="J442" s="4">
        <v>0</v>
      </c>
      <c r="K442" s="4">
        <v>0</v>
      </c>
      <c r="L442" s="4">
        <v>47.393000000000001</v>
      </c>
      <c r="M442" s="4">
        <v>47.393000000000001</v>
      </c>
      <c r="N442" s="4">
        <v>47.393000000000001</v>
      </c>
      <c r="O442" s="4">
        <v>47.393000000000001</v>
      </c>
      <c r="P442" s="4">
        <v>25</v>
      </c>
      <c r="Q442" s="3" t="s">
        <v>26</v>
      </c>
      <c r="R442" s="3">
        <v>0</v>
      </c>
      <c r="S442" s="4">
        <v>0</v>
      </c>
      <c r="T442" s="4">
        <v>27</v>
      </c>
      <c r="U442" s="4">
        <v>76</v>
      </c>
      <c r="V442" s="4">
        <f>IF(ISERROR(VLOOKUP($S$442,'TAR FIN'!$A$1:$O$85,15,0)),0,VLOOKUP($S$442,'TAR FIN'!$A$1:$O$85,15,0))</f>
        <v>0</v>
      </c>
      <c r="W442" s="4">
        <f>IF(ISERROR(VLOOKUP($T$442,'TAR FIN'!$A$1:$O$85,15,0)),0,VLOOKUP($T$442,'TAR FIN'!$A$1:$O$85,15,0))</f>
        <v>370.66</v>
      </c>
      <c r="X442" s="4">
        <f>IF(ISERROR(VLOOKUP($U$442,'TAR FIN'!$A$1:$O$85,15,0)),0,VLOOKUP($U$442,'TAR FIN'!$A$1:$O$85,15,0))</f>
        <v>291.85000000000002</v>
      </c>
      <c r="Y442" s="4"/>
      <c r="Z442" s="4">
        <f ca="1">('TUSD BE'!$AM$48+'TUSD BF'!$AM$48+'TUSD CVA'!$AM$48)*1</f>
        <v>429.2108574011603</v>
      </c>
      <c r="AA442" s="4">
        <f>('TE BE'!$AB$39+'TE BF'!$AB$39+'TE CVA'!$AB$39)*1</f>
        <v>213.77329191067864</v>
      </c>
      <c r="AB442" s="4">
        <f>$K$442*$V$442</f>
        <v>0</v>
      </c>
      <c r="AC442" s="4">
        <f>$M$442*$W$442</f>
        <v>17566.68938</v>
      </c>
      <c r="AD442" s="4">
        <f>$O$442*$X$442</f>
        <v>13831.647050000001</v>
      </c>
      <c r="AE442" s="4">
        <f>$K$442*$Y$442</f>
        <v>0</v>
      </c>
      <c r="AF442" s="4">
        <f ca="1">$M$442*$Z$442</f>
        <v>20341.590164813191</v>
      </c>
      <c r="AG442" s="4">
        <f>$O$442*$AA$442</f>
        <v>10131.357623522792</v>
      </c>
    </row>
    <row r="443" spans="1:33" ht="11.25" customHeight="1" x14ac:dyDescent="0.3">
      <c r="A443" s="3" t="s">
        <v>21</v>
      </c>
      <c r="B443" s="3" t="s">
        <v>32</v>
      </c>
      <c r="C443" s="3" t="s">
        <v>23</v>
      </c>
      <c r="D443" s="3" t="s">
        <v>33</v>
      </c>
      <c r="E443" s="3" t="s">
        <v>25</v>
      </c>
      <c r="F443" s="3" t="s">
        <v>25</v>
      </c>
      <c r="G443" s="3" t="s">
        <v>25</v>
      </c>
      <c r="H443" s="3" t="s">
        <v>25</v>
      </c>
      <c r="I443" s="6">
        <v>44743</v>
      </c>
      <c r="J443" s="4">
        <v>0</v>
      </c>
      <c r="K443" s="4">
        <v>0</v>
      </c>
      <c r="L443" s="4">
        <v>219.375</v>
      </c>
      <c r="M443" s="4">
        <v>219.375</v>
      </c>
      <c r="N443" s="4">
        <v>219.375</v>
      </c>
      <c r="O443" s="4">
        <v>219.375</v>
      </c>
      <c r="P443" s="4">
        <v>103</v>
      </c>
      <c r="Q443" s="3" t="s">
        <v>26</v>
      </c>
      <c r="R443" s="3">
        <v>0</v>
      </c>
      <c r="S443" s="4">
        <v>0</v>
      </c>
      <c r="T443" s="4">
        <v>27</v>
      </c>
      <c r="U443" s="4">
        <v>76</v>
      </c>
      <c r="V443" s="4">
        <f>IF(ISERROR(VLOOKUP($S$443,'TAR FIN'!$A$1:$O$85,15,0)),0,VLOOKUP($S$443,'TAR FIN'!$A$1:$O$85,15,0))</f>
        <v>0</v>
      </c>
      <c r="W443" s="4">
        <f>IF(ISERROR(VLOOKUP($T$443,'TAR FIN'!$A$1:$O$85,15,0)),0,VLOOKUP($T$443,'TAR FIN'!$A$1:$O$85,15,0))</f>
        <v>370.66</v>
      </c>
      <c r="X443" s="4">
        <f>IF(ISERROR(VLOOKUP($U$443,'TAR FIN'!$A$1:$O$85,15,0)),0,VLOOKUP($U$443,'TAR FIN'!$A$1:$O$85,15,0))</f>
        <v>291.85000000000002</v>
      </c>
      <c r="Y443" s="4"/>
      <c r="Z443" s="4">
        <f ca="1">('TUSD BE'!$AM$48+'TUSD BF'!$AM$48+'TUSD CVA'!$AM$48)*1</f>
        <v>429.2108574011603</v>
      </c>
      <c r="AA443" s="4">
        <f>('TE BE'!$AB$39+'TE BF'!$AB$39+'TE CVA'!$AB$39)*1</f>
        <v>213.77329191067864</v>
      </c>
      <c r="AB443" s="4">
        <f>$K$443*$V$443</f>
        <v>0</v>
      </c>
      <c r="AC443" s="4">
        <f>$M$443*$W$443</f>
        <v>81313.537500000006</v>
      </c>
      <c r="AD443" s="4">
        <f>$O$443*$X$443</f>
        <v>64024.593750000007</v>
      </c>
      <c r="AE443" s="4">
        <f>$K$443*$Y$443</f>
        <v>0</v>
      </c>
      <c r="AF443" s="4">
        <f ca="1">$M$443*$Z$443</f>
        <v>94158.131842379546</v>
      </c>
      <c r="AG443" s="4">
        <f>$O$443*$AA$443</f>
        <v>46896.515912905124</v>
      </c>
    </row>
    <row r="444" spans="1:33" ht="11.25" customHeight="1" x14ac:dyDescent="0.3">
      <c r="A444" s="3" t="s">
        <v>27</v>
      </c>
      <c r="B444" s="3" t="s">
        <v>32</v>
      </c>
      <c r="C444" s="3" t="s">
        <v>23</v>
      </c>
      <c r="D444" s="3" t="s">
        <v>33</v>
      </c>
      <c r="E444" s="3" t="s">
        <v>25</v>
      </c>
      <c r="F444" s="3" t="s">
        <v>25</v>
      </c>
      <c r="G444" s="3" t="s">
        <v>25</v>
      </c>
      <c r="H444" s="3" t="s">
        <v>25</v>
      </c>
      <c r="I444" s="6">
        <v>44743</v>
      </c>
      <c r="J444" s="4">
        <v>0</v>
      </c>
      <c r="K444" s="4">
        <v>0</v>
      </c>
      <c r="L444" s="4">
        <v>58.578000000000003</v>
      </c>
      <c r="M444" s="4">
        <v>58.578000000000003</v>
      </c>
      <c r="N444" s="4">
        <v>58.578000000000003</v>
      </c>
      <c r="O444" s="4">
        <v>58.578000000000003</v>
      </c>
      <c r="P444" s="4">
        <v>26</v>
      </c>
      <c r="Q444" s="3" t="s">
        <v>26</v>
      </c>
      <c r="R444" s="3">
        <v>0</v>
      </c>
      <c r="S444" s="4">
        <v>0</v>
      </c>
      <c r="T444" s="4">
        <v>27</v>
      </c>
      <c r="U444" s="4">
        <v>76</v>
      </c>
      <c r="V444" s="4">
        <f>IF(ISERROR(VLOOKUP($S$444,'TAR FIN'!$A$1:$O$85,15,0)),0,VLOOKUP($S$444,'TAR FIN'!$A$1:$O$85,15,0))</f>
        <v>0</v>
      </c>
      <c r="W444" s="4">
        <f>IF(ISERROR(VLOOKUP($T$444,'TAR FIN'!$A$1:$O$85,15,0)),0,VLOOKUP($T$444,'TAR FIN'!$A$1:$O$85,15,0))</f>
        <v>370.66</v>
      </c>
      <c r="X444" s="4">
        <f>IF(ISERROR(VLOOKUP($U$444,'TAR FIN'!$A$1:$O$85,15,0)),0,VLOOKUP($U$444,'TAR FIN'!$A$1:$O$85,15,0))</f>
        <v>291.85000000000002</v>
      </c>
      <c r="Y444" s="4"/>
      <c r="Z444" s="4">
        <f ca="1">('TUSD BE'!$AM$48+'TUSD BF'!$AM$48+'TUSD CVA'!$AM$48)*1</f>
        <v>429.2108574011603</v>
      </c>
      <c r="AA444" s="4">
        <f>('TE BE'!$AB$39+'TE BF'!$AB$39+'TE CVA'!$AB$39)*1</f>
        <v>213.77329191067864</v>
      </c>
      <c r="AB444" s="4">
        <f>$K$444*$V$444</f>
        <v>0</v>
      </c>
      <c r="AC444" s="4">
        <f>$M$444*$W$444</f>
        <v>21712.521480000003</v>
      </c>
      <c r="AD444" s="4">
        <f>$O$444*$X$444</f>
        <v>17095.989300000001</v>
      </c>
      <c r="AE444" s="4">
        <f>$K$444*$Y$444</f>
        <v>0</v>
      </c>
      <c r="AF444" s="4">
        <f ca="1">$M$444*$Z$444</f>
        <v>25142.313604845171</v>
      </c>
      <c r="AG444" s="4">
        <f>$O$444*$AA$444</f>
        <v>12522.411893543735</v>
      </c>
    </row>
    <row r="445" spans="1:33" ht="11.25" customHeight="1" x14ac:dyDescent="0.3">
      <c r="A445" s="3" t="s">
        <v>53</v>
      </c>
      <c r="B445" s="3" t="s">
        <v>32</v>
      </c>
      <c r="C445" s="3" t="s">
        <v>23</v>
      </c>
      <c r="D445" s="3" t="s">
        <v>33</v>
      </c>
      <c r="E445" s="3" t="s">
        <v>25</v>
      </c>
      <c r="F445" s="3" t="s">
        <v>25</v>
      </c>
      <c r="G445" s="3" t="s">
        <v>25</v>
      </c>
      <c r="H445" s="3" t="s">
        <v>25</v>
      </c>
      <c r="I445" s="6">
        <v>44774</v>
      </c>
      <c r="J445" s="4">
        <v>0</v>
      </c>
      <c r="K445" s="4">
        <v>0</v>
      </c>
      <c r="L445" s="4">
        <v>219.375</v>
      </c>
      <c r="M445" s="4">
        <v>219.375</v>
      </c>
      <c r="N445" s="4">
        <v>219.375</v>
      </c>
      <c r="O445" s="4">
        <v>219.375</v>
      </c>
      <c r="P445" s="4">
        <v>103</v>
      </c>
      <c r="Q445" s="3" t="s">
        <v>26</v>
      </c>
      <c r="R445" s="3">
        <v>0</v>
      </c>
      <c r="S445" s="4">
        <v>0</v>
      </c>
      <c r="T445" s="4">
        <v>27</v>
      </c>
      <c r="U445" s="4">
        <v>76</v>
      </c>
      <c r="V445" s="4">
        <f>IF(ISERROR(VLOOKUP($S$445,'TAR FIN'!$A$1:$O$85,15,0)),0,VLOOKUP($S$445,'TAR FIN'!$A$1:$O$85,15,0))</f>
        <v>0</v>
      </c>
      <c r="W445" s="4">
        <f>IF(ISERROR(VLOOKUP($T$445,'TAR FIN'!$A$1:$O$85,15,0)),0,VLOOKUP($T$445,'TAR FIN'!$A$1:$O$85,15,0))</f>
        <v>370.66</v>
      </c>
      <c r="X445" s="4">
        <f>IF(ISERROR(VLOOKUP($U$445,'TAR FIN'!$A$1:$O$85,15,0)),0,VLOOKUP($U$445,'TAR FIN'!$A$1:$O$85,15,0))</f>
        <v>291.85000000000002</v>
      </c>
      <c r="Y445" s="4"/>
      <c r="Z445" s="4">
        <f ca="1">('TUSD BE'!$AM$48+'TUSD BF'!$AM$48+'TUSD CVA'!$AM$48)*1</f>
        <v>429.2108574011603</v>
      </c>
      <c r="AA445" s="4">
        <f>('TE BE'!$AB$39+'TE BF'!$AB$39+'TE CVA'!$AB$39)*1</f>
        <v>213.77329191067864</v>
      </c>
      <c r="AB445" s="4">
        <f>$K$445*$V$445</f>
        <v>0</v>
      </c>
      <c r="AC445" s="4">
        <f>$M$445*$W$445</f>
        <v>81313.537500000006</v>
      </c>
      <c r="AD445" s="4">
        <f>$O$445*$X$445</f>
        <v>64024.593750000007</v>
      </c>
      <c r="AE445" s="4">
        <f>$K$445*$Y$445</f>
        <v>0</v>
      </c>
      <c r="AF445" s="4">
        <f ca="1">$M$445*$Z$445</f>
        <v>94158.131842379546</v>
      </c>
      <c r="AG445" s="4">
        <f>$O$445*$AA$445</f>
        <v>46896.515912905124</v>
      </c>
    </row>
    <row r="446" spans="1:33" ht="11.25" customHeight="1" x14ac:dyDescent="0.3">
      <c r="A446" s="3" t="s">
        <v>53</v>
      </c>
      <c r="B446" s="3" t="s">
        <v>32</v>
      </c>
      <c r="C446" s="3" t="s">
        <v>23</v>
      </c>
      <c r="D446" s="3" t="s">
        <v>33</v>
      </c>
      <c r="E446" s="3" t="s">
        <v>25</v>
      </c>
      <c r="F446" s="3" t="s">
        <v>25</v>
      </c>
      <c r="G446" s="3" t="s">
        <v>25</v>
      </c>
      <c r="H446" s="3" t="s">
        <v>25</v>
      </c>
      <c r="I446" s="6">
        <v>44774</v>
      </c>
      <c r="J446" s="4">
        <v>0</v>
      </c>
      <c r="K446" s="4">
        <v>0</v>
      </c>
      <c r="L446" s="4">
        <v>58.578000000000003</v>
      </c>
      <c r="M446" s="4">
        <v>58.578000000000003</v>
      </c>
      <c r="N446" s="4">
        <v>58.578000000000003</v>
      </c>
      <c r="O446" s="4">
        <v>58.578000000000003</v>
      </c>
      <c r="P446" s="4">
        <v>26</v>
      </c>
      <c r="Q446" s="3" t="s">
        <v>26</v>
      </c>
      <c r="R446" s="3">
        <v>0</v>
      </c>
      <c r="S446" s="4">
        <v>0</v>
      </c>
      <c r="T446" s="4">
        <v>27</v>
      </c>
      <c r="U446" s="4">
        <v>76</v>
      </c>
      <c r="V446" s="4">
        <f>IF(ISERROR(VLOOKUP($S$446,'TAR FIN'!$A$1:$O$85,15,0)),0,VLOOKUP($S$446,'TAR FIN'!$A$1:$O$85,15,0))</f>
        <v>0</v>
      </c>
      <c r="W446" s="4">
        <f>IF(ISERROR(VLOOKUP($T$446,'TAR FIN'!$A$1:$O$85,15,0)),0,VLOOKUP($T$446,'TAR FIN'!$A$1:$O$85,15,0))</f>
        <v>370.66</v>
      </c>
      <c r="X446" s="4">
        <f>IF(ISERROR(VLOOKUP($U$446,'TAR FIN'!$A$1:$O$85,15,0)),0,VLOOKUP($U$446,'TAR FIN'!$A$1:$O$85,15,0))</f>
        <v>291.85000000000002</v>
      </c>
      <c r="Y446" s="4"/>
      <c r="Z446" s="4">
        <f ca="1">('TUSD BE'!$AM$48+'TUSD BF'!$AM$48+'TUSD CVA'!$AM$48)*1</f>
        <v>429.2108574011603</v>
      </c>
      <c r="AA446" s="4">
        <f>('TE BE'!$AB$39+'TE BF'!$AB$39+'TE CVA'!$AB$39)*1</f>
        <v>213.77329191067864</v>
      </c>
      <c r="AB446" s="4">
        <f>$K$446*$V$446</f>
        <v>0</v>
      </c>
      <c r="AC446" s="4">
        <f>$M$446*$W$446</f>
        <v>21712.521480000003</v>
      </c>
      <c r="AD446" s="4">
        <f>$O$446*$X$446</f>
        <v>17095.989300000001</v>
      </c>
      <c r="AE446" s="4">
        <f>$K$446*$Y$446</f>
        <v>0</v>
      </c>
      <c r="AF446" s="4">
        <f ca="1">$M$446*$Z$446</f>
        <v>25142.313604845171</v>
      </c>
      <c r="AG446" s="4">
        <f>$O$446*$AA$446</f>
        <v>12522.411893543735</v>
      </c>
    </row>
    <row r="447" spans="1:33" ht="11.25" customHeight="1" x14ac:dyDescent="0.3">
      <c r="A447" s="3" t="s">
        <v>21</v>
      </c>
      <c r="B447" s="3" t="s">
        <v>32</v>
      </c>
      <c r="C447" s="3" t="s">
        <v>23</v>
      </c>
      <c r="D447" s="3" t="s">
        <v>42</v>
      </c>
      <c r="E447" s="3" t="s">
        <v>25</v>
      </c>
      <c r="F447" s="3" t="s">
        <v>25</v>
      </c>
      <c r="G447" s="3" t="s">
        <v>25</v>
      </c>
      <c r="H447" s="3" t="s">
        <v>25</v>
      </c>
      <c r="I447" s="6">
        <v>44440</v>
      </c>
      <c r="J447" s="4">
        <v>0</v>
      </c>
      <c r="K447" s="4">
        <v>0</v>
      </c>
      <c r="L447" s="4">
        <v>55.954000000000001</v>
      </c>
      <c r="M447" s="4">
        <v>55.954000000000001</v>
      </c>
      <c r="N447" s="4">
        <v>55.954000000000001</v>
      </c>
      <c r="O447" s="4">
        <v>55.954000000000001</v>
      </c>
      <c r="P447" s="4">
        <v>100</v>
      </c>
      <c r="Q447" s="3" t="s">
        <v>26</v>
      </c>
      <c r="R447" s="3">
        <v>0</v>
      </c>
      <c r="S447" s="4">
        <v>0</v>
      </c>
      <c r="T447" s="4">
        <v>27</v>
      </c>
      <c r="U447" s="4">
        <v>76</v>
      </c>
      <c r="V447" s="4">
        <f>IF(ISERROR(VLOOKUP($S$447,'TAR FIN'!$A$1:$O$85,15,0)),0,VLOOKUP($S$447,'TAR FIN'!$A$1:$O$85,15,0))</f>
        <v>0</v>
      </c>
      <c r="W447" s="4">
        <f>IF(ISERROR(VLOOKUP($T$447,'TAR FIN'!$A$1:$O$85,15,0)),0,VLOOKUP($T$447,'TAR FIN'!$A$1:$O$85,15,0))</f>
        <v>370.66</v>
      </c>
      <c r="X447" s="4">
        <f>IF(ISERROR(VLOOKUP($U$447,'TAR FIN'!$A$1:$O$85,15,0)),0,VLOOKUP($U$447,'TAR FIN'!$A$1:$O$85,15,0))</f>
        <v>291.85000000000002</v>
      </c>
      <c r="Y447" s="4"/>
      <c r="Z447" s="4">
        <f ca="1">('TUSD BE'!$AM$48+'TUSD BF'!$AM$48+'TUSD CVA'!$AM$48)*1</f>
        <v>429.2108574011603</v>
      </c>
      <c r="AA447" s="4">
        <f>('TE BE'!$AB$39+'TE BF'!$AB$39+'TE CVA'!$AB$39)*1</f>
        <v>213.77329191067864</v>
      </c>
      <c r="AB447" s="4">
        <f>$K$447*$V$447</f>
        <v>0</v>
      </c>
      <c r="AC447" s="4">
        <f>$M$447*$W$447</f>
        <v>20739.909640000002</v>
      </c>
      <c r="AD447" s="4">
        <f>$O$447*$X$447</f>
        <v>16330.174900000002</v>
      </c>
      <c r="AE447" s="4">
        <f>$K$447*$Y$447</f>
        <v>0</v>
      </c>
      <c r="AF447" s="4">
        <f ca="1">$M$447*$Z$447</f>
        <v>24016.064315024523</v>
      </c>
      <c r="AG447" s="4">
        <f>$O$447*$AA$447</f>
        <v>11961.470775570113</v>
      </c>
    </row>
    <row r="448" spans="1:33" ht="11.25" customHeight="1" x14ac:dyDescent="0.3">
      <c r="A448" s="3" t="s">
        <v>21</v>
      </c>
      <c r="B448" s="3" t="s">
        <v>32</v>
      </c>
      <c r="C448" s="3" t="s">
        <v>23</v>
      </c>
      <c r="D448" s="3" t="s">
        <v>42</v>
      </c>
      <c r="E448" s="3" t="s">
        <v>25</v>
      </c>
      <c r="F448" s="3" t="s">
        <v>25</v>
      </c>
      <c r="G448" s="3" t="s">
        <v>25</v>
      </c>
      <c r="H448" s="3" t="s">
        <v>25</v>
      </c>
      <c r="I448" s="6">
        <v>44470</v>
      </c>
      <c r="J448" s="4">
        <v>0</v>
      </c>
      <c r="K448" s="4">
        <v>0</v>
      </c>
      <c r="L448" s="4">
        <v>59.122</v>
      </c>
      <c r="M448" s="4">
        <v>59.122</v>
      </c>
      <c r="N448" s="4">
        <v>59.122</v>
      </c>
      <c r="O448" s="4">
        <v>59.122</v>
      </c>
      <c r="P448" s="4">
        <v>100</v>
      </c>
      <c r="Q448" s="3" t="s">
        <v>26</v>
      </c>
      <c r="R448" s="3">
        <v>0</v>
      </c>
      <c r="S448" s="4">
        <v>0</v>
      </c>
      <c r="T448" s="4">
        <v>27</v>
      </c>
      <c r="U448" s="4">
        <v>76</v>
      </c>
      <c r="V448" s="4">
        <f>IF(ISERROR(VLOOKUP($S$448,'TAR FIN'!$A$1:$O$85,15,0)),0,VLOOKUP($S$448,'TAR FIN'!$A$1:$O$85,15,0))</f>
        <v>0</v>
      </c>
      <c r="W448" s="4">
        <f>IF(ISERROR(VLOOKUP($T$448,'TAR FIN'!$A$1:$O$85,15,0)),0,VLOOKUP($T$448,'TAR FIN'!$A$1:$O$85,15,0))</f>
        <v>370.66</v>
      </c>
      <c r="X448" s="4">
        <f>IF(ISERROR(VLOOKUP($U$448,'TAR FIN'!$A$1:$O$85,15,0)),0,VLOOKUP($U$448,'TAR FIN'!$A$1:$O$85,15,0))</f>
        <v>291.85000000000002</v>
      </c>
      <c r="Y448" s="4"/>
      <c r="Z448" s="4">
        <f ca="1">('TUSD BE'!$AM$48+'TUSD BF'!$AM$48+'TUSD CVA'!$AM$48)*1</f>
        <v>429.2108574011603</v>
      </c>
      <c r="AA448" s="4">
        <f>('TE BE'!$AB$39+'TE BF'!$AB$39+'TE CVA'!$AB$39)*1</f>
        <v>213.77329191067864</v>
      </c>
      <c r="AB448" s="4">
        <f>$K$448*$V$448</f>
        <v>0</v>
      </c>
      <c r="AC448" s="4">
        <f>$M$448*$W$448</f>
        <v>21914.160520000001</v>
      </c>
      <c r="AD448" s="4">
        <f>$O$448*$X$448</f>
        <v>17254.755700000002</v>
      </c>
      <c r="AE448" s="4">
        <f>$K$448*$Y$448</f>
        <v>0</v>
      </c>
      <c r="AF448" s="4">
        <f ca="1">$M$448*$Z$448</f>
        <v>25375.8043112714</v>
      </c>
      <c r="AG448" s="4">
        <f>$O$448*$AA$448</f>
        <v>12638.704564343143</v>
      </c>
    </row>
    <row r="449" spans="1:33" ht="11.25" customHeight="1" x14ac:dyDescent="0.3">
      <c r="A449" s="3" t="s">
        <v>21</v>
      </c>
      <c r="B449" s="3" t="s">
        <v>32</v>
      </c>
      <c r="C449" s="3" t="s">
        <v>23</v>
      </c>
      <c r="D449" s="3" t="s">
        <v>42</v>
      </c>
      <c r="E449" s="3" t="s">
        <v>25</v>
      </c>
      <c r="F449" s="3" t="s">
        <v>25</v>
      </c>
      <c r="G449" s="3" t="s">
        <v>25</v>
      </c>
      <c r="H449" s="3" t="s">
        <v>25</v>
      </c>
      <c r="I449" s="6">
        <v>44501</v>
      </c>
      <c r="J449" s="4">
        <v>0</v>
      </c>
      <c r="K449" s="4">
        <v>0</v>
      </c>
      <c r="L449" s="4">
        <v>67.272999999999996</v>
      </c>
      <c r="M449" s="4">
        <v>67.272999999999996</v>
      </c>
      <c r="N449" s="4">
        <v>67.272999999999996</v>
      </c>
      <c r="O449" s="4">
        <v>67.272999999999996</v>
      </c>
      <c r="P449" s="4">
        <v>100</v>
      </c>
      <c r="Q449" s="3" t="s">
        <v>26</v>
      </c>
      <c r="R449" s="3">
        <v>0</v>
      </c>
      <c r="S449" s="4">
        <v>0</v>
      </c>
      <c r="T449" s="4">
        <v>27</v>
      </c>
      <c r="U449" s="4">
        <v>76</v>
      </c>
      <c r="V449" s="4">
        <f>IF(ISERROR(VLOOKUP($S$449,'TAR FIN'!$A$1:$O$85,15,0)),0,VLOOKUP($S$449,'TAR FIN'!$A$1:$O$85,15,0))</f>
        <v>0</v>
      </c>
      <c r="W449" s="4">
        <f>IF(ISERROR(VLOOKUP($T$449,'TAR FIN'!$A$1:$O$85,15,0)),0,VLOOKUP($T$449,'TAR FIN'!$A$1:$O$85,15,0))</f>
        <v>370.66</v>
      </c>
      <c r="X449" s="4">
        <f>IF(ISERROR(VLOOKUP($U$449,'TAR FIN'!$A$1:$O$85,15,0)),0,VLOOKUP($U$449,'TAR FIN'!$A$1:$O$85,15,0))</f>
        <v>291.85000000000002</v>
      </c>
      <c r="Y449" s="4"/>
      <c r="Z449" s="4">
        <f ca="1">('TUSD BE'!$AM$48+'TUSD BF'!$AM$48+'TUSD CVA'!$AM$48)*1</f>
        <v>429.2108574011603</v>
      </c>
      <c r="AA449" s="4">
        <f>('TE BE'!$AB$39+'TE BF'!$AB$39+'TE CVA'!$AB$39)*1</f>
        <v>213.77329191067864</v>
      </c>
      <c r="AB449" s="4">
        <f>$K$449*$V$449</f>
        <v>0</v>
      </c>
      <c r="AC449" s="4">
        <f>$M$449*$W$449</f>
        <v>24935.410179999999</v>
      </c>
      <c r="AD449" s="4">
        <f>$O$449*$X$449</f>
        <v>19633.625049999999</v>
      </c>
      <c r="AE449" s="4">
        <f>$K$449*$Y$449</f>
        <v>0</v>
      </c>
      <c r="AF449" s="4">
        <f ca="1">$M$449*$Z$449</f>
        <v>28874.302009948256</v>
      </c>
      <c r="AG449" s="4">
        <f>$O$449*$AA$449</f>
        <v>14381.170666707083</v>
      </c>
    </row>
    <row r="450" spans="1:33" ht="11.25" customHeight="1" x14ac:dyDescent="0.3">
      <c r="A450" s="3" t="s">
        <v>21</v>
      </c>
      <c r="B450" s="3" t="s">
        <v>32</v>
      </c>
      <c r="C450" s="3" t="s">
        <v>23</v>
      </c>
      <c r="D450" s="3" t="s">
        <v>42</v>
      </c>
      <c r="E450" s="3" t="s">
        <v>25</v>
      </c>
      <c r="F450" s="3" t="s">
        <v>25</v>
      </c>
      <c r="G450" s="3" t="s">
        <v>25</v>
      </c>
      <c r="H450" s="3" t="s">
        <v>25</v>
      </c>
      <c r="I450" s="6">
        <v>44531</v>
      </c>
      <c r="J450" s="4">
        <v>0</v>
      </c>
      <c r="K450" s="4">
        <v>0</v>
      </c>
      <c r="L450" s="4">
        <v>70.724999999999994</v>
      </c>
      <c r="M450" s="4">
        <v>70.724999999999994</v>
      </c>
      <c r="N450" s="4">
        <v>70.724999999999994</v>
      </c>
      <c r="O450" s="4">
        <v>70.724999999999994</v>
      </c>
      <c r="P450" s="4">
        <v>100</v>
      </c>
      <c r="Q450" s="3" t="s">
        <v>26</v>
      </c>
      <c r="R450" s="3">
        <v>0</v>
      </c>
      <c r="S450" s="4">
        <v>0</v>
      </c>
      <c r="T450" s="4">
        <v>27</v>
      </c>
      <c r="U450" s="4">
        <v>76</v>
      </c>
      <c r="V450" s="4">
        <f>IF(ISERROR(VLOOKUP($S$450,'TAR FIN'!$A$1:$O$85,15,0)),0,VLOOKUP($S$450,'TAR FIN'!$A$1:$O$85,15,0))</f>
        <v>0</v>
      </c>
      <c r="W450" s="4">
        <f>IF(ISERROR(VLOOKUP($T$450,'TAR FIN'!$A$1:$O$85,15,0)),0,VLOOKUP($T$450,'TAR FIN'!$A$1:$O$85,15,0))</f>
        <v>370.66</v>
      </c>
      <c r="X450" s="4">
        <f>IF(ISERROR(VLOOKUP($U$450,'TAR FIN'!$A$1:$O$85,15,0)),0,VLOOKUP($U$450,'TAR FIN'!$A$1:$O$85,15,0))</f>
        <v>291.85000000000002</v>
      </c>
      <c r="Y450" s="4"/>
      <c r="Z450" s="4">
        <f ca="1">('TUSD BE'!$AM$48+'TUSD BF'!$AM$48+'TUSD CVA'!$AM$48)*1</f>
        <v>429.2108574011603</v>
      </c>
      <c r="AA450" s="4">
        <f>('TE BE'!$AB$39+'TE BF'!$AB$39+'TE CVA'!$AB$39)*1</f>
        <v>213.77329191067864</v>
      </c>
      <c r="AB450" s="4">
        <f>$K$450*$V$450</f>
        <v>0</v>
      </c>
      <c r="AC450" s="4">
        <f>$M$450*$W$450</f>
        <v>26214.928499999998</v>
      </c>
      <c r="AD450" s="4">
        <f>$O$450*$X$450</f>
        <v>20641.091250000001</v>
      </c>
      <c r="AE450" s="4">
        <f>$K$450*$Y$450</f>
        <v>0</v>
      </c>
      <c r="AF450" s="4">
        <f ca="1">$M$450*$Z$450</f>
        <v>30355.937889697059</v>
      </c>
      <c r="AG450" s="4">
        <f>$O$450*$AA$450</f>
        <v>15119.116070382745</v>
      </c>
    </row>
    <row r="451" spans="1:33" ht="11.25" customHeight="1" x14ac:dyDescent="0.3">
      <c r="A451" s="3" t="s">
        <v>21</v>
      </c>
      <c r="B451" s="3" t="s">
        <v>32</v>
      </c>
      <c r="C451" s="3" t="s">
        <v>23</v>
      </c>
      <c r="D451" s="3" t="s">
        <v>42</v>
      </c>
      <c r="E451" s="3" t="s">
        <v>25</v>
      </c>
      <c r="F451" s="3" t="s">
        <v>25</v>
      </c>
      <c r="G451" s="3" t="s">
        <v>25</v>
      </c>
      <c r="H451" s="3" t="s">
        <v>25</v>
      </c>
      <c r="I451" s="6">
        <v>44562</v>
      </c>
      <c r="J451" s="4">
        <v>0</v>
      </c>
      <c r="K451" s="4">
        <v>0</v>
      </c>
      <c r="L451" s="4">
        <v>50.838000000000001</v>
      </c>
      <c r="M451" s="4">
        <v>50.838000000000001</v>
      </c>
      <c r="N451" s="4">
        <v>50.838000000000001</v>
      </c>
      <c r="O451" s="4">
        <v>50.838000000000001</v>
      </c>
      <c r="P451" s="4">
        <v>101</v>
      </c>
      <c r="Q451" s="3" t="s">
        <v>26</v>
      </c>
      <c r="R451" s="3">
        <v>0</v>
      </c>
      <c r="S451" s="4">
        <v>0</v>
      </c>
      <c r="T451" s="4">
        <v>27</v>
      </c>
      <c r="U451" s="4">
        <v>76</v>
      </c>
      <c r="V451" s="4">
        <f>IF(ISERROR(VLOOKUP($S$451,'TAR FIN'!$A$1:$O$85,15,0)),0,VLOOKUP($S$451,'TAR FIN'!$A$1:$O$85,15,0))</f>
        <v>0</v>
      </c>
      <c r="W451" s="4">
        <f>IF(ISERROR(VLOOKUP($T$451,'TAR FIN'!$A$1:$O$85,15,0)),0,VLOOKUP($T$451,'TAR FIN'!$A$1:$O$85,15,0))</f>
        <v>370.66</v>
      </c>
      <c r="X451" s="4">
        <f>IF(ISERROR(VLOOKUP($U$451,'TAR FIN'!$A$1:$O$85,15,0)),0,VLOOKUP($U$451,'TAR FIN'!$A$1:$O$85,15,0))</f>
        <v>291.85000000000002</v>
      </c>
      <c r="Y451" s="4"/>
      <c r="Z451" s="4">
        <f ca="1">('TUSD BE'!$AM$48+'TUSD BF'!$AM$48+'TUSD CVA'!$AM$48)*1</f>
        <v>429.2108574011603</v>
      </c>
      <c r="AA451" s="4">
        <f>('TE BE'!$AB$39+'TE BF'!$AB$39+'TE CVA'!$AB$39)*1</f>
        <v>213.77329191067864</v>
      </c>
      <c r="AB451" s="4">
        <f>$K$451*$V$451</f>
        <v>0</v>
      </c>
      <c r="AC451" s="4">
        <f>$M$451*$W$451</f>
        <v>18843.613080000003</v>
      </c>
      <c r="AD451" s="4">
        <f>$O$451*$X$451</f>
        <v>14837.070300000001</v>
      </c>
      <c r="AE451" s="4">
        <f>$K$451*$Y$451</f>
        <v>0</v>
      </c>
      <c r="AF451" s="4">
        <f ca="1">$M$451*$Z$451</f>
        <v>21820.221568560188</v>
      </c>
      <c r="AG451" s="4">
        <f>$O$451*$AA$451</f>
        <v>10867.806614155081</v>
      </c>
    </row>
    <row r="452" spans="1:33" ht="11.25" customHeight="1" x14ac:dyDescent="0.3">
      <c r="A452" s="3" t="s">
        <v>21</v>
      </c>
      <c r="B452" s="3" t="s">
        <v>32</v>
      </c>
      <c r="C452" s="3" t="s">
        <v>23</v>
      </c>
      <c r="D452" s="3" t="s">
        <v>42</v>
      </c>
      <c r="E452" s="3" t="s">
        <v>25</v>
      </c>
      <c r="F452" s="3" t="s">
        <v>25</v>
      </c>
      <c r="G452" s="3" t="s">
        <v>25</v>
      </c>
      <c r="H452" s="3" t="s">
        <v>25</v>
      </c>
      <c r="I452" s="6">
        <v>44593</v>
      </c>
      <c r="J452" s="4">
        <v>0</v>
      </c>
      <c r="K452" s="4">
        <v>0</v>
      </c>
      <c r="L452" s="4">
        <v>84.031000000000006</v>
      </c>
      <c r="M452" s="4">
        <v>84.031000000000006</v>
      </c>
      <c r="N452" s="4">
        <v>84.031000000000006</v>
      </c>
      <c r="O452" s="4">
        <v>84.031000000000006</v>
      </c>
      <c r="P452" s="4">
        <v>102</v>
      </c>
      <c r="Q452" s="3" t="s">
        <v>26</v>
      </c>
      <c r="R452" s="3">
        <v>0</v>
      </c>
      <c r="S452" s="4">
        <v>0</v>
      </c>
      <c r="T452" s="4">
        <v>27</v>
      </c>
      <c r="U452" s="4">
        <v>76</v>
      </c>
      <c r="V452" s="4">
        <f>IF(ISERROR(VLOOKUP($S$452,'TAR FIN'!$A$1:$O$85,15,0)),0,VLOOKUP($S$452,'TAR FIN'!$A$1:$O$85,15,0))</f>
        <v>0</v>
      </c>
      <c r="W452" s="4">
        <f>IF(ISERROR(VLOOKUP($T$452,'TAR FIN'!$A$1:$O$85,15,0)),0,VLOOKUP($T$452,'TAR FIN'!$A$1:$O$85,15,0))</f>
        <v>370.66</v>
      </c>
      <c r="X452" s="4">
        <f>IF(ISERROR(VLOOKUP($U$452,'TAR FIN'!$A$1:$O$85,15,0)),0,VLOOKUP($U$452,'TAR FIN'!$A$1:$O$85,15,0))</f>
        <v>291.85000000000002</v>
      </c>
      <c r="Y452" s="4"/>
      <c r="Z452" s="4">
        <f ca="1">('TUSD BE'!$AM$48+'TUSD BF'!$AM$48+'TUSD CVA'!$AM$48)*1</f>
        <v>429.2108574011603</v>
      </c>
      <c r="AA452" s="4">
        <f>('TE BE'!$AB$39+'TE BF'!$AB$39+'TE CVA'!$AB$39)*1</f>
        <v>213.77329191067864</v>
      </c>
      <c r="AB452" s="4">
        <f>$K$452*$V$452</f>
        <v>0</v>
      </c>
      <c r="AC452" s="4">
        <f>$M$452*$W$452</f>
        <v>31146.930460000003</v>
      </c>
      <c r="AD452" s="4">
        <f>$O$452*$X$452</f>
        <v>24524.447350000002</v>
      </c>
      <c r="AE452" s="4">
        <f>$K$452*$Y$452</f>
        <v>0</v>
      </c>
      <c r="AF452" s="4">
        <f ca="1">$M$452*$Z$452</f>
        <v>36067.017558276901</v>
      </c>
      <c r="AG452" s="4">
        <f>$O$452*$AA$452</f>
        <v>17963.583492546237</v>
      </c>
    </row>
    <row r="453" spans="1:33" ht="11.25" customHeight="1" x14ac:dyDescent="0.3">
      <c r="A453" s="3" t="s">
        <v>21</v>
      </c>
      <c r="B453" s="3" t="s">
        <v>32</v>
      </c>
      <c r="C453" s="3" t="s">
        <v>23</v>
      </c>
      <c r="D453" s="3" t="s">
        <v>42</v>
      </c>
      <c r="E453" s="3" t="s">
        <v>25</v>
      </c>
      <c r="F453" s="3" t="s">
        <v>25</v>
      </c>
      <c r="G453" s="3" t="s">
        <v>25</v>
      </c>
      <c r="H453" s="3" t="s">
        <v>25</v>
      </c>
      <c r="I453" s="6">
        <v>44621</v>
      </c>
      <c r="J453" s="4">
        <v>0</v>
      </c>
      <c r="K453" s="4">
        <v>0</v>
      </c>
      <c r="L453" s="4">
        <v>103.98399999999999</v>
      </c>
      <c r="M453" s="4">
        <v>103.98399999999999</v>
      </c>
      <c r="N453" s="4">
        <v>103.98399999999999</v>
      </c>
      <c r="O453" s="4">
        <v>103.98399999999999</v>
      </c>
      <c r="P453" s="4">
        <v>102</v>
      </c>
      <c r="Q453" s="3" t="s">
        <v>26</v>
      </c>
      <c r="R453" s="3">
        <v>0</v>
      </c>
      <c r="S453" s="4">
        <v>0</v>
      </c>
      <c r="T453" s="4">
        <v>27</v>
      </c>
      <c r="U453" s="4">
        <v>76</v>
      </c>
      <c r="V453" s="4">
        <f>IF(ISERROR(VLOOKUP($S$453,'TAR FIN'!$A$1:$O$85,15,0)),0,VLOOKUP($S$453,'TAR FIN'!$A$1:$O$85,15,0))</f>
        <v>0</v>
      </c>
      <c r="W453" s="4">
        <f>IF(ISERROR(VLOOKUP($T$453,'TAR FIN'!$A$1:$O$85,15,0)),0,VLOOKUP($T$453,'TAR FIN'!$A$1:$O$85,15,0))</f>
        <v>370.66</v>
      </c>
      <c r="X453" s="4">
        <f>IF(ISERROR(VLOOKUP($U$453,'TAR FIN'!$A$1:$O$85,15,0)),0,VLOOKUP($U$453,'TAR FIN'!$A$1:$O$85,15,0))</f>
        <v>291.85000000000002</v>
      </c>
      <c r="Y453" s="4"/>
      <c r="Z453" s="4">
        <f ca="1">('TUSD BE'!$AM$48+'TUSD BF'!$AM$48+'TUSD CVA'!$AM$48)*1</f>
        <v>429.2108574011603</v>
      </c>
      <c r="AA453" s="4">
        <f>('TE BE'!$AB$39+'TE BF'!$AB$39+'TE CVA'!$AB$39)*1</f>
        <v>213.77329191067864</v>
      </c>
      <c r="AB453" s="4">
        <f>$K$453*$V$453</f>
        <v>0</v>
      </c>
      <c r="AC453" s="4">
        <f>$M$453*$W$453</f>
        <v>38542.709439999999</v>
      </c>
      <c r="AD453" s="4">
        <f>$O$453*$X$453</f>
        <v>30347.7304</v>
      </c>
      <c r="AE453" s="4">
        <f>$K$453*$Y$453</f>
        <v>0</v>
      </c>
      <c r="AF453" s="4">
        <f ca="1">$M$453*$Z$453</f>
        <v>44631.06179600225</v>
      </c>
      <c r="AG453" s="4">
        <f>$O$453*$AA$453</f>
        <v>22229.001986040006</v>
      </c>
    </row>
    <row r="454" spans="1:33" ht="11.25" customHeight="1" x14ac:dyDescent="0.3">
      <c r="A454" s="3" t="s">
        <v>21</v>
      </c>
      <c r="B454" s="3" t="s">
        <v>32</v>
      </c>
      <c r="C454" s="3" t="s">
        <v>23</v>
      </c>
      <c r="D454" s="3" t="s">
        <v>42</v>
      </c>
      <c r="E454" s="3" t="s">
        <v>25</v>
      </c>
      <c r="F454" s="3" t="s">
        <v>25</v>
      </c>
      <c r="G454" s="3" t="s">
        <v>25</v>
      </c>
      <c r="H454" s="3" t="s">
        <v>25</v>
      </c>
      <c r="I454" s="6">
        <v>44652</v>
      </c>
      <c r="J454" s="4">
        <v>0</v>
      </c>
      <c r="K454" s="4">
        <v>0</v>
      </c>
      <c r="L454" s="4">
        <v>70.608000000000004</v>
      </c>
      <c r="M454" s="4">
        <v>70.608000000000004</v>
      </c>
      <c r="N454" s="4">
        <v>70.608000000000004</v>
      </c>
      <c r="O454" s="4">
        <v>70.608000000000004</v>
      </c>
      <c r="P454" s="4">
        <v>102</v>
      </c>
      <c r="Q454" s="3" t="s">
        <v>26</v>
      </c>
      <c r="R454" s="3">
        <v>0</v>
      </c>
      <c r="S454" s="4">
        <v>0</v>
      </c>
      <c r="T454" s="4">
        <v>27</v>
      </c>
      <c r="U454" s="4">
        <v>76</v>
      </c>
      <c r="V454" s="4">
        <f>IF(ISERROR(VLOOKUP($S$454,'TAR FIN'!$A$1:$O$85,15,0)),0,VLOOKUP($S$454,'TAR FIN'!$A$1:$O$85,15,0))</f>
        <v>0</v>
      </c>
      <c r="W454" s="4">
        <f>IF(ISERROR(VLOOKUP($T$454,'TAR FIN'!$A$1:$O$85,15,0)),0,VLOOKUP($T$454,'TAR FIN'!$A$1:$O$85,15,0))</f>
        <v>370.66</v>
      </c>
      <c r="X454" s="4">
        <f>IF(ISERROR(VLOOKUP($U$454,'TAR FIN'!$A$1:$O$85,15,0)),0,VLOOKUP($U$454,'TAR FIN'!$A$1:$O$85,15,0))</f>
        <v>291.85000000000002</v>
      </c>
      <c r="Y454" s="4"/>
      <c r="Z454" s="4">
        <f ca="1">('TUSD BE'!$AM$48+'TUSD BF'!$AM$48+'TUSD CVA'!$AM$48)*1</f>
        <v>429.2108574011603</v>
      </c>
      <c r="AA454" s="4">
        <f>('TE BE'!$AB$39+'TE BF'!$AB$39+'TE CVA'!$AB$39)*1</f>
        <v>213.77329191067864</v>
      </c>
      <c r="AB454" s="4">
        <f>$K$454*$V$454</f>
        <v>0</v>
      </c>
      <c r="AC454" s="4">
        <f>$M$454*$W$454</f>
        <v>26171.561280000002</v>
      </c>
      <c r="AD454" s="4">
        <f>$O$454*$X$454</f>
        <v>20606.944800000001</v>
      </c>
      <c r="AE454" s="4">
        <f>$K$454*$Y$454</f>
        <v>0</v>
      </c>
      <c r="AF454" s="4">
        <f ca="1">$M$454*$Z$454</f>
        <v>30305.720219381128</v>
      </c>
      <c r="AG454" s="4">
        <f>$O$454*$AA$454</f>
        <v>15094.104595229199</v>
      </c>
    </row>
    <row r="455" spans="1:33" ht="11.25" customHeight="1" x14ac:dyDescent="0.3">
      <c r="A455" s="3" t="s">
        <v>21</v>
      </c>
      <c r="B455" s="3" t="s">
        <v>32</v>
      </c>
      <c r="C455" s="3" t="s">
        <v>23</v>
      </c>
      <c r="D455" s="3" t="s">
        <v>42</v>
      </c>
      <c r="E455" s="3" t="s">
        <v>25</v>
      </c>
      <c r="F455" s="3" t="s">
        <v>25</v>
      </c>
      <c r="G455" s="3" t="s">
        <v>25</v>
      </c>
      <c r="H455" s="3" t="s">
        <v>25</v>
      </c>
      <c r="I455" s="6">
        <v>44682</v>
      </c>
      <c r="J455" s="4">
        <v>0</v>
      </c>
      <c r="K455" s="4">
        <v>0</v>
      </c>
      <c r="L455" s="4">
        <v>61.956000000000003</v>
      </c>
      <c r="M455" s="4">
        <v>61.956000000000003</v>
      </c>
      <c r="N455" s="4">
        <v>61.956000000000003</v>
      </c>
      <c r="O455" s="4">
        <v>61.956000000000003</v>
      </c>
      <c r="P455" s="4">
        <v>102</v>
      </c>
      <c r="Q455" s="3" t="s">
        <v>26</v>
      </c>
      <c r="R455" s="3">
        <v>0</v>
      </c>
      <c r="S455" s="4">
        <v>0</v>
      </c>
      <c r="T455" s="4">
        <v>27</v>
      </c>
      <c r="U455" s="4">
        <v>76</v>
      </c>
      <c r="V455" s="4">
        <f>IF(ISERROR(VLOOKUP($S$455,'TAR FIN'!$A$1:$O$85,15,0)),0,VLOOKUP($S$455,'TAR FIN'!$A$1:$O$85,15,0))</f>
        <v>0</v>
      </c>
      <c r="W455" s="4">
        <f>IF(ISERROR(VLOOKUP($T$455,'TAR FIN'!$A$1:$O$85,15,0)),0,VLOOKUP($T$455,'TAR FIN'!$A$1:$O$85,15,0))</f>
        <v>370.66</v>
      </c>
      <c r="X455" s="4">
        <f>IF(ISERROR(VLOOKUP($U$455,'TAR FIN'!$A$1:$O$85,15,0)),0,VLOOKUP($U$455,'TAR FIN'!$A$1:$O$85,15,0))</f>
        <v>291.85000000000002</v>
      </c>
      <c r="Y455" s="4"/>
      <c r="Z455" s="4">
        <f ca="1">('TUSD BE'!$AM$48+'TUSD BF'!$AM$48+'TUSD CVA'!$AM$48)*1</f>
        <v>429.2108574011603</v>
      </c>
      <c r="AA455" s="4">
        <f>('TE BE'!$AB$39+'TE BF'!$AB$39+'TE CVA'!$AB$39)*1</f>
        <v>213.77329191067864</v>
      </c>
      <c r="AB455" s="4">
        <f>$K$455*$V$455</f>
        <v>0</v>
      </c>
      <c r="AC455" s="4">
        <f>$M$455*$W$455</f>
        <v>22964.610960000002</v>
      </c>
      <c r="AD455" s="4">
        <f>$O$455*$X$455</f>
        <v>18081.858600000003</v>
      </c>
      <c r="AE455" s="4">
        <f>$K$455*$Y$455</f>
        <v>0</v>
      </c>
      <c r="AF455" s="4">
        <f ca="1">$M$455*$Z$455</f>
        <v>26592.187881146288</v>
      </c>
      <c r="AG455" s="4">
        <f>$O$455*$AA$455</f>
        <v>13244.538073618007</v>
      </c>
    </row>
    <row r="456" spans="1:33" ht="11.25" customHeight="1" x14ac:dyDescent="0.3">
      <c r="A456" s="3" t="s">
        <v>21</v>
      </c>
      <c r="B456" s="3" t="s">
        <v>32</v>
      </c>
      <c r="C456" s="3" t="s">
        <v>23</v>
      </c>
      <c r="D456" s="3" t="s">
        <v>42</v>
      </c>
      <c r="E456" s="3" t="s">
        <v>25</v>
      </c>
      <c r="F456" s="3" t="s">
        <v>25</v>
      </c>
      <c r="G456" s="3" t="s">
        <v>25</v>
      </c>
      <c r="H456" s="3" t="s">
        <v>25</v>
      </c>
      <c r="I456" s="6">
        <v>44713</v>
      </c>
      <c r="J456" s="4">
        <v>0</v>
      </c>
      <c r="K456" s="4">
        <v>0</v>
      </c>
      <c r="L456" s="4">
        <v>68.695999999999998</v>
      </c>
      <c r="M456" s="4">
        <v>68.695999999999998</v>
      </c>
      <c r="N456" s="4">
        <v>68.695999999999998</v>
      </c>
      <c r="O456" s="4">
        <v>68.695999999999998</v>
      </c>
      <c r="P456" s="4">
        <v>104</v>
      </c>
      <c r="Q456" s="3" t="s">
        <v>26</v>
      </c>
      <c r="R456" s="3">
        <v>0</v>
      </c>
      <c r="S456" s="4">
        <v>0</v>
      </c>
      <c r="T456" s="4">
        <v>27</v>
      </c>
      <c r="U456" s="4">
        <v>76</v>
      </c>
      <c r="V456" s="4">
        <f>IF(ISERROR(VLOOKUP($S$456,'TAR FIN'!$A$1:$O$85,15,0)),0,VLOOKUP($S$456,'TAR FIN'!$A$1:$O$85,15,0))</f>
        <v>0</v>
      </c>
      <c r="W456" s="4">
        <f>IF(ISERROR(VLOOKUP($T$456,'TAR FIN'!$A$1:$O$85,15,0)),0,VLOOKUP($T$456,'TAR FIN'!$A$1:$O$85,15,0))</f>
        <v>370.66</v>
      </c>
      <c r="X456" s="4">
        <f>IF(ISERROR(VLOOKUP($U$456,'TAR FIN'!$A$1:$O$85,15,0)),0,VLOOKUP($U$456,'TAR FIN'!$A$1:$O$85,15,0))</f>
        <v>291.85000000000002</v>
      </c>
      <c r="Y456" s="4"/>
      <c r="Z456" s="4">
        <f ca="1">('TUSD BE'!$AM$48+'TUSD BF'!$AM$48+'TUSD CVA'!$AM$48)*1</f>
        <v>429.2108574011603</v>
      </c>
      <c r="AA456" s="4">
        <f>('TE BE'!$AB$39+'TE BF'!$AB$39+'TE CVA'!$AB$39)*1</f>
        <v>213.77329191067864</v>
      </c>
      <c r="AB456" s="4">
        <f>$K$456*$V$456</f>
        <v>0</v>
      </c>
      <c r="AC456" s="4">
        <f>$M$456*$W$456</f>
        <v>25462.859360000002</v>
      </c>
      <c r="AD456" s="4">
        <f>$O$456*$X$456</f>
        <v>20048.927600000003</v>
      </c>
      <c r="AE456" s="4">
        <f>$K$456*$Y$456</f>
        <v>0</v>
      </c>
      <c r="AF456" s="4">
        <f ca="1">$M$456*$Z$456</f>
        <v>29485.069060030106</v>
      </c>
      <c r="AG456" s="4">
        <f>$O$456*$AA$456</f>
        <v>14685.370061095979</v>
      </c>
    </row>
    <row r="457" spans="1:33" ht="11.25" customHeight="1" x14ac:dyDescent="0.3">
      <c r="A457" s="3" t="s">
        <v>21</v>
      </c>
      <c r="B457" s="3" t="s">
        <v>32</v>
      </c>
      <c r="C457" s="3" t="s">
        <v>23</v>
      </c>
      <c r="D457" s="3" t="s">
        <v>42</v>
      </c>
      <c r="E457" s="3" t="s">
        <v>25</v>
      </c>
      <c r="F457" s="3" t="s">
        <v>25</v>
      </c>
      <c r="G457" s="3" t="s">
        <v>25</v>
      </c>
      <c r="H457" s="3" t="s">
        <v>25</v>
      </c>
      <c r="I457" s="6">
        <v>44743</v>
      </c>
      <c r="J457" s="4">
        <v>0</v>
      </c>
      <c r="K457" s="4">
        <v>0</v>
      </c>
      <c r="L457" s="4">
        <v>59.814</v>
      </c>
      <c r="M457" s="4">
        <v>59.814</v>
      </c>
      <c r="N457" s="4">
        <v>59.814</v>
      </c>
      <c r="O457" s="4">
        <v>59.814</v>
      </c>
      <c r="P457" s="4">
        <v>104</v>
      </c>
      <c r="Q457" s="3" t="s">
        <v>26</v>
      </c>
      <c r="R457" s="3">
        <v>0</v>
      </c>
      <c r="S457" s="4">
        <v>0</v>
      </c>
      <c r="T457" s="4">
        <v>27</v>
      </c>
      <c r="U457" s="4">
        <v>76</v>
      </c>
      <c r="V457" s="4">
        <f>IF(ISERROR(VLOOKUP($S$457,'TAR FIN'!$A$1:$O$85,15,0)),0,VLOOKUP($S$457,'TAR FIN'!$A$1:$O$85,15,0))</f>
        <v>0</v>
      </c>
      <c r="W457" s="4">
        <f>IF(ISERROR(VLOOKUP($T$457,'TAR FIN'!$A$1:$O$85,15,0)),0,VLOOKUP($T$457,'TAR FIN'!$A$1:$O$85,15,0))</f>
        <v>370.66</v>
      </c>
      <c r="X457" s="4">
        <f>IF(ISERROR(VLOOKUP($U$457,'TAR FIN'!$A$1:$O$85,15,0)),0,VLOOKUP($U$457,'TAR FIN'!$A$1:$O$85,15,0))</f>
        <v>291.85000000000002</v>
      </c>
      <c r="Y457" s="4"/>
      <c r="Z457" s="4">
        <f ca="1">('TUSD BE'!$AM$48+'TUSD BF'!$AM$48+'TUSD CVA'!$AM$48)*1</f>
        <v>429.2108574011603</v>
      </c>
      <c r="AA457" s="4">
        <f>('TE BE'!$AB$39+'TE BF'!$AB$39+'TE CVA'!$AB$39)*1</f>
        <v>213.77329191067864</v>
      </c>
      <c r="AB457" s="4">
        <f>$K$457*$V$457</f>
        <v>0</v>
      </c>
      <c r="AC457" s="4">
        <f>$M$457*$W$457</f>
        <v>22170.65724</v>
      </c>
      <c r="AD457" s="4">
        <f>$O$457*$X$457</f>
        <v>17456.715900000003</v>
      </c>
      <c r="AE457" s="4">
        <f>$K$457*$Y$457</f>
        <v>0</v>
      </c>
      <c r="AF457" s="4">
        <f ca="1">$M$457*$Z$457</f>
        <v>25672.818224593004</v>
      </c>
      <c r="AG457" s="4">
        <f>$O$457*$AA$457</f>
        <v>12786.635682345332</v>
      </c>
    </row>
    <row r="458" spans="1:33" ht="11.25" customHeight="1" x14ac:dyDescent="0.3">
      <c r="A458" s="3" t="s">
        <v>53</v>
      </c>
      <c r="B458" s="3" t="s">
        <v>32</v>
      </c>
      <c r="C458" s="3" t="s">
        <v>23</v>
      </c>
      <c r="D458" s="3" t="s">
        <v>42</v>
      </c>
      <c r="E458" s="3" t="s">
        <v>25</v>
      </c>
      <c r="F458" s="3" t="s">
        <v>25</v>
      </c>
      <c r="G458" s="3" t="s">
        <v>25</v>
      </c>
      <c r="H458" s="3" t="s">
        <v>25</v>
      </c>
      <c r="I458" s="6">
        <v>44774</v>
      </c>
      <c r="J458" s="4">
        <v>0</v>
      </c>
      <c r="K458" s="4">
        <v>0</v>
      </c>
      <c r="L458" s="4">
        <v>59.814</v>
      </c>
      <c r="M458" s="4">
        <v>59.814</v>
      </c>
      <c r="N458" s="4">
        <v>59.814</v>
      </c>
      <c r="O458" s="4">
        <v>59.814</v>
      </c>
      <c r="P458" s="4">
        <v>104</v>
      </c>
      <c r="Q458" s="3" t="s">
        <v>26</v>
      </c>
      <c r="R458" s="3">
        <v>0</v>
      </c>
      <c r="S458" s="4">
        <v>0</v>
      </c>
      <c r="T458" s="4">
        <v>27</v>
      </c>
      <c r="U458" s="4">
        <v>76</v>
      </c>
      <c r="V458" s="4">
        <f>IF(ISERROR(VLOOKUP($S$458,'TAR FIN'!$A$1:$O$85,15,0)),0,VLOOKUP($S$458,'TAR FIN'!$A$1:$O$85,15,0))</f>
        <v>0</v>
      </c>
      <c r="W458" s="4">
        <f>IF(ISERROR(VLOOKUP($T$458,'TAR FIN'!$A$1:$O$85,15,0)),0,VLOOKUP($T$458,'TAR FIN'!$A$1:$O$85,15,0))</f>
        <v>370.66</v>
      </c>
      <c r="X458" s="4">
        <f>IF(ISERROR(VLOOKUP($U$458,'TAR FIN'!$A$1:$O$85,15,0)),0,VLOOKUP($U$458,'TAR FIN'!$A$1:$O$85,15,0))</f>
        <v>291.85000000000002</v>
      </c>
      <c r="Y458" s="4"/>
      <c r="Z458" s="4">
        <f ca="1">('TUSD BE'!$AM$48+'TUSD BF'!$AM$48+'TUSD CVA'!$AM$48)*1</f>
        <v>429.2108574011603</v>
      </c>
      <c r="AA458" s="4">
        <f>('TE BE'!$AB$39+'TE BF'!$AB$39+'TE CVA'!$AB$39)*1</f>
        <v>213.77329191067864</v>
      </c>
      <c r="AB458" s="4">
        <f>$K$458*$V$458</f>
        <v>0</v>
      </c>
      <c r="AC458" s="4">
        <f>$M$458*$W$458</f>
        <v>22170.65724</v>
      </c>
      <c r="AD458" s="4">
        <f>$O$458*$X$458</f>
        <v>17456.715900000003</v>
      </c>
      <c r="AE458" s="4">
        <f>$K$458*$Y$458</f>
        <v>0</v>
      </c>
      <c r="AF458" s="4">
        <f ca="1">$M$458*$Z$458</f>
        <v>25672.818224593004</v>
      </c>
      <c r="AG458" s="4">
        <f>$O$458*$AA$458</f>
        <v>12786.635682345332</v>
      </c>
    </row>
    <row r="459" spans="1:33" ht="11.25" customHeight="1" x14ac:dyDescent="0.3">
      <c r="A459" s="3" t="s">
        <v>21</v>
      </c>
      <c r="B459" s="3" t="s">
        <v>32</v>
      </c>
      <c r="C459" s="3" t="s">
        <v>23</v>
      </c>
      <c r="D459" s="3" t="s">
        <v>46</v>
      </c>
      <c r="E459" s="3" t="s">
        <v>47</v>
      </c>
      <c r="F459" s="3" t="s">
        <v>25</v>
      </c>
      <c r="G459" s="3" t="s">
        <v>25</v>
      </c>
      <c r="H459" s="3" t="s">
        <v>25</v>
      </c>
      <c r="I459" s="6">
        <v>44440</v>
      </c>
      <c r="J459" s="4">
        <v>0</v>
      </c>
      <c r="K459" s="52">
        <v>0</v>
      </c>
      <c r="L459" s="4">
        <v>14.595000000000001</v>
      </c>
      <c r="M459" s="52">
        <v>14.595000000000001</v>
      </c>
      <c r="N459" s="4">
        <v>14.595000000000001</v>
      </c>
      <c r="O459" s="52">
        <v>14.595000000000001</v>
      </c>
      <c r="P459" s="4">
        <v>16</v>
      </c>
      <c r="Q459" s="3" t="s">
        <v>26</v>
      </c>
      <c r="R459" s="3">
        <v>0</v>
      </c>
      <c r="S459" s="4">
        <v>0</v>
      </c>
      <c r="T459" s="4">
        <v>27</v>
      </c>
      <c r="U459" s="4">
        <v>76</v>
      </c>
      <c r="V459" s="52">
        <f>IF(ISERROR(VLOOKUP($S$459,'TAR FIN'!$A$1:$O$85,15,0)),0,VLOOKUP($S$459,'TAR FIN'!$A$1:$O$85,15,0))</f>
        <v>0</v>
      </c>
      <c r="W459" s="52">
        <f>IF(ISERROR(VLOOKUP($T$459,'TAR FIN'!$A$1:$O$85,15,0)),0,VLOOKUP($T$459,'TAR FIN'!$A$1:$O$85,15,0))*(1-0.06)</f>
        <v>348.42040000000003</v>
      </c>
      <c r="X459" s="52">
        <f>IF(ISERROR(VLOOKUP($U$459,'TAR FIN'!$A$1:$O$85,15,0)),0,VLOOKUP($U$459,'TAR FIN'!$A$1:$O$85,15,0))*(1-0.06)</f>
        <v>274.339</v>
      </c>
      <c r="Y459" s="52"/>
      <c r="Z459" s="52">
        <f ca="1">('TUSD BE'!$AM$48+'TUSD BF'!$AM$48+'TUSD CVA'!$AM$48)*1*(1-0.03)</f>
        <v>416.33453167912546</v>
      </c>
      <c r="AA459" s="52">
        <f>('TE BE'!$AB$39+'TE BF'!$AB$39+'TE CVA'!$AB$39)*1*(1-0.03)</f>
        <v>207.36009315335826</v>
      </c>
      <c r="AB459" s="4">
        <f>$K$459*$V$459</f>
        <v>0</v>
      </c>
      <c r="AC459" s="4">
        <f>$M$459*$W$459</f>
        <v>5085.1957380000003</v>
      </c>
      <c r="AD459" s="4">
        <f>$O$459*$X$459</f>
        <v>4003.9777050000002</v>
      </c>
      <c r="AE459" s="4">
        <f>$K$459*$Y$459</f>
        <v>0</v>
      </c>
      <c r="AF459" s="4">
        <f ca="1">$M$459*$Z$459</f>
        <v>6076.4024898568359</v>
      </c>
      <c r="AG459" s="4">
        <f>$O$459*$AA$459</f>
        <v>3026.4205595732642</v>
      </c>
    </row>
    <row r="460" spans="1:33" ht="11.25" customHeight="1" x14ac:dyDescent="0.3">
      <c r="A460" s="3" t="s">
        <v>48</v>
      </c>
      <c r="B460" s="3" t="s">
        <v>32</v>
      </c>
      <c r="C460" s="3" t="s">
        <v>23</v>
      </c>
      <c r="D460" s="3" t="s">
        <v>46</v>
      </c>
      <c r="E460" s="3" t="s">
        <v>47</v>
      </c>
      <c r="F460" s="3" t="s">
        <v>25</v>
      </c>
      <c r="G460" s="3" t="s">
        <v>25</v>
      </c>
      <c r="H460" s="3" t="s">
        <v>25</v>
      </c>
      <c r="I460" s="6">
        <v>44440</v>
      </c>
      <c r="J460" s="4">
        <v>0</v>
      </c>
      <c r="K460" s="52">
        <v>0</v>
      </c>
      <c r="L460" s="4">
        <v>-0.498</v>
      </c>
      <c r="M460" s="52">
        <v>-0.498</v>
      </c>
      <c r="N460" s="4">
        <v>-0.498</v>
      </c>
      <c r="O460" s="52">
        <v>-0.498</v>
      </c>
      <c r="P460" s="4">
        <v>0</v>
      </c>
      <c r="Q460" s="3" t="s">
        <v>26</v>
      </c>
      <c r="R460" s="3">
        <v>0</v>
      </c>
      <c r="S460" s="4">
        <v>0</v>
      </c>
      <c r="T460" s="4">
        <v>27</v>
      </c>
      <c r="U460" s="4">
        <v>76</v>
      </c>
      <c r="V460" s="52">
        <f>IF(ISERROR(VLOOKUP($S$460,'TAR FIN'!$A$1:$O$85,15,0)),0,VLOOKUP($S$460,'TAR FIN'!$A$1:$O$85,15,0))</f>
        <v>0</v>
      </c>
      <c r="W460" s="52">
        <f>IF(ISERROR(VLOOKUP($T$460,'TAR FIN'!$A$1:$O$85,15,0)),0,VLOOKUP($T$460,'TAR FIN'!$A$1:$O$85,15,0))*(1-0.06)</f>
        <v>348.42040000000003</v>
      </c>
      <c r="X460" s="52">
        <f>IF(ISERROR(VLOOKUP($U$460,'TAR FIN'!$A$1:$O$85,15,0)),0,VLOOKUP($U$460,'TAR FIN'!$A$1:$O$85,15,0))*(1-0.06)</f>
        <v>274.339</v>
      </c>
      <c r="Y460" s="52"/>
      <c r="Z460" s="52">
        <f ca="1">('TUSD BE'!$AM$48+'TUSD BF'!$AM$48+'TUSD CVA'!$AM$48)*1*(1-0.03)</f>
        <v>416.33453167912546</v>
      </c>
      <c r="AA460" s="52">
        <f>('TE BE'!$AB$39+'TE BF'!$AB$39+'TE CVA'!$AB$39)*1*(1-0.03)</f>
        <v>207.36009315335826</v>
      </c>
      <c r="AB460" s="4">
        <f>$K$460*$V$460</f>
        <v>0</v>
      </c>
      <c r="AC460" s="4">
        <f>$M$460*$W$460</f>
        <v>-173.51335920000002</v>
      </c>
      <c r="AD460" s="4">
        <f>$O$460*$X$460</f>
        <v>-136.620822</v>
      </c>
      <c r="AE460" s="4">
        <f>$K$460*$Y$460</f>
        <v>0</v>
      </c>
      <c r="AF460" s="4">
        <f ca="1">$M$460*$Z$460</f>
        <v>-207.33459677620448</v>
      </c>
      <c r="AG460" s="4">
        <f>$O$460*$AA$460</f>
        <v>-103.26532639037241</v>
      </c>
    </row>
    <row r="461" spans="1:33" ht="11.25" customHeight="1" x14ac:dyDescent="0.3">
      <c r="A461" s="3" t="s">
        <v>21</v>
      </c>
      <c r="B461" s="3" t="s">
        <v>32</v>
      </c>
      <c r="C461" s="3" t="s">
        <v>23</v>
      </c>
      <c r="D461" s="3" t="s">
        <v>46</v>
      </c>
      <c r="E461" s="3" t="s">
        <v>47</v>
      </c>
      <c r="F461" s="3" t="s">
        <v>25</v>
      </c>
      <c r="G461" s="3" t="s">
        <v>25</v>
      </c>
      <c r="H461" s="3" t="s">
        <v>25</v>
      </c>
      <c r="I461" s="6">
        <v>44470</v>
      </c>
      <c r="J461" s="4">
        <v>0</v>
      </c>
      <c r="K461" s="52">
        <v>0</v>
      </c>
      <c r="L461" s="4">
        <v>14.583</v>
      </c>
      <c r="M461" s="52">
        <v>14.583</v>
      </c>
      <c r="N461" s="4">
        <v>14.583</v>
      </c>
      <c r="O461" s="52">
        <v>14.583</v>
      </c>
      <c r="P461" s="4">
        <v>16</v>
      </c>
      <c r="Q461" s="3" t="s">
        <v>26</v>
      </c>
      <c r="R461" s="3">
        <v>0</v>
      </c>
      <c r="S461" s="4">
        <v>0</v>
      </c>
      <c r="T461" s="4">
        <v>27</v>
      </c>
      <c r="U461" s="4">
        <v>76</v>
      </c>
      <c r="V461" s="52">
        <f>IF(ISERROR(VLOOKUP($S$461,'TAR FIN'!$A$1:$O$85,15,0)),0,VLOOKUP($S$461,'TAR FIN'!$A$1:$O$85,15,0))</f>
        <v>0</v>
      </c>
      <c r="W461" s="52">
        <f>IF(ISERROR(VLOOKUP($T$461,'TAR FIN'!$A$1:$O$85,15,0)),0,VLOOKUP($T$461,'TAR FIN'!$A$1:$O$85,15,0))*(1-0.06)</f>
        <v>348.42040000000003</v>
      </c>
      <c r="X461" s="52">
        <f>IF(ISERROR(VLOOKUP($U$461,'TAR FIN'!$A$1:$O$85,15,0)),0,VLOOKUP($U$461,'TAR FIN'!$A$1:$O$85,15,0))*(1-0.06)</f>
        <v>274.339</v>
      </c>
      <c r="Y461" s="52"/>
      <c r="Z461" s="52">
        <f ca="1">('TUSD BE'!$AM$48+'TUSD BF'!$AM$48+'TUSD CVA'!$AM$48)*1*(1-0.03)</f>
        <v>416.33453167912546</v>
      </c>
      <c r="AA461" s="52">
        <f>('TE BE'!$AB$39+'TE BF'!$AB$39+'TE CVA'!$AB$39)*1*(1-0.03)</f>
        <v>207.36009315335826</v>
      </c>
      <c r="AB461" s="4">
        <f>$K$461*$V$461</f>
        <v>0</v>
      </c>
      <c r="AC461" s="4">
        <f>$M$461*$W$461</f>
        <v>5081.0146932000007</v>
      </c>
      <c r="AD461" s="4">
        <f>$O$461*$X$461</f>
        <v>4000.685637</v>
      </c>
      <c r="AE461" s="4">
        <f>$K$461*$Y$461</f>
        <v>0</v>
      </c>
      <c r="AF461" s="4">
        <f ca="1">$M$461*$Z$461</f>
        <v>6071.4064754766869</v>
      </c>
      <c r="AG461" s="4">
        <f>$O$461*$AA$461</f>
        <v>3023.9322384554234</v>
      </c>
    </row>
    <row r="462" spans="1:33" ht="11.25" customHeight="1" x14ac:dyDescent="0.3">
      <c r="A462" s="3" t="s">
        <v>21</v>
      </c>
      <c r="B462" s="3" t="s">
        <v>32</v>
      </c>
      <c r="C462" s="3" t="s">
        <v>23</v>
      </c>
      <c r="D462" s="3" t="s">
        <v>46</v>
      </c>
      <c r="E462" s="3" t="s">
        <v>47</v>
      </c>
      <c r="F462" s="3" t="s">
        <v>25</v>
      </c>
      <c r="G462" s="3" t="s">
        <v>25</v>
      </c>
      <c r="H462" s="3" t="s">
        <v>25</v>
      </c>
      <c r="I462" s="6">
        <v>44501</v>
      </c>
      <c r="J462" s="4">
        <v>0</v>
      </c>
      <c r="K462" s="52">
        <v>0</v>
      </c>
      <c r="L462" s="4">
        <v>15.177</v>
      </c>
      <c r="M462" s="52">
        <v>15.177</v>
      </c>
      <c r="N462" s="4">
        <v>15.177</v>
      </c>
      <c r="O462" s="52">
        <v>15.177</v>
      </c>
      <c r="P462" s="4">
        <v>16</v>
      </c>
      <c r="Q462" s="3" t="s">
        <v>26</v>
      </c>
      <c r="R462" s="3">
        <v>0</v>
      </c>
      <c r="S462" s="4">
        <v>0</v>
      </c>
      <c r="T462" s="4">
        <v>27</v>
      </c>
      <c r="U462" s="4">
        <v>76</v>
      </c>
      <c r="V462" s="52">
        <f>IF(ISERROR(VLOOKUP($S$462,'TAR FIN'!$A$1:$O$85,15,0)),0,VLOOKUP($S$462,'TAR FIN'!$A$1:$O$85,15,0))</f>
        <v>0</v>
      </c>
      <c r="W462" s="52">
        <f>IF(ISERROR(VLOOKUP($T$462,'TAR FIN'!$A$1:$O$85,15,0)),0,VLOOKUP($T$462,'TAR FIN'!$A$1:$O$85,15,0))*(1-0.06)</f>
        <v>348.42040000000003</v>
      </c>
      <c r="X462" s="52">
        <f>IF(ISERROR(VLOOKUP($U$462,'TAR FIN'!$A$1:$O$85,15,0)),0,VLOOKUP($U$462,'TAR FIN'!$A$1:$O$85,15,0))*(1-0.06)</f>
        <v>274.339</v>
      </c>
      <c r="Y462" s="52"/>
      <c r="Z462" s="52">
        <f ca="1">('TUSD BE'!$AM$48+'TUSD BF'!$AM$48+'TUSD CVA'!$AM$48)*1*(1-0.03)</f>
        <v>416.33453167912546</v>
      </c>
      <c r="AA462" s="52">
        <f>('TE BE'!$AB$39+'TE BF'!$AB$39+'TE CVA'!$AB$39)*1*(1-0.03)</f>
        <v>207.36009315335826</v>
      </c>
      <c r="AB462" s="4">
        <f>$K$462*$V$462</f>
        <v>0</v>
      </c>
      <c r="AC462" s="4">
        <f>$M$462*$W$462</f>
        <v>5287.9764107999999</v>
      </c>
      <c r="AD462" s="4">
        <f>$O$462*$X$462</f>
        <v>4163.6430030000001</v>
      </c>
      <c r="AE462" s="4">
        <f>$K$462*$Y$462</f>
        <v>0</v>
      </c>
      <c r="AF462" s="4">
        <f ca="1">$M$462*$Z$462</f>
        <v>6318.7091872940873</v>
      </c>
      <c r="AG462" s="4">
        <f>$O$462*$AA$462</f>
        <v>3147.1041337885181</v>
      </c>
    </row>
    <row r="463" spans="1:33" ht="11.25" customHeight="1" x14ac:dyDescent="0.3">
      <c r="A463" s="3" t="s">
        <v>21</v>
      </c>
      <c r="B463" s="3" t="s">
        <v>32</v>
      </c>
      <c r="C463" s="3" t="s">
        <v>23</v>
      </c>
      <c r="D463" s="3" t="s">
        <v>46</v>
      </c>
      <c r="E463" s="3" t="s">
        <v>47</v>
      </c>
      <c r="F463" s="3" t="s">
        <v>25</v>
      </c>
      <c r="G463" s="3" t="s">
        <v>25</v>
      </c>
      <c r="H463" s="3" t="s">
        <v>25</v>
      </c>
      <c r="I463" s="6">
        <v>44531</v>
      </c>
      <c r="J463" s="4">
        <v>0</v>
      </c>
      <c r="K463" s="52">
        <v>0</v>
      </c>
      <c r="L463" s="4">
        <v>13.978</v>
      </c>
      <c r="M463" s="52">
        <v>13.978</v>
      </c>
      <c r="N463" s="4">
        <v>13.978</v>
      </c>
      <c r="O463" s="52">
        <v>13.978</v>
      </c>
      <c r="P463" s="4">
        <v>16</v>
      </c>
      <c r="Q463" s="3" t="s">
        <v>26</v>
      </c>
      <c r="R463" s="3">
        <v>0</v>
      </c>
      <c r="S463" s="4">
        <v>0</v>
      </c>
      <c r="T463" s="4">
        <v>27</v>
      </c>
      <c r="U463" s="4">
        <v>76</v>
      </c>
      <c r="V463" s="52">
        <f>IF(ISERROR(VLOOKUP($S$463,'TAR FIN'!$A$1:$O$85,15,0)),0,VLOOKUP($S$463,'TAR FIN'!$A$1:$O$85,15,0))</f>
        <v>0</v>
      </c>
      <c r="W463" s="52">
        <f>IF(ISERROR(VLOOKUP($T$463,'TAR FIN'!$A$1:$O$85,15,0)),0,VLOOKUP($T$463,'TAR FIN'!$A$1:$O$85,15,0))*(1-0.06)</f>
        <v>348.42040000000003</v>
      </c>
      <c r="X463" s="52">
        <f>IF(ISERROR(VLOOKUP($U$463,'TAR FIN'!$A$1:$O$85,15,0)),0,VLOOKUP($U$463,'TAR FIN'!$A$1:$O$85,15,0))*(1-0.06)</f>
        <v>274.339</v>
      </c>
      <c r="Y463" s="52"/>
      <c r="Z463" s="52">
        <f ca="1">('TUSD BE'!$AM$48+'TUSD BF'!$AM$48+'TUSD CVA'!$AM$48)*1*(1-0.03)</f>
        <v>416.33453167912546</v>
      </c>
      <c r="AA463" s="52">
        <f>('TE BE'!$AB$39+'TE BF'!$AB$39+'TE CVA'!$AB$39)*1*(1-0.03)</f>
        <v>207.36009315335826</v>
      </c>
      <c r="AB463" s="4">
        <f>$K$463*$V$463</f>
        <v>0</v>
      </c>
      <c r="AC463" s="4">
        <f>$M$463*$W$463</f>
        <v>4870.2203512000006</v>
      </c>
      <c r="AD463" s="4">
        <f>$O$463*$X$463</f>
        <v>3834.7105419999998</v>
      </c>
      <c r="AE463" s="4">
        <f>$K$463*$Y$463</f>
        <v>0</v>
      </c>
      <c r="AF463" s="4">
        <f ca="1">$M$463*$Z$463</f>
        <v>5819.5240838108157</v>
      </c>
      <c r="AG463" s="4">
        <f>$O$463*$AA$463</f>
        <v>2898.479382097642</v>
      </c>
    </row>
    <row r="464" spans="1:33" ht="11.25" customHeight="1" x14ac:dyDescent="0.3">
      <c r="A464" s="3" t="s">
        <v>21</v>
      </c>
      <c r="B464" s="3" t="s">
        <v>32</v>
      </c>
      <c r="C464" s="3" t="s">
        <v>23</v>
      </c>
      <c r="D464" s="3" t="s">
        <v>46</v>
      </c>
      <c r="E464" s="3" t="s">
        <v>47</v>
      </c>
      <c r="F464" s="3" t="s">
        <v>25</v>
      </c>
      <c r="G464" s="3" t="s">
        <v>25</v>
      </c>
      <c r="H464" s="3" t="s">
        <v>25</v>
      </c>
      <c r="I464" s="6">
        <v>44562</v>
      </c>
      <c r="J464" s="4">
        <v>0</v>
      </c>
      <c r="K464" s="52">
        <v>0</v>
      </c>
      <c r="L464" s="4">
        <v>13.185</v>
      </c>
      <c r="M464" s="52">
        <v>13.185</v>
      </c>
      <c r="N464" s="4">
        <v>13.185</v>
      </c>
      <c r="O464" s="52">
        <v>13.185</v>
      </c>
      <c r="P464" s="4">
        <v>16</v>
      </c>
      <c r="Q464" s="3" t="s">
        <v>26</v>
      </c>
      <c r="R464" s="3">
        <v>0</v>
      </c>
      <c r="S464" s="4">
        <v>0</v>
      </c>
      <c r="T464" s="4">
        <v>27</v>
      </c>
      <c r="U464" s="4">
        <v>76</v>
      </c>
      <c r="V464" s="52">
        <f>IF(ISERROR(VLOOKUP($S$464,'TAR FIN'!$A$1:$O$85,15,0)),0,VLOOKUP($S$464,'TAR FIN'!$A$1:$O$85,15,0))</f>
        <v>0</v>
      </c>
      <c r="W464" s="52">
        <f>IF(ISERROR(VLOOKUP($T$464,'TAR FIN'!$A$1:$O$85,15,0)),0,VLOOKUP($T$464,'TAR FIN'!$A$1:$O$85,15,0))*(1-0.06)</f>
        <v>348.42040000000003</v>
      </c>
      <c r="X464" s="52">
        <f>IF(ISERROR(VLOOKUP($U$464,'TAR FIN'!$A$1:$O$85,15,0)),0,VLOOKUP($U$464,'TAR FIN'!$A$1:$O$85,15,0))*(1-0.06)</f>
        <v>274.339</v>
      </c>
      <c r="Y464" s="52"/>
      <c r="Z464" s="52">
        <f ca="1">('TUSD BE'!$AM$48+'TUSD BF'!$AM$48+'TUSD CVA'!$AM$48)*1*(1-0.03)</f>
        <v>416.33453167912546</v>
      </c>
      <c r="AA464" s="52">
        <f>('TE BE'!$AB$39+'TE BF'!$AB$39+'TE CVA'!$AB$39)*1*(1-0.03)</f>
        <v>207.36009315335826</v>
      </c>
      <c r="AB464" s="4">
        <f>$K$464*$V$464</f>
        <v>0</v>
      </c>
      <c r="AC464" s="4">
        <f>$M$464*$W$464</f>
        <v>4593.922974000001</v>
      </c>
      <c r="AD464" s="4">
        <f>$O$464*$X$464</f>
        <v>3617.1597150000002</v>
      </c>
      <c r="AE464" s="4">
        <f>$K$464*$Y$464</f>
        <v>0</v>
      </c>
      <c r="AF464" s="4">
        <f ca="1">$M$464*$Z$464</f>
        <v>5489.3708001892692</v>
      </c>
      <c r="AG464" s="4">
        <f>$O$464*$AA$464</f>
        <v>2734.0428282270286</v>
      </c>
    </row>
    <row r="465" spans="1:33" ht="11.25" customHeight="1" x14ac:dyDescent="0.3">
      <c r="A465" s="3" t="s">
        <v>21</v>
      </c>
      <c r="B465" s="3" t="s">
        <v>32</v>
      </c>
      <c r="C465" s="3" t="s">
        <v>23</v>
      </c>
      <c r="D465" s="3" t="s">
        <v>46</v>
      </c>
      <c r="E465" s="3" t="s">
        <v>47</v>
      </c>
      <c r="F465" s="3" t="s">
        <v>25</v>
      </c>
      <c r="G465" s="3" t="s">
        <v>25</v>
      </c>
      <c r="H465" s="3" t="s">
        <v>25</v>
      </c>
      <c r="I465" s="6">
        <v>44593</v>
      </c>
      <c r="J465" s="4">
        <v>0</v>
      </c>
      <c r="K465" s="52">
        <v>0</v>
      </c>
      <c r="L465" s="4">
        <v>15.356999999999999</v>
      </c>
      <c r="M465" s="52">
        <v>15.356999999999999</v>
      </c>
      <c r="N465" s="4">
        <v>15.356999999999999</v>
      </c>
      <c r="O465" s="52">
        <v>15.356999999999999</v>
      </c>
      <c r="P465" s="4">
        <v>16</v>
      </c>
      <c r="Q465" s="3" t="s">
        <v>26</v>
      </c>
      <c r="R465" s="3">
        <v>0</v>
      </c>
      <c r="S465" s="4">
        <v>0</v>
      </c>
      <c r="T465" s="4">
        <v>27</v>
      </c>
      <c r="U465" s="4">
        <v>76</v>
      </c>
      <c r="V465" s="52">
        <f>IF(ISERROR(VLOOKUP($S$465,'TAR FIN'!$A$1:$O$85,15,0)),0,VLOOKUP($S$465,'TAR FIN'!$A$1:$O$85,15,0))</f>
        <v>0</v>
      </c>
      <c r="W465" s="52">
        <f>IF(ISERROR(VLOOKUP($T$465,'TAR FIN'!$A$1:$O$85,15,0)),0,VLOOKUP($T$465,'TAR FIN'!$A$1:$O$85,15,0))*(1-0.06)</f>
        <v>348.42040000000003</v>
      </c>
      <c r="X465" s="52">
        <f>IF(ISERROR(VLOOKUP($U$465,'TAR FIN'!$A$1:$O$85,15,0)),0,VLOOKUP($U$465,'TAR FIN'!$A$1:$O$85,15,0))*(1-0.06)</f>
        <v>274.339</v>
      </c>
      <c r="Y465" s="52"/>
      <c r="Z465" s="52">
        <f ca="1">('TUSD BE'!$AM$48+'TUSD BF'!$AM$48+'TUSD CVA'!$AM$48)*1*(1-0.03)</f>
        <v>416.33453167912546</v>
      </c>
      <c r="AA465" s="52">
        <f>('TE BE'!$AB$39+'TE BF'!$AB$39+'TE CVA'!$AB$39)*1*(1-0.03)</f>
        <v>207.36009315335826</v>
      </c>
      <c r="AB465" s="4">
        <f>$K$465*$V$465</f>
        <v>0</v>
      </c>
      <c r="AC465" s="4">
        <f>$M$465*$W$465</f>
        <v>5350.6920828000002</v>
      </c>
      <c r="AD465" s="4">
        <f>$O$465*$X$465</f>
        <v>4213.0240229999999</v>
      </c>
      <c r="AE465" s="4">
        <f>$K$465*$Y$465</f>
        <v>0</v>
      </c>
      <c r="AF465" s="4">
        <f ca="1">$M$465*$Z$465</f>
        <v>6393.6494029963296</v>
      </c>
      <c r="AG465" s="4">
        <f>$O$465*$AA$465</f>
        <v>3184.4289505561228</v>
      </c>
    </row>
    <row r="466" spans="1:33" ht="11.25" customHeight="1" x14ac:dyDescent="0.3">
      <c r="A466" s="3" t="s">
        <v>21</v>
      </c>
      <c r="B466" s="3" t="s">
        <v>32</v>
      </c>
      <c r="C466" s="3" t="s">
        <v>23</v>
      </c>
      <c r="D466" s="3" t="s">
        <v>46</v>
      </c>
      <c r="E466" s="3" t="s">
        <v>47</v>
      </c>
      <c r="F466" s="3" t="s">
        <v>25</v>
      </c>
      <c r="G466" s="3" t="s">
        <v>25</v>
      </c>
      <c r="H466" s="3" t="s">
        <v>25</v>
      </c>
      <c r="I466" s="6">
        <v>44621</v>
      </c>
      <c r="J466" s="4">
        <v>0</v>
      </c>
      <c r="K466" s="52">
        <v>0</v>
      </c>
      <c r="L466" s="4">
        <v>14.31</v>
      </c>
      <c r="M466" s="52">
        <v>14.31</v>
      </c>
      <c r="N466" s="4">
        <v>14.31</v>
      </c>
      <c r="O466" s="52">
        <v>14.31</v>
      </c>
      <c r="P466" s="4">
        <v>16</v>
      </c>
      <c r="Q466" s="3" t="s">
        <v>26</v>
      </c>
      <c r="R466" s="3">
        <v>0</v>
      </c>
      <c r="S466" s="4">
        <v>0</v>
      </c>
      <c r="T466" s="4">
        <v>27</v>
      </c>
      <c r="U466" s="4">
        <v>76</v>
      </c>
      <c r="V466" s="52">
        <f>IF(ISERROR(VLOOKUP($S$466,'TAR FIN'!$A$1:$O$85,15,0)),0,VLOOKUP($S$466,'TAR FIN'!$A$1:$O$85,15,0))</f>
        <v>0</v>
      </c>
      <c r="W466" s="52">
        <f>IF(ISERROR(VLOOKUP($T$466,'TAR FIN'!$A$1:$O$85,15,0)),0,VLOOKUP($T$466,'TAR FIN'!$A$1:$O$85,15,0))*(1-0.06)</f>
        <v>348.42040000000003</v>
      </c>
      <c r="X466" s="52">
        <f>IF(ISERROR(VLOOKUP($U$466,'TAR FIN'!$A$1:$O$85,15,0)),0,VLOOKUP($U$466,'TAR FIN'!$A$1:$O$85,15,0))*(1-0.06)</f>
        <v>274.339</v>
      </c>
      <c r="Y466" s="52"/>
      <c r="Z466" s="52">
        <f ca="1">('TUSD BE'!$AM$48+'TUSD BF'!$AM$48+'TUSD CVA'!$AM$48)*1*(1-0.03)</f>
        <v>416.33453167912546</v>
      </c>
      <c r="AA466" s="52">
        <f>('TE BE'!$AB$39+'TE BF'!$AB$39+'TE CVA'!$AB$39)*1*(1-0.03)</f>
        <v>207.36009315335826</v>
      </c>
      <c r="AB466" s="4">
        <f>$K$466*$V$466</f>
        <v>0</v>
      </c>
      <c r="AC466" s="4">
        <f>$M$466*$W$466</f>
        <v>4985.8959240000004</v>
      </c>
      <c r="AD466" s="4">
        <f>$O$466*$X$466</f>
        <v>3925.7910900000002</v>
      </c>
      <c r="AE466" s="4">
        <f>$K$466*$Y$466</f>
        <v>0</v>
      </c>
      <c r="AF466" s="4">
        <f ca="1">$M$466*$Z$466</f>
        <v>5957.7471483282852</v>
      </c>
      <c r="AG466" s="4">
        <f>$O$466*$AA$466</f>
        <v>2967.3229330245567</v>
      </c>
    </row>
    <row r="467" spans="1:33" ht="11.25" customHeight="1" x14ac:dyDescent="0.3">
      <c r="A467" s="3" t="s">
        <v>21</v>
      </c>
      <c r="B467" s="3" t="s">
        <v>32</v>
      </c>
      <c r="C467" s="3" t="s">
        <v>23</v>
      </c>
      <c r="D467" s="3" t="s">
        <v>46</v>
      </c>
      <c r="E467" s="3" t="s">
        <v>47</v>
      </c>
      <c r="F467" s="3" t="s">
        <v>25</v>
      </c>
      <c r="G467" s="3" t="s">
        <v>25</v>
      </c>
      <c r="H467" s="3" t="s">
        <v>25</v>
      </c>
      <c r="I467" s="6">
        <v>44652</v>
      </c>
      <c r="J467" s="4">
        <v>0</v>
      </c>
      <c r="K467" s="52">
        <v>0</v>
      </c>
      <c r="L467" s="4">
        <v>14.478999999999999</v>
      </c>
      <c r="M467" s="52">
        <v>14.478999999999999</v>
      </c>
      <c r="N467" s="4">
        <v>14.478999999999999</v>
      </c>
      <c r="O467" s="52">
        <v>14.478999999999999</v>
      </c>
      <c r="P467" s="4">
        <v>16</v>
      </c>
      <c r="Q467" s="3" t="s">
        <v>26</v>
      </c>
      <c r="R467" s="3">
        <v>0</v>
      </c>
      <c r="S467" s="4">
        <v>0</v>
      </c>
      <c r="T467" s="4">
        <v>27</v>
      </c>
      <c r="U467" s="4">
        <v>76</v>
      </c>
      <c r="V467" s="52">
        <f>IF(ISERROR(VLOOKUP($S$467,'TAR FIN'!$A$1:$O$85,15,0)),0,VLOOKUP($S$467,'TAR FIN'!$A$1:$O$85,15,0))</f>
        <v>0</v>
      </c>
      <c r="W467" s="52">
        <f>IF(ISERROR(VLOOKUP($T$467,'TAR FIN'!$A$1:$O$85,15,0)),0,VLOOKUP($T$467,'TAR FIN'!$A$1:$O$85,15,0))*(1-0.06)</f>
        <v>348.42040000000003</v>
      </c>
      <c r="X467" s="52">
        <f>IF(ISERROR(VLOOKUP($U$467,'TAR FIN'!$A$1:$O$85,15,0)),0,VLOOKUP($U$467,'TAR FIN'!$A$1:$O$85,15,0))*(1-0.06)</f>
        <v>274.339</v>
      </c>
      <c r="Y467" s="52"/>
      <c r="Z467" s="52">
        <f ca="1">('TUSD BE'!$AM$48+'TUSD BF'!$AM$48+'TUSD CVA'!$AM$48)*1*(1-0.03)</f>
        <v>416.33453167912546</v>
      </c>
      <c r="AA467" s="52">
        <f>('TE BE'!$AB$39+'TE BF'!$AB$39+'TE CVA'!$AB$39)*1*(1-0.03)</f>
        <v>207.36009315335826</v>
      </c>
      <c r="AB467" s="4">
        <f>$K$467*$V$467</f>
        <v>0</v>
      </c>
      <c r="AC467" s="4">
        <f>$M$467*$W$467</f>
        <v>5044.7789715999997</v>
      </c>
      <c r="AD467" s="4">
        <f>$O$467*$X$467</f>
        <v>3972.1543809999998</v>
      </c>
      <c r="AE467" s="4">
        <f>$K$467*$Y$467</f>
        <v>0</v>
      </c>
      <c r="AF467" s="4">
        <f ca="1">$M$467*$Z$467</f>
        <v>6028.1076841820568</v>
      </c>
      <c r="AG467" s="4">
        <f>$O$467*$AA$467</f>
        <v>3002.3667887674742</v>
      </c>
    </row>
    <row r="468" spans="1:33" ht="11.25" customHeight="1" x14ac:dyDescent="0.3">
      <c r="A468" s="3" t="s">
        <v>21</v>
      </c>
      <c r="B468" s="3" t="s">
        <v>32</v>
      </c>
      <c r="C468" s="3" t="s">
        <v>23</v>
      </c>
      <c r="D468" s="3" t="s">
        <v>46</v>
      </c>
      <c r="E468" s="3" t="s">
        <v>47</v>
      </c>
      <c r="F468" s="3" t="s">
        <v>25</v>
      </c>
      <c r="G468" s="3" t="s">
        <v>25</v>
      </c>
      <c r="H468" s="3" t="s">
        <v>25</v>
      </c>
      <c r="I468" s="6">
        <v>44682</v>
      </c>
      <c r="J468" s="4">
        <v>0</v>
      </c>
      <c r="K468" s="52">
        <v>0</v>
      </c>
      <c r="L468" s="4">
        <v>14.087</v>
      </c>
      <c r="M468" s="52">
        <v>14.087</v>
      </c>
      <c r="N468" s="4">
        <v>14.087</v>
      </c>
      <c r="O468" s="52">
        <v>14.087</v>
      </c>
      <c r="P468" s="4">
        <v>16</v>
      </c>
      <c r="Q468" s="3" t="s">
        <v>26</v>
      </c>
      <c r="R468" s="3">
        <v>0</v>
      </c>
      <c r="S468" s="4">
        <v>0</v>
      </c>
      <c r="T468" s="4">
        <v>27</v>
      </c>
      <c r="U468" s="4">
        <v>76</v>
      </c>
      <c r="V468" s="52">
        <f>IF(ISERROR(VLOOKUP($S$468,'TAR FIN'!$A$1:$O$85,15,0)),0,VLOOKUP($S$468,'TAR FIN'!$A$1:$O$85,15,0))</f>
        <v>0</v>
      </c>
      <c r="W468" s="52">
        <f>IF(ISERROR(VLOOKUP($T$468,'TAR FIN'!$A$1:$O$85,15,0)),0,VLOOKUP($T$468,'TAR FIN'!$A$1:$O$85,15,0))*(1-0.06)</f>
        <v>348.42040000000003</v>
      </c>
      <c r="X468" s="52">
        <f>IF(ISERROR(VLOOKUP($U$468,'TAR FIN'!$A$1:$O$85,15,0)),0,VLOOKUP($U$468,'TAR FIN'!$A$1:$O$85,15,0))*(1-0.06)</f>
        <v>274.339</v>
      </c>
      <c r="Y468" s="52"/>
      <c r="Z468" s="52">
        <f ca="1">('TUSD BE'!$AM$48+'TUSD BF'!$AM$48+'TUSD CVA'!$AM$48)*1*(1-0.03)</f>
        <v>416.33453167912546</v>
      </c>
      <c r="AA468" s="52">
        <f>('TE BE'!$AB$39+'TE BF'!$AB$39+'TE CVA'!$AB$39)*1*(1-0.03)</f>
        <v>207.36009315335826</v>
      </c>
      <c r="AB468" s="4">
        <f>$K$468*$V$468</f>
        <v>0</v>
      </c>
      <c r="AC468" s="4">
        <f>$M$468*$W$468</f>
        <v>4908.1981748000007</v>
      </c>
      <c r="AD468" s="4">
        <f>$O$468*$X$468</f>
        <v>3864.6134929999998</v>
      </c>
      <c r="AE468" s="4">
        <f>$K$468*$Y$468</f>
        <v>0</v>
      </c>
      <c r="AF468" s="4">
        <f ca="1">$M$468*$Z$468</f>
        <v>5864.9045477638401</v>
      </c>
      <c r="AG468" s="4">
        <f>$O$468*$AA$468</f>
        <v>2921.0816322513579</v>
      </c>
    </row>
    <row r="469" spans="1:33" ht="11.25" customHeight="1" x14ac:dyDescent="0.3">
      <c r="A469" s="3" t="s">
        <v>21</v>
      </c>
      <c r="B469" s="3" t="s">
        <v>32</v>
      </c>
      <c r="C469" s="3" t="s">
        <v>23</v>
      </c>
      <c r="D469" s="3" t="s">
        <v>46</v>
      </c>
      <c r="E469" s="3" t="s">
        <v>47</v>
      </c>
      <c r="F469" s="3" t="s">
        <v>25</v>
      </c>
      <c r="G469" s="3" t="s">
        <v>25</v>
      </c>
      <c r="H469" s="3" t="s">
        <v>25</v>
      </c>
      <c r="I469" s="6">
        <v>44713</v>
      </c>
      <c r="J469" s="4">
        <v>0</v>
      </c>
      <c r="K469" s="52">
        <v>0</v>
      </c>
      <c r="L469" s="4">
        <v>15.03</v>
      </c>
      <c r="M469" s="52">
        <v>15.03</v>
      </c>
      <c r="N469" s="4">
        <v>15.03</v>
      </c>
      <c r="O469" s="52">
        <v>15.03</v>
      </c>
      <c r="P469" s="4">
        <v>16</v>
      </c>
      <c r="Q469" s="3" t="s">
        <v>26</v>
      </c>
      <c r="R469" s="3">
        <v>0</v>
      </c>
      <c r="S469" s="4">
        <v>0</v>
      </c>
      <c r="T469" s="4">
        <v>27</v>
      </c>
      <c r="U469" s="4">
        <v>76</v>
      </c>
      <c r="V469" s="52">
        <f>IF(ISERROR(VLOOKUP($S$469,'TAR FIN'!$A$1:$O$85,15,0)),0,VLOOKUP($S$469,'TAR FIN'!$A$1:$O$85,15,0))</f>
        <v>0</v>
      </c>
      <c r="W469" s="52">
        <f>IF(ISERROR(VLOOKUP($T$469,'TAR FIN'!$A$1:$O$85,15,0)),0,VLOOKUP($T$469,'TAR FIN'!$A$1:$O$85,15,0))*(1-0.06)</f>
        <v>348.42040000000003</v>
      </c>
      <c r="X469" s="52">
        <f>IF(ISERROR(VLOOKUP($U$469,'TAR FIN'!$A$1:$O$85,15,0)),0,VLOOKUP($U$469,'TAR FIN'!$A$1:$O$85,15,0))*(1-0.06)</f>
        <v>274.339</v>
      </c>
      <c r="Y469" s="52"/>
      <c r="Z469" s="52">
        <f ca="1">('TUSD BE'!$AM$48+'TUSD BF'!$AM$48+'TUSD CVA'!$AM$48)*1*(1-0.03)</f>
        <v>416.33453167912546</v>
      </c>
      <c r="AA469" s="52">
        <f>('TE BE'!$AB$39+'TE BF'!$AB$39+'TE CVA'!$AB$39)*1*(1-0.03)</f>
        <v>207.36009315335826</v>
      </c>
      <c r="AB469" s="4">
        <f>$K$469*$V$469</f>
        <v>0</v>
      </c>
      <c r="AC469" s="4">
        <f>$M$469*$W$469</f>
        <v>5236.7586120000005</v>
      </c>
      <c r="AD469" s="4">
        <f>$O$469*$X$469</f>
        <v>4123.3151699999999</v>
      </c>
      <c r="AE469" s="4">
        <f>$K$469*$Y$469</f>
        <v>0</v>
      </c>
      <c r="AF469" s="4">
        <f ca="1">$M$469*$Z$469</f>
        <v>6257.5080111372554</v>
      </c>
      <c r="AG469" s="4">
        <f>$O$469*$AA$469</f>
        <v>3116.6222000949747</v>
      </c>
    </row>
    <row r="470" spans="1:33" ht="11.25" customHeight="1" x14ac:dyDescent="0.3">
      <c r="A470" s="3" t="s">
        <v>21</v>
      </c>
      <c r="B470" s="3" t="s">
        <v>32</v>
      </c>
      <c r="C470" s="3" t="s">
        <v>23</v>
      </c>
      <c r="D470" s="3" t="s">
        <v>46</v>
      </c>
      <c r="E470" s="3" t="s">
        <v>47</v>
      </c>
      <c r="F470" s="3" t="s">
        <v>25</v>
      </c>
      <c r="G470" s="3" t="s">
        <v>25</v>
      </c>
      <c r="H470" s="3" t="s">
        <v>25</v>
      </c>
      <c r="I470" s="6">
        <v>44743</v>
      </c>
      <c r="J470" s="4">
        <v>0</v>
      </c>
      <c r="K470" s="52">
        <v>0</v>
      </c>
      <c r="L470" s="4">
        <v>13.217000000000001</v>
      </c>
      <c r="M470" s="52">
        <v>13.217000000000001</v>
      </c>
      <c r="N470" s="4">
        <v>13.217000000000001</v>
      </c>
      <c r="O470" s="52">
        <v>13.217000000000001</v>
      </c>
      <c r="P470" s="4">
        <v>16</v>
      </c>
      <c r="Q470" s="3" t="s">
        <v>26</v>
      </c>
      <c r="R470" s="3">
        <v>0</v>
      </c>
      <c r="S470" s="4">
        <v>0</v>
      </c>
      <c r="T470" s="4">
        <v>27</v>
      </c>
      <c r="U470" s="4">
        <v>76</v>
      </c>
      <c r="V470" s="52">
        <f>IF(ISERROR(VLOOKUP($S$470,'TAR FIN'!$A$1:$O$85,15,0)),0,VLOOKUP($S$470,'TAR FIN'!$A$1:$O$85,15,0))</f>
        <v>0</v>
      </c>
      <c r="W470" s="52">
        <f>IF(ISERROR(VLOOKUP($T$470,'TAR FIN'!$A$1:$O$85,15,0)),0,VLOOKUP($T$470,'TAR FIN'!$A$1:$O$85,15,0))*(1-0.06)</f>
        <v>348.42040000000003</v>
      </c>
      <c r="X470" s="52">
        <f>IF(ISERROR(VLOOKUP($U$470,'TAR FIN'!$A$1:$O$85,15,0)),0,VLOOKUP($U$470,'TAR FIN'!$A$1:$O$85,15,0))*(1-0.06)</f>
        <v>274.339</v>
      </c>
      <c r="Y470" s="52"/>
      <c r="Z470" s="52">
        <f ca="1">('TUSD BE'!$AM$48+'TUSD BF'!$AM$48+'TUSD CVA'!$AM$48)*1*(1-0.03)</f>
        <v>416.33453167912546</v>
      </c>
      <c r="AA470" s="52">
        <f>('TE BE'!$AB$39+'TE BF'!$AB$39+'TE CVA'!$AB$39)*1*(1-0.03)</f>
        <v>207.36009315335826</v>
      </c>
      <c r="AB470" s="4">
        <f>$K$470*$V$470</f>
        <v>0</v>
      </c>
      <c r="AC470" s="4">
        <f>$M$470*$W$470</f>
        <v>4605.0724268000004</v>
      </c>
      <c r="AD470" s="4">
        <f>$O$470*$X$470</f>
        <v>3625.9385630000002</v>
      </c>
      <c r="AE470" s="4">
        <f>$K$470*$Y$470</f>
        <v>0</v>
      </c>
      <c r="AF470" s="4">
        <f ca="1">$M$470*$Z$470</f>
        <v>5502.6935052030012</v>
      </c>
      <c r="AG470" s="4">
        <f>$O$470*$AA$470</f>
        <v>2740.6783512079364</v>
      </c>
    </row>
    <row r="471" spans="1:33" ht="11.25" customHeight="1" x14ac:dyDescent="0.3">
      <c r="A471" s="3" t="s">
        <v>53</v>
      </c>
      <c r="B471" s="3" t="s">
        <v>32</v>
      </c>
      <c r="C471" s="3" t="s">
        <v>23</v>
      </c>
      <c r="D471" s="3" t="s">
        <v>46</v>
      </c>
      <c r="E471" s="3" t="s">
        <v>47</v>
      </c>
      <c r="F471" s="3" t="s">
        <v>25</v>
      </c>
      <c r="G471" s="3" t="s">
        <v>25</v>
      </c>
      <c r="H471" s="3" t="s">
        <v>25</v>
      </c>
      <c r="I471" s="6">
        <v>44774</v>
      </c>
      <c r="J471" s="4">
        <v>0</v>
      </c>
      <c r="K471" s="52">
        <v>0</v>
      </c>
      <c r="L471" s="4">
        <v>13.217000000000001</v>
      </c>
      <c r="M471" s="52">
        <v>13.217000000000001</v>
      </c>
      <c r="N471" s="4">
        <v>13.217000000000001</v>
      </c>
      <c r="O471" s="52">
        <v>13.217000000000001</v>
      </c>
      <c r="P471" s="4">
        <v>16</v>
      </c>
      <c r="Q471" s="3" t="s">
        <v>26</v>
      </c>
      <c r="R471" s="3">
        <v>0</v>
      </c>
      <c r="S471" s="4">
        <v>0</v>
      </c>
      <c r="T471" s="4">
        <v>27</v>
      </c>
      <c r="U471" s="4">
        <v>76</v>
      </c>
      <c r="V471" s="52">
        <f>IF(ISERROR(VLOOKUP($S$471,'TAR FIN'!$A$1:$O$85,15,0)),0,VLOOKUP($S$471,'TAR FIN'!$A$1:$O$85,15,0))</f>
        <v>0</v>
      </c>
      <c r="W471" s="52">
        <f>IF(ISERROR(VLOOKUP($T$471,'TAR FIN'!$A$1:$O$85,15,0)),0,VLOOKUP($T$471,'TAR FIN'!$A$1:$O$85,15,0))*(1-0.06)</f>
        <v>348.42040000000003</v>
      </c>
      <c r="X471" s="52">
        <f>IF(ISERROR(VLOOKUP($U$471,'TAR FIN'!$A$1:$O$85,15,0)),0,VLOOKUP($U$471,'TAR FIN'!$A$1:$O$85,15,0))*(1-0.06)</f>
        <v>274.339</v>
      </c>
      <c r="Y471" s="52"/>
      <c r="Z471" s="52">
        <f ca="1">('TUSD BE'!$AM$48+'TUSD BF'!$AM$48+'TUSD CVA'!$AM$48)*1*(1-0.03)</f>
        <v>416.33453167912546</v>
      </c>
      <c r="AA471" s="52">
        <f>('TE BE'!$AB$39+'TE BF'!$AB$39+'TE CVA'!$AB$39)*1*(1-0.03)</f>
        <v>207.36009315335826</v>
      </c>
      <c r="AB471" s="4">
        <f>$K$471*$V$471</f>
        <v>0</v>
      </c>
      <c r="AC471" s="4">
        <f>$M$471*$W$471</f>
        <v>4605.0724268000004</v>
      </c>
      <c r="AD471" s="4">
        <f>$O$471*$X$471</f>
        <v>3625.9385630000002</v>
      </c>
      <c r="AE471" s="4">
        <f>$K$471*$Y$471</f>
        <v>0</v>
      </c>
      <c r="AF471" s="4">
        <f ca="1">$M$471*$Z$471</f>
        <v>5502.6935052030012</v>
      </c>
      <c r="AG471" s="4">
        <f>$O$471*$AA$471</f>
        <v>2740.6783512079364</v>
      </c>
    </row>
    <row r="472" spans="1:33" ht="11.25" customHeight="1" x14ac:dyDescent="0.3">
      <c r="A472" s="3" t="s">
        <v>21</v>
      </c>
      <c r="B472" s="3" t="s">
        <v>43</v>
      </c>
      <c r="C472" s="3" t="s">
        <v>23</v>
      </c>
      <c r="D472" s="3" t="s">
        <v>44</v>
      </c>
      <c r="E472" s="3" t="s">
        <v>45</v>
      </c>
      <c r="F472" s="3" t="s">
        <v>25</v>
      </c>
      <c r="G472" s="3" t="s">
        <v>25</v>
      </c>
      <c r="H472" s="3" t="s">
        <v>25</v>
      </c>
      <c r="I472" s="6">
        <v>44440</v>
      </c>
      <c r="J472" s="4">
        <v>0</v>
      </c>
      <c r="K472" s="4">
        <v>0</v>
      </c>
      <c r="L472" s="4">
        <v>151.68799999999999</v>
      </c>
      <c r="M472" s="4">
        <v>151.68799999999999</v>
      </c>
      <c r="N472" s="4">
        <v>151.68799999999999</v>
      </c>
      <c r="O472" s="4">
        <v>151.68799999999999</v>
      </c>
      <c r="P472" s="4">
        <v>6</v>
      </c>
      <c r="Q472" s="3" t="s">
        <v>26</v>
      </c>
      <c r="R472" s="3">
        <v>0</v>
      </c>
      <c r="S472" s="4">
        <v>0</v>
      </c>
      <c r="T472" s="4">
        <v>40</v>
      </c>
      <c r="U472" s="4">
        <v>82</v>
      </c>
      <c r="V472" s="4">
        <f>IF(ISERROR(VLOOKUP($S$472,'TAR FIN'!$A$1:$O$85,15,0)),0,VLOOKUP($S$472,'TAR FIN'!$A$1:$O$85,15,0))</f>
        <v>0</v>
      </c>
      <c r="W472" s="4">
        <f>IF(ISERROR(VLOOKUP($T$472,'TAR FIN'!$A$1:$O$85,15,0)),0,VLOOKUP($T$472,'TAR FIN'!$A$1:$O$85,15,0))</f>
        <v>222.4</v>
      </c>
      <c r="X472" s="4">
        <f>IF(ISERROR(VLOOKUP($U$472,'TAR FIN'!$A$1:$O$85,15,0)),0,VLOOKUP($U$472,'TAR FIN'!$A$1:$O$85,15,0))</f>
        <v>175.11</v>
      </c>
      <c r="Y472" s="4"/>
      <c r="Z472" s="4">
        <f ca="1">('TUSD BE'!$AM$51+'TUSD BF'!$AM$51+'TUSD CVA'!$AM$51)*1</f>
        <v>257.52651444069613</v>
      </c>
      <c r="AA472" s="4">
        <f>('TE BE'!$AB$42+'TE BF'!$AB$42+'TE CVA'!$AB$42)*1</f>
        <v>128.26397514640718</v>
      </c>
      <c r="AB472" s="4">
        <f>$K$472*$V$472</f>
        <v>0</v>
      </c>
      <c r="AC472" s="4">
        <f>$M$472*$W$472</f>
        <v>33735.411199999995</v>
      </c>
      <c r="AD472" s="4">
        <f>$O$472*$X$472</f>
        <v>26562.08568</v>
      </c>
      <c r="AE472" s="4">
        <f>$K$472*$Y$472</f>
        <v>0</v>
      </c>
      <c r="AF472" s="4">
        <f ca="1">$M$472*$Z$472</f>
        <v>39063.681922480311</v>
      </c>
      <c r="AG472" s="4">
        <f>$O$472*$AA$472</f>
        <v>19456.105862008211</v>
      </c>
    </row>
    <row r="473" spans="1:33" ht="11.25" customHeight="1" x14ac:dyDescent="0.3">
      <c r="A473" s="3" t="s">
        <v>21</v>
      </c>
      <c r="B473" s="3" t="s">
        <v>43</v>
      </c>
      <c r="C473" s="3" t="s">
        <v>23</v>
      </c>
      <c r="D473" s="3" t="s">
        <v>44</v>
      </c>
      <c r="E473" s="3" t="s">
        <v>45</v>
      </c>
      <c r="F473" s="3" t="s">
        <v>25</v>
      </c>
      <c r="G473" s="3" t="s">
        <v>25</v>
      </c>
      <c r="H473" s="3" t="s">
        <v>25</v>
      </c>
      <c r="I473" s="6">
        <v>44470</v>
      </c>
      <c r="J473" s="4">
        <v>0</v>
      </c>
      <c r="K473" s="4">
        <v>0</v>
      </c>
      <c r="L473" s="4">
        <v>156.339</v>
      </c>
      <c r="M473" s="4">
        <v>156.339</v>
      </c>
      <c r="N473" s="4">
        <v>156.339</v>
      </c>
      <c r="O473" s="4">
        <v>156.339</v>
      </c>
      <c r="P473" s="4">
        <v>6</v>
      </c>
      <c r="Q473" s="3" t="s">
        <v>26</v>
      </c>
      <c r="R473" s="3">
        <v>0</v>
      </c>
      <c r="S473" s="4">
        <v>0</v>
      </c>
      <c r="T473" s="4">
        <v>40</v>
      </c>
      <c r="U473" s="4">
        <v>82</v>
      </c>
      <c r="V473" s="4">
        <f>IF(ISERROR(VLOOKUP($S$473,'TAR FIN'!$A$1:$O$85,15,0)),0,VLOOKUP($S$473,'TAR FIN'!$A$1:$O$85,15,0))</f>
        <v>0</v>
      </c>
      <c r="W473" s="4">
        <f>IF(ISERROR(VLOOKUP($T$473,'TAR FIN'!$A$1:$O$85,15,0)),0,VLOOKUP($T$473,'TAR FIN'!$A$1:$O$85,15,0))</f>
        <v>222.4</v>
      </c>
      <c r="X473" s="4">
        <f>IF(ISERROR(VLOOKUP($U$473,'TAR FIN'!$A$1:$O$85,15,0)),0,VLOOKUP($U$473,'TAR FIN'!$A$1:$O$85,15,0))</f>
        <v>175.11</v>
      </c>
      <c r="Y473" s="4"/>
      <c r="Z473" s="4">
        <f ca="1">('TUSD BE'!$AM$51+'TUSD BF'!$AM$51+'TUSD CVA'!$AM$51)*1</f>
        <v>257.52651444069613</v>
      </c>
      <c r="AA473" s="4">
        <f>('TE BE'!$AB$42+'TE BF'!$AB$42+'TE CVA'!$AB$42)*1</f>
        <v>128.26397514640718</v>
      </c>
      <c r="AB473" s="4">
        <f>$K$473*$V$473</f>
        <v>0</v>
      </c>
      <c r="AC473" s="4">
        <f>$M$473*$W$473</f>
        <v>34769.793599999997</v>
      </c>
      <c r="AD473" s="4">
        <f>$O$473*$X$473</f>
        <v>27376.522290000001</v>
      </c>
      <c r="AE473" s="4">
        <f>$K$473*$Y$473</f>
        <v>0</v>
      </c>
      <c r="AF473" s="4">
        <f ca="1">$M$473*$Z$473</f>
        <v>40261.437741143993</v>
      </c>
      <c r="AG473" s="4">
        <f>$O$473*$AA$473</f>
        <v>20052.66161041415</v>
      </c>
    </row>
    <row r="474" spans="1:33" ht="11.25" customHeight="1" x14ac:dyDescent="0.3">
      <c r="A474" s="3" t="s">
        <v>21</v>
      </c>
      <c r="B474" s="3" t="s">
        <v>43</v>
      </c>
      <c r="C474" s="3" t="s">
        <v>23</v>
      </c>
      <c r="D474" s="3" t="s">
        <v>44</v>
      </c>
      <c r="E474" s="3" t="s">
        <v>45</v>
      </c>
      <c r="F474" s="3" t="s">
        <v>25</v>
      </c>
      <c r="G474" s="3" t="s">
        <v>25</v>
      </c>
      <c r="H474" s="3" t="s">
        <v>25</v>
      </c>
      <c r="I474" s="6">
        <v>44501</v>
      </c>
      <c r="J474" s="4">
        <v>0</v>
      </c>
      <c r="K474" s="4">
        <v>0</v>
      </c>
      <c r="L474" s="4">
        <v>151.298</v>
      </c>
      <c r="M474" s="4">
        <v>151.298</v>
      </c>
      <c r="N474" s="4">
        <v>151.298</v>
      </c>
      <c r="O474" s="4">
        <v>151.298</v>
      </c>
      <c r="P474" s="4">
        <v>6</v>
      </c>
      <c r="Q474" s="3" t="s">
        <v>26</v>
      </c>
      <c r="R474" s="3">
        <v>0</v>
      </c>
      <c r="S474" s="4">
        <v>0</v>
      </c>
      <c r="T474" s="4">
        <v>40</v>
      </c>
      <c r="U474" s="4">
        <v>82</v>
      </c>
      <c r="V474" s="4">
        <f>IF(ISERROR(VLOOKUP($S$474,'TAR FIN'!$A$1:$O$85,15,0)),0,VLOOKUP($S$474,'TAR FIN'!$A$1:$O$85,15,0))</f>
        <v>0</v>
      </c>
      <c r="W474" s="4">
        <f>IF(ISERROR(VLOOKUP($T$474,'TAR FIN'!$A$1:$O$85,15,0)),0,VLOOKUP($T$474,'TAR FIN'!$A$1:$O$85,15,0))</f>
        <v>222.4</v>
      </c>
      <c r="X474" s="4">
        <f>IF(ISERROR(VLOOKUP($U$474,'TAR FIN'!$A$1:$O$85,15,0)),0,VLOOKUP($U$474,'TAR FIN'!$A$1:$O$85,15,0))</f>
        <v>175.11</v>
      </c>
      <c r="Y474" s="4"/>
      <c r="Z474" s="4">
        <f ca="1">('TUSD BE'!$AM$51+'TUSD BF'!$AM$51+'TUSD CVA'!$AM$51)*1</f>
        <v>257.52651444069613</v>
      </c>
      <c r="AA474" s="4">
        <f>('TE BE'!$AB$42+'TE BF'!$AB$42+'TE CVA'!$AB$42)*1</f>
        <v>128.26397514640718</v>
      </c>
      <c r="AB474" s="4">
        <f>$K$474*$V$474</f>
        <v>0</v>
      </c>
      <c r="AC474" s="4">
        <f>$M$474*$W$474</f>
        <v>33648.675199999998</v>
      </c>
      <c r="AD474" s="4">
        <f>$O$474*$X$474</f>
        <v>26493.792780000003</v>
      </c>
      <c r="AE474" s="4">
        <f>$K$474*$Y$474</f>
        <v>0</v>
      </c>
      <c r="AF474" s="4">
        <f ca="1">$M$474*$Z$474</f>
        <v>38963.246581848442</v>
      </c>
      <c r="AG474" s="4">
        <f>$O$474*$AA$474</f>
        <v>19406.082911701113</v>
      </c>
    </row>
    <row r="475" spans="1:33" ht="11.25" customHeight="1" x14ac:dyDescent="0.3">
      <c r="A475" s="3" t="s">
        <v>21</v>
      </c>
      <c r="B475" s="3" t="s">
        <v>43</v>
      </c>
      <c r="C475" s="3" t="s">
        <v>23</v>
      </c>
      <c r="D475" s="3" t="s">
        <v>44</v>
      </c>
      <c r="E475" s="3" t="s">
        <v>45</v>
      </c>
      <c r="F475" s="3" t="s">
        <v>25</v>
      </c>
      <c r="G475" s="3" t="s">
        <v>25</v>
      </c>
      <c r="H475" s="3" t="s">
        <v>25</v>
      </c>
      <c r="I475" s="6">
        <v>44531</v>
      </c>
      <c r="J475" s="4">
        <v>0</v>
      </c>
      <c r="K475" s="4">
        <v>0</v>
      </c>
      <c r="L475" s="4">
        <v>151.13900000000001</v>
      </c>
      <c r="M475" s="4">
        <v>151.13900000000001</v>
      </c>
      <c r="N475" s="4">
        <v>151.13900000000001</v>
      </c>
      <c r="O475" s="4">
        <v>151.13900000000001</v>
      </c>
      <c r="P475" s="4">
        <v>6</v>
      </c>
      <c r="Q475" s="3" t="s">
        <v>26</v>
      </c>
      <c r="R475" s="3">
        <v>0</v>
      </c>
      <c r="S475" s="4">
        <v>0</v>
      </c>
      <c r="T475" s="4">
        <v>40</v>
      </c>
      <c r="U475" s="4">
        <v>82</v>
      </c>
      <c r="V475" s="4">
        <f>IF(ISERROR(VLOOKUP($S$475,'TAR FIN'!$A$1:$O$85,15,0)),0,VLOOKUP($S$475,'TAR FIN'!$A$1:$O$85,15,0))</f>
        <v>0</v>
      </c>
      <c r="W475" s="4">
        <f>IF(ISERROR(VLOOKUP($T$475,'TAR FIN'!$A$1:$O$85,15,0)),0,VLOOKUP($T$475,'TAR FIN'!$A$1:$O$85,15,0))</f>
        <v>222.4</v>
      </c>
      <c r="X475" s="4">
        <f>IF(ISERROR(VLOOKUP($U$475,'TAR FIN'!$A$1:$O$85,15,0)),0,VLOOKUP($U$475,'TAR FIN'!$A$1:$O$85,15,0))</f>
        <v>175.11</v>
      </c>
      <c r="Y475" s="4"/>
      <c r="Z475" s="4">
        <f ca="1">('TUSD BE'!$AM$51+'TUSD BF'!$AM$51+'TUSD CVA'!$AM$51)*1</f>
        <v>257.52651444069613</v>
      </c>
      <c r="AA475" s="4">
        <f>('TE BE'!$AB$42+'TE BF'!$AB$42+'TE CVA'!$AB$42)*1</f>
        <v>128.26397514640718</v>
      </c>
      <c r="AB475" s="4">
        <f>$K$475*$V$475</f>
        <v>0</v>
      </c>
      <c r="AC475" s="4">
        <f>$M$475*$W$475</f>
        <v>33613.313600000001</v>
      </c>
      <c r="AD475" s="4">
        <f>$O$475*$X$475</f>
        <v>26465.950290000004</v>
      </c>
      <c r="AE475" s="4">
        <f>$K$475*$Y$475</f>
        <v>0</v>
      </c>
      <c r="AF475" s="4">
        <f ca="1">$M$475*$Z$475</f>
        <v>38922.299866052374</v>
      </c>
      <c r="AG475" s="4">
        <f>$O$475*$AA$475</f>
        <v>19385.688939652835</v>
      </c>
    </row>
    <row r="476" spans="1:33" ht="11.25" customHeight="1" x14ac:dyDescent="0.3">
      <c r="A476" s="3" t="s">
        <v>21</v>
      </c>
      <c r="B476" s="3" t="s">
        <v>43</v>
      </c>
      <c r="C476" s="3" t="s">
        <v>23</v>
      </c>
      <c r="D476" s="3" t="s">
        <v>44</v>
      </c>
      <c r="E476" s="3" t="s">
        <v>45</v>
      </c>
      <c r="F476" s="3" t="s">
        <v>25</v>
      </c>
      <c r="G476" s="3" t="s">
        <v>25</v>
      </c>
      <c r="H476" s="3" t="s">
        <v>25</v>
      </c>
      <c r="I476" s="6">
        <v>44562</v>
      </c>
      <c r="J476" s="4">
        <v>0</v>
      </c>
      <c r="K476" s="4">
        <v>0</v>
      </c>
      <c r="L476" s="4">
        <v>145.63</v>
      </c>
      <c r="M476" s="4">
        <v>145.63</v>
      </c>
      <c r="N476" s="4">
        <v>145.63</v>
      </c>
      <c r="O476" s="4">
        <v>145.63</v>
      </c>
      <c r="P476" s="4">
        <v>6</v>
      </c>
      <c r="Q476" s="3" t="s">
        <v>26</v>
      </c>
      <c r="R476" s="3">
        <v>0</v>
      </c>
      <c r="S476" s="4">
        <v>0</v>
      </c>
      <c r="T476" s="4">
        <v>40</v>
      </c>
      <c r="U476" s="4">
        <v>82</v>
      </c>
      <c r="V476" s="4">
        <f>IF(ISERROR(VLOOKUP($S$476,'TAR FIN'!$A$1:$O$85,15,0)),0,VLOOKUP($S$476,'TAR FIN'!$A$1:$O$85,15,0))</f>
        <v>0</v>
      </c>
      <c r="W476" s="4">
        <f>IF(ISERROR(VLOOKUP($T$476,'TAR FIN'!$A$1:$O$85,15,0)),0,VLOOKUP($T$476,'TAR FIN'!$A$1:$O$85,15,0))</f>
        <v>222.4</v>
      </c>
      <c r="X476" s="4">
        <f>IF(ISERROR(VLOOKUP($U$476,'TAR FIN'!$A$1:$O$85,15,0)),0,VLOOKUP($U$476,'TAR FIN'!$A$1:$O$85,15,0))</f>
        <v>175.11</v>
      </c>
      <c r="Y476" s="4"/>
      <c r="Z476" s="4">
        <f ca="1">('TUSD BE'!$AM$51+'TUSD BF'!$AM$51+'TUSD CVA'!$AM$51)*1</f>
        <v>257.52651444069613</v>
      </c>
      <c r="AA476" s="4">
        <f>('TE BE'!$AB$42+'TE BF'!$AB$42+'TE CVA'!$AB$42)*1</f>
        <v>128.26397514640718</v>
      </c>
      <c r="AB476" s="4">
        <f>$K$476*$V$476</f>
        <v>0</v>
      </c>
      <c r="AC476" s="4">
        <f>$M$476*$W$476</f>
        <v>32388.112000000001</v>
      </c>
      <c r="AD476" s="4">
        <f>$O$476*$X$476</f>
        <v>25501.2693</v>
      </c>
      <c r="AE476" s="4">
        <f>$K$476*$Y$476</f>
        <v>0</v>
      </c>
      <c r="AF476" s="4">
        <f ca="1">$M$476*$Z$476</f>
        <v>37503.586297998576</v>
      </c>
      <c r="AG476" s="4">
        <f>$O$476*$AA$476</f>
        <v>18679.082700571278</v>
      </c>
    </row>
    <row r="477" spans="1:33" ht="11.25" customHeight="1" x14ac:dyDescent="0.3">
      <c r="A477" s="3" t="s">
        <v>21</v>
      </c>
      <c r="B477" s="3" t="s">
        <v>43</v>
      </c>
      <c r="C477" s="3" t="s">
        <v>23</v>
      </c>
      <c r="D477" s="3" t="s">
        <v>44</v>
      </c>
      <c r="E477" s="3" t="s">
        <v>45</v>
      </c>
      <c r="F477" s="3" t="s">
        <v>25</v>
      </c>
      <c r="G477" s="3" t="s">
        <v>25</v>
      </c>
      <c r="H477" s="3" t="s">
        <v>25</v>
      </c>
      <c r="I477" s="6">
        <v>44593</v>
      </c>
      <c r="J477" s="4">
        <v>0</v>
      </c>
      <c r="K477" s="4">
        <v>0</v>
      </c>
      <c r="L477" s="4">
        <v>134.91399999999999</v>
      </c>
      <c r="M477" s="4">
        <v>134.91399999999999</v>
      </c>
      <c r="N477" s="4">
        <v>134.91399999999999</v>
      </c>
      <c r="O477" s="4">
        <v>134.91399999999999</v>
      </c>
      <c r="P477" s="4">
        <v>6</v>
      </c>
      <c r="Q477" s="3" t="s">
        <v>26</v>
      </c>
      <c r="R477" s="3">
        <v>0</v>
      </c>
      <c r="S477" s="4">
        <v>0</v>
      </c>
      <c r="T477" s="4">
        <v>40</v>
      </c>
      <c r="U477" s="4">
        <v>82</v>
      </c>
      <c r="V477" s="4">
        <f>IF(ISERROR(VLOOKUP($S$477,'TAR FIN'!$A$1:$O$85,15,0)),0,VLOOKUP($S$477,'TAR FIN'!$A$1:$O$85,15,0))</f>
        <v>0</v>
      </c>
      <c r="W477" s="4">
        <f>IF(ISERROR(VLOOKUP($T$477,'TAR FIN'!$A$1:$O$85,15,0)),0,VLOOKUP($T$477,'TAR FIN'!$A$1:$O$85,15,0))</f>
        <v>222.4</v>
      </c>
      <c r="X477" s="4">
        <f>IF(ISERROR(VLOOKUP($U$477,'TAR FIN'!$A$1:$O$85,15,0)),0,VLOOKUP($U$477,'TAR FIN'!$A$1:$O$85,15,0))</f>
        <v>175.11</v>
      </c>
      <c r="Y477" s="4"/>
      <c r="Z477" s="4">
        <f ca="1">('TUSD BE'!$AM$51+'TUSD BF'!$AM$51+'TUSD CVA'!$AM$51)*1</f>
        <v>257.52651444069613</v>
      </c>
      <c r="AA477" s="4">
        <f>('TE BE'!$AB$42+'TE BF'!$AB$42+'TE CVA'!$AB$42)*1</f>
        <v>128.26397514640718</v>
      </c>
      <c r="AB477" s="4">
        <f>$K$477*$V$477</f>
        <v>0</v>
      </c>
      <c r="AC477" s="4">
        <f>$M$477*$W$477</f>
        <v>30004.873599999999</v>
      </c>
      <c r="AD477" s="4">
        <f>$O$477*$X$477</f>
        <v>23624.790539999998</v>
      </c>
      <c r="AE477" s="4">
        <f>$K$477*$Y$477</f>
        <v>0</v>
      </c>
      <c r="AF477" s="4">
        <f ca="1">$M$477*$Z$477</f>
        <v>34743.932169252075</v>
      </c>
      <c r="AG477" s="4">
        <f>$O$477*$AA$477</f>
        <v>17304.605942902377</v>
      </c>
    </row>
    <row r="478" spans="1:33" ht="11.25" customHeight="1" x14ac:dyDescent="0.3">
      <c r="A478" s="3" t="s">
        <v>21</v>
      </c>
      <c r="B478" s="3" t="s">
        <v>43</v>
      </c>
      <c r="C478" s="3" t="s">
        <v>23</v>
      </c>
      <c r="D478" s="3" t="s">
        <v>44</v>
      </c>
      <c r="E478" s="3" t="s">
        <v>45</v>
      </c>
      <c r="F478" s="3" t="s">
        <v>25</v>
      </c>
      <c r="G478" s="3" t="s">
        <v>25</v>
      </c>
      <c r="H478" s="3" t="s">
        <v>25</v>
      </c>
      <c r="I478" s="6">
        <v>44621</v>
      </c>
      <c r="J478" s="4">
        <v>0</v>
      </c>
      <c r="K478" s="4">
        <v>0</v>
      </c>
      <c r="L478" s="4">
        <v>149.76599999999999</v>
      </c>
      <c r="M478" s="4">
        <v>149.76599999999999</v>
      </c>
      <c r="N478" s="4">
        <v>149.76599999999999</v>
      </c>
      <c r="O478" s="4">
        <v>149.76599999999999</v>
      </c>
      <c r="P478" s="4">
        <v>6</v>
      </c>
      <c r="Q478" s="3" t="s">
        <v>26</v>
      </c>
      <c r="R478" s="3">
        <v>0</v>
      </c>
      <c r="S478" s="4">
        <v>0</v>
      </c>
      <c r="T478" s="4">
        <v>40</v>
      </c>
      <c r="U478" s="4">
        <v>82</v>
      </c>
      <c r="V478" s="4">
        <f>IF(ISERROR(VLOOKUP($S$478,'TAR FIN'!$A$1:$O$85,15,0)),0,VLOOKUP($S$478,'TAR FIN'!$A$1:$O$85,15,0))</f>
        <v>0</v>
      </c>
      <c r="W478" s="4">
        <f>IF(ISERROR(VLOOKUP($T$478,'TAR FIN'!$A$1:$O$85,15,0)),0,VLOOKUP($T$478,'TAR FIN'!$A$1:$O$85,15,0))</f>
        <v>222.4</v>
      </c>
      <c r="X478" s="4">
        <f>IF(ISERROR(VLOOKUP($U$478,'TAR FIN'!$A$1:$O$85,15,0)),0,VLOOKUP($U$478,'TAR FIN'!$A$1:$O$85,15,0))</f>
        <v>175.11</v>
      </c>
      <c r="Y478" s="4"/>
      <c r="Z478" s="4">
        <f ca="1">('TUSD BE'!$AM$51+'TUSD BF'!$AM$51+'TUSD CVA'!$AM$51)*1</f>
        <v>257.52651444069613</v>
      </c>
      <c r="AA478" s="4">
        <f>('TE BE'!$AB$42+'TE BF'!$AB$42+'TE CVA'!$AB$42)*1</f>
        <v>128.26397514640718</v>
      </c>
      <c r="AB478" s="4">
        <f>$K$478*$V$478</f>
        <v>0</v>
      </c>
      <c r="AC478" s="4">
        <f>$M$478*$W$478</f>
        <v>33307.958399999996</v>
      </c>
      <c r="AD478" s="4">
        <f>$O$478*$X$478</f>
        <v>26225.524260000002</v>
      </c>
      <c r="AE478" s="4">
        <f>$K$478*$Y$478</f>
        <v>0</v>
      </c>
      <c r="AF478" s="4">
        <f ca="1">$M$478*$Z$478</f>
        <v>38568.715961725298</v>
      </c>
      <c r="AG478" s="4">
        <f>$O$478*$AA$478</f>
        <v>19209.582501776815</v>
      </c>
    </row>
    <row r="479" spans="1:33" ht="11.25" customHeight="1" x14ac:dyDescent="0.3">
      <c r="A479" s="3" t="s">
        <v>21</v>
      </c>
      <c r="B479" s="3" t="s">
        <v>43</v>
      </c>
      <c r="C479" s="3" t="s">
        <v>23</v>
      </c>
      <c r="D479" s="3" t="s">
        <v>44</v>
      </c>
      <c r="E479" s="3" t="s">
        <v>45</v>
      </c>
      <c r="F479" s="3" t="s">
        <v>25</v>
      </c>
      <c r="G479" s="3" t="s">
        <v>25</v>
      </c>
      <c r="H479" s="3" t="s">
        <v>25</v>
      </c>
      <c r="I479" s="6">
        <v>44652</v>
      </c>
      <c r="J479" s="4">
        <v>0</v>
      </c>
      <c r="K479" s="4">
        <v>0</v>
      </c>
      <c r="L479" s="4">
        <v>141.10400000000001</v>
      </c>
      <c r="M479" s="4">
        <v>141.10400000000001</v>
      </c>
      <c r="N479" s="4">
        <v>141.10400000000001</v>
      </c>
      <c r="O479" s="4">
        <v>141.10400000000001</v>
      </c>
      <c r="P479" s="4">
        <v>6</v>
      </c>
      <c r="Q479" s="3" t="s">
        <v>26</v>
      </c>
      <c r="R479" s="3">
        <v>0</v>
      </c>
      <c r="S479" s="4">
        <v>0</v>
      </c>
      <c r="T479" s="4">
        <v>40</v>
      </c>
      <c r="U479" s="4">
        <v>82</v>
      </c>
      <c r="V479" s="4">
        <f>IF(ISERROR(VLOOKUP($S$479,'TAR FIN'!$A$1:$O$85,15,0)),0,VLOOKUP($S$479,'TAR FIN'!$A$1:$O$85,15,0))</f>
        <v>0</v>
      </c>
      <c r="W479" s="4">
        <f>IF(ISERROR(VLOOKUP($T$479,'TAR FIN'!$A$1:$O$85,15,0)),0,VLOOKUP($T$479,'TAR FIN'!$A$1:$O$85,15,0))</f>
        <v>222.4</v>
      </c>
      <c r="X479" s="4">
        <f>IF(ISERROR(VLOOKUP($U$479,'TAR FIN'!$A$1:$O$85,15,0)),0,VLOOKUP($U$479,'TAR FIN'!$A$1:$O$85,15,0))</f>
        <v>175.11</v>
      </c>
      <c r="Y479" s="4"/>
      <c r="Z479" s="4">
        <f ca="1">('TUSD BE'!$AM$51+'TUSD BF'!$AM$51+'TUSD CVA'!$AM$51)*1</f>
        <v>257.52651444069613</v>
      </c>
      <c r="AA479" s="4">
        <f>('TE BE'!$AB$42+'TE BF'!$AB$42+'TE CVA'!$AB$42)*1</f>
        <v>128.26397514640718</v>
      </c>
      <c r="AB479" s="4">
        <f>$K$479*$V$479</f>
        <v>0</v>
      </c>
      <c r="AC479" s="4">
        <f>$M$479*$W$479</f>
        <v>31381.529600000005</v>
      </c>
      <c r="AD479" s="4">
        <f>$O$479*$X$479</f>
        <v>24708.721440000005</v>
      </c>
      <c r="AE479" s="4">
        <f>$K$479*$Y$479</f>
        <v>0</v>
      </c>
      <c r="AF479" s="4">
        <f ca="1">$M$479*$Z$479</f>
        <v>36338.021293639991</v>
      </c>
      <c r="AG479" s="4">
        <f>$O$479*$AA$479</f>
        <v>18098.559949058639</v>
      </c>
    </row>
    <row r="480" spans="1:33" ht="11.25" customHeight="1" x14ac:dyDescent="0.3">
      <c r="A480" s="3" t="s">
        <v>21</v>
      </c>
      <c r="B480" s="3" t="s">
        <v>43</v>
      </c>
      <c r="C480" s="3" t="s">
        <v>23</v>
      </c>
      <c r="D480" s="3" t="s">
        <v>44</v>
      </c>
      <c r="E480" s="3" t="s">
        <v>45</v>
      </c>
      <c r="F480" s="3" t="s">
        <v>25</v>
      </c>
      <c r="G480" s="3" t="s">
        <v>25</v>
      </c>
      <c r="H480" s="3" t="s">
        <v>25</v>
      </c>
      <c r="I480" s="6">
        <v>44682</v>
      </c>
      <c r="J480" s="4">
        <v>0</v>
      </c>
      <c r="K480" s="4">
        <v>0</v>
      </c>
      <c r="L480" s="4">
        <v>147.321</v>
      </c>
      <c r="M480" s="4">
        <v>147.321</v>
      </c>
      <c r="N480" s="4">
        <v>147.321</v>
      </c>
      <c r="O480" s="4">
        <v>147.321</v>
      </c>
      <c r="P480" s="4">
        <v>6</v>
      </c>
      <c r="Q480" s="3" t="s">
        <v>26</v>
      </c>
      <c r="R480" s="3">
        <v>0</v>
      </c>
      <c r="S480" s="4">
        <v>0</v>
      </c>
      <c r="T480" s="4">
        <v>40</v>
      </c>
      <c r="U480" s="4">
        <v>82</v>
      </c>
      <c r="V480" s="4">
        <f>IF(ISERROR(VLOOKUP($S$480,'TAR FIN'!$A$1:$O$85,15,0)),0,VLOOKUP($S$480,'TAR FIN'!$A$1:$O$85,15,0))</f>
        <v>0</v>
      </c>
      <c r="W480" s="4">
        <f>IF(ISERROR(VLOOKUP($T$480,'TAR FIN'!$A$1:$O$85,15,0)),0,VLOOKUP($T$480,'TAR FIN'!$A$1:$O$85,15,0))</f>
        <v>222.4</v>
      </c>
      <c r="X480" s="4">
        <f>IF(ISERROR(VLOOKUP($U$480,'TAR FIN'!$A$1:$O$85,15,0)),0,VLOOKUP($U$480,'TAR FIN'!$A$1:$O$85,15,0))</f>
        <v>175.11</v>
      </c>
      <c r="Y480" s="4"/>
      <c r="Z480" s="4">
        <f ca="1">('TUSD BE'!$AM$51+'TUSD BF'!$AM$51+'TUSD CVA'!$AM$51)*1</f>
        <v>257.52651444069613</v>
      </c>
      <c r="AA480" s="4">
        <f>('TE BE'!$AB$42+'TE BF'!$AB$42+'TE CVA'!$AB$42)*1</f>
        <v>128.26397514640718</v>
      </c>
      <c r="AB480" s="4">
        <f>$K$480*$V$480</f>
        <v>0</v>
      </c>
      <c r="AC480" s="4">
        <f>$M$480*$W$480</f>
        <v>32764.190399999999</v>
      </c>
      <c r="AD480" s="4">
        <f>$O$480*$X$480</f>
        <v>25797.38031</v>
      </c>
      <c r="AE480" s="4">
        <f>$K$480*$Y$480</f>
        <v>0</v>
      </c>
      <c r="AF480" s="4">
        <f ca="1">$M$480*$Z$480</f>
        <v>37939.063633917795</v>
      </c>
      <c r="AG480" s="4">
        <f>$O$480*$AA$480</f>
        <v>18895.97708254385</v>
      </c>
    </row>
    <row r="481" spans="1:33" ht="11.25" customHeight="1" x14ac:dyDescent="0.3">
      <c r="A481" s="3" t="s">
        <v>21</v>
      </c>
      <c r="B481" s="3" t="s">
        <v>43</v>
      </c>
      <c r="C481" s="3" t="s">
        <v>23</v>
      </c>
      <c r="D481" s="3" t="s">
        <v>44</v>
      </c>
      <c r="E481" s="3" t="s">
        <v>45</v>
      </c>
      <c r="F481" s="3" t="s">
        <v>25</v>
      </c>
      <c r="G481" s="3" t="s">
        <v>25</v>
      </c>
      <c r="H481" s="3" t="s">
        <v>25</v>
      </c>
      <c r="I481" s="6">
        <v>44713</v>
      </c>
      <c r="J481" s="4">
        <v>0</v>
      </c>
      <c r="K481" s="4">
        <v>0</v>
      </c>
      <c r="L481" s="4">
        <v>145.928</v>
      </c>
      <c r="M481" s="4">
        <v>145.928</v>
      </c>
      <c r="N481" s="4">
        <v>145.928</v>
      </c>
      <c r="O481" s="4">
        <v>145.928</v>
      </c>
      <c r="P481" s="4">
        <v>6</v>
      </c>
      <c r="Q481" s="3" t="s">
        <v>26</v>
      </c>
      <c r="R481" s="3">
        <v>0</v>
      </c>
      <c r="S481" s="4">
        <v>0</v>
      </c>
      <c r="T481" s="4">
        <v>40</v>
      </c>
      <c r="U481" s="4">
        <v>82</v>
      </c>
      <c r="V481" s="4">
        <f>IF(ISERROR(VLOOKUP($S$481,'TAR FIN'!$A$1:$O$85,15,0)),0,VLOOKUP($S$481,'TAR FIN'!$A$1:$O$85,15,0))</f>
        <v>0</v>
      </c>
      <c r="W481" s="4">
        <f>IF(ISERROR(VLOOKUP($T$481,'TAR FIN'!$A$1:$O$85,15,0)),0,VLOOKUP($T$481,'TAR FIN'!$A$1:$O$85,15,0))</f>
        <v>222.4</v>
      </c>
      <c r="X481" s="4">
        <f>IF(ISERROR(VLOOKUP($U$481,'TAR FIN'!$A$1:$O$85,15,0)),0,VLOOKUP($U$481,'TAR FIN'!$A$1:$O$85,15,0))</f>
        <v>175.11</v>
      </c>
      <c r="Y481" s="4"/>
      <c r="Z481" s="4">
        <f ca="1">('TUSD BE'!$AM$51+'TUSD BF'!$AM$51+'TUSD CVA'!$AM$51)*1</f>
        <v>257.52651444069613</v>
      </c>
      <c r="AA481" s="4">
        <f>('TE BE'!$AB$42+'TE BF'!$AB$42+'TE CVA'!$AB$42)*1</f>
        <v>128.26397514640718</v>
      </c>
      <c r="AB481" s="4">
        <f>$K$481*$V$481</f>
        <v>0</v>
      </c>
      <c r="AC481" s="4">
        <f>$M$481*$W$481</f>
        <v>32454.387200000001</v>
      </c>
      <c r="AD481" s="4">
        <f>$O$481*$X$481</f>
        <v>25553.452080000003</v>
      </c>
      <c r="AE481" s="4">
        <f>$K$481*$Y$481</f>
        <v>0</v>
      </c>
      <c r="AF481" s="4">
        <f ca="1">$M$481*$Z$481</f>
        <v>37580.329199301901</v>
      </c>
      <c r="AG481" s="4">
        <f>$O$481*$AA$481</f>
        <v>18717.305365164906</v>
      </c>
    </row>
    <row r="482" spans="1:33" ht="11.25" customHeight="1" x14ac:dyDescent="0.3">
      <c r="A482" s="3" t="s">
        <v>21</v>
      </c>
      <c r="B482" s="3" t="s">
        <v>43</v>
      </c>
      <c r="C482" s="3" t="s">
        <v>23</v>
      </c>
      <c r="D482" s="3" t="s">
        <v>44</v>
      </c>
      <c r="E482" s="3" t="s">
        <v>45</v>
      </c>
      <c r="F482" s="3" t="s">
        <v>25</v>
      </c>
      <c r="G482" s="3" t="s">
        <v>25</v>
      </c>
      <c r="H482" s="3" t="s">
        <v>25</v>
      </c>
      <c r="I482" s="6">
        <v>44743</v>
      </c>
      <c r="J482" s="4">
        <v>0</v>
      </c>
      <c r="K482" s="4">
        <v>0</v>
      </c>
      <c r="L482" s="4">
        <v>150.80000000000001</v>
      </c>
      <c r="M482" s="4">
        <v>150.80000000000001</v>
      </c>
      <c r="N482" s="4">
        <v>150.80000000000001</v>
      </c>
      <c r="O482" s="4">
        <v>150.80000000000001</v>
      </c>
      <c r="P482" s="4">
        <v>6</v>
      </c>
      <c r="Q482" s="3" t="s">
        <v>26</v>
      </c>
      <c r="R482" s="3">
        <v>0</v>
      </c>
      <c r="S482" s="4">
        <v>0</v>
      </c>
      <c r="T482" s="4">
        <v>40</v>
      </c>
      <c r="U482" s="4">
        <v>82</v>
      </c>
      <c r="V482" s="4">
        <f>IF(ISERROR(VLOOKUP($S$482,'TAR FIN'!$A$1:$O$85,15,0)),0,VLOOKUP($S$482,'TAR FIN'!$A$1:$O$85,15,0))</f>
        <v>0</v>
      </c>
      <c r="W482" s="4">
        <f>IF(ISERROR(VLOOKUP($T$482,'TAR FIN'!$A$1:$O$85,15,0)),0,VLOOKUP($T$482,'TAR FIN'!$A$1:$O$85,15,0))</f>
        <v>222.4</v>
      </c>
      <c r="X482" s="4">
        <f>IF(ISERROR(VLOOKUP($U$482,'TAR FIN'!$A$1:$O$85,15,0)),0,VLOOKUP($U$482,'TAR FIN'!$A$1:$O$85,15,0))</f>
        <v>175.11</v>
      </c>
      <c r="Y482" s="4"/>
      <c r="Z482" s="4">
        <f ca="1">('TUSD BE'!$AM$51+'TUSD BF'!$AM$51+'TUSD CVA'!$AM$51)*1</f>
        <v>257.52651444069613</v>
      </c>
      <c r="AA482" s="4">
        <f>('TE BE'!$AB$42+'TE BF'!$AB$42+'TE CVA'!$AB$42)*1</f>
        <v>128.26397514640718</v>
      </c>
      <c r="AB482" s="4">
        <f>$K$482*$V$482</f>
        <v>0</v>
      </c>
      <c r="AC482" s="4">
        <f>$M$482*$W$482</f>
        <v>33537.920000000006</v>
      </c>
      <c r="AD482" s="4">
        <f>$O$482*$X$482</f>
        <v>26406.588000000003</v>
      </c>
      <c r="AE482" s="4">
        <f>$K$482*$Y$482</f>
        <v>0</v>
      </c>
      <c r="AF482" s="4">
        <f ca="1">$M$482*$Z$482</f>
        <v>38834.998377656979</v>
      </c>
      <c r="AG482" s="4">
        <f>$O$482*$AA$482</f>
        <v>19342.207452078204</v>
      </c>
    </row>
    <row r="483" spans="1:33" ht="11.25" customHeight="1" x14ac:dyDescent="0.3">
      <c r="A483" s="3" t="s">
        <v>53</v>
      </c>
      <c r="B483" s="3" t="s">
        <v>43</v>
      </c>
      <c r="C483" s="3" t="s">
        <v>23</v>
      </c>
      <c r="D483" s="3" t="s">
        <v>44</v>
      </c>
      <c r="E483" s="3" t="s">
        <v>45</v>
      </c>
      <c r="F483" s="3" t="s">
        <v>25</v>
      </c>
      <c r="G483" s="3" t="s">
        <v>25</v>
      </c>
      <c r="H483" s="3" t="s">
        <v>25</v>
      </c>
      <c r="I483" s="6">
        <v>44774</v>
      </c>
      <c r="J483" s="4">
        <v>0</v>
      </c>
      <c r="K483" s="4">
        <v>0</v>
      </c>
      <c r="L483" s="4">
        <v>150.80000000000001</v>
      </c>
      <c r="M483" s="4">
        <v>150.80000000000001</v>
      </c>
      <c r="N483" s="4">
        <v>150.80000000000001</v>
      </c>
      <c r="O483" s="4">
        <v>150.80000000000001</v>
      </c>
      <c r="P483" s="4">
        <v>6</v>
      </c>
      <c r="Q483" s="3" t="s">
        <v>26</v>
      </c>
      <c r="R483" s="3">
        <v>0</v>
      </c>
      <c r="S483" s="4">
        <v>0</v>
      </c>
      <c r="T483" s="4">
        <v>40</v>
      </c>
      <c r="U483" s="4">
        <v>82</v>
      </c>
      <c r="V483" s="4">
        <f>IF(ISERROR(VLOOKUP($S$483,'TAR FIN'!$A$1:$O$85,15,0)),0,VLOOKUP($S$483,'TAR FIN'!$A$1:$O$85,15,0))</f>
        <v>0</v>
      </c>
      <c r="W483" s="4">
        <f>IF(ISERROR(VLOOKUP($T$483,'TAR FIN'!$A$1:$O$85,15,0)),0,VLOOKUP($T$483,'TAR FIN'!$A$1:$O$85,15,0))</f>
        <v>222.4</v>
      </c>
      <c r="X483" s="4">
        <f>IF(ISERROR(VLOOKUP($U$483,'TAR FIN'!$A$1:$O$85,15,0)),0,VLOOKUP($U$483,'TAR FIN'!$A$1:$O$85,15,0))</f>
        <v>175.11</v>
      </c>
      <c r="Y483" s="4"/>
      <c r="Z483" s="4">
        <f ca="1">('TUSD BE'!$AM$51+'TUSD BF'!$AM$51+'TUSD CVA'!$AM$51)*1</f>
        <v>257.52651444069613</v>
      </c>
      <c r="AA483" s="4">
        <f>('TE BE'!$AB$42+'TE BF'!$AB$42+'TE CVA'!$AB$42)*1</f>
        <v>128.26397514640718</v>
      </c>
      <c r="AB483" s="4">
        <f>$K$483*$V$483</f>
        <v>0</v>
      </c>
      <c r="AC483" s="4">
        <f>$M$483*$W$483</f>
        <v>33537.920000000006</v>
      </c>
      <c r="AD483" s="4">
        <f>$O$483*$X$483</f>
        <v>26406.588000000003</v>
      </c>
      <c r="AE483" s="4">
        <f>$K$483*$Y$483</f>
        <v>0</v>
      </c>
      <c r="AF483" s="4">
        <f ca="1">$M$483*$Z$483</f>
        <v>38834.998377656979</v>
      </c>
      <c r="AG483" s="4">
        <f>$O$483*$AA$483</f>
        <v>19342.207452078204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1EE1-9597-43ED-9335-7986CBE2096B}">
  <dimension ref="A1:AJ484"/>
  <sheetViews>
    <sheetView showGridLines="0" topLeftCell="AE1" workbookViewId="0">
      <selection activeCell="AJ12" sqref="AJ12"/>
    </sheetView>
  </sheetViews>
  <sheetFormatPr defaultRowHeight="11.25" customHeight="1" x14ac:dyDescent="0.3"/>
  <cols>
    <col min="1" max="1" width="18" style="3" bestFit="1" customWidth="1"/>
    <col min="2" max="2" width="12.109375" style="3" bestFit="1" customWidth="1"/>
    <col min="3" max="3" width="13.5546875" style="3" bestFit="1" customWidth="1"/>
    <col min="4" max="4" width="10.44140625" style="3" bestFit="1" customWidth="1"/>
    <col min="5" max="5" width="23.109375" style="3" bestFit="1" customWidth="1"/>
    <col min="6" max="6" width="12.88671875" style="3" bestFit="1" customWidth="1"/>
    <col min="7" max="7" width="15.6640625" style="3" bestFit="1" customWidth="1"/>
    <col min="8" max="8" width="9.5546875" style="3" bestFit="1" customWidth="1"/>
    <col min="9" max="9" width="10.77734375" style="6" bestFit="1" customWidth="1"/>
    <col min="10" max="10" width="6.33203125" style="4" bestFit="1" customWidth="1"/>
    <col min="11" max="11" width="7.5546875" style="4" bestFit="1" customWidth="1"/>
    <col min="12" max="12" width="10.77734375" style="4" bestFit="1" customWidth="1"/>
    <col min="13" max="13" width="12.109375" style="4" bestFit="1" customWidth="1"/>
    <col min="14" max="14" width="8.6640625" style="4" bestFit="1" customWidth="1"/>
    <col min="15" max="15" width="10" style="4" bestFit="1" customWidth="1"/>
    <col min="16" max="16" width="7.21875" style="4" bestFit="1" customWidth="1"/>
    <col min="17" max="17" width="10.44140625" style="3" bestFit="1" customWidth="1"/>
    <col min="18" max="18" width="12.44140625" style="3" bestFit="1" customWidth="1"/>
    <col min="19" max="19" width="21.88671875" style="3" bestFit="1" customWidth="1"/>
    <col min="20" max="20" width="23.21875" style="3" bestFit="1" customWidth="1"/>
    <col min="21" max="21" width="21" style="3" bestFit="1" customWidth="1"/>
    <col min="22" max="22" width="14.88671875" style="3" bestFit="1" customWidth="1"/>
    <col min="23" max="23" width="16.21875" style="3" bestFit="1" customWidth="1"/>
    <col min="24" max="24" width="14.109375" style="3" bestFit="1" customWidth="1"/>
    <col min="25" max="25" width="19.5546875" style="3" bestFit="1" customWidth="1"/>
    <col min="26" max="26" width="20.88671875" style="3" bestFit="1" customWidth="1"/>
    <col min="27" max="27" width="18.77734375" style="3" bestFit="1" customWidth="1"/>
    <col min="28" max="28" width="18.21875" style="3" bestFit="1" customWidth="1"/>
    <col min="29" max="29" width="19.5546875" style="3" bestFit="1" customWidth="1"/>
    <col min="30" max="30" width="18.21875" style="3" bestFit="1" customWidth="1"/>
    <col min="31" max="31" width="19.5546875" style="3" bestFit="1" customWidth="1"/>
    <col min="32" max="32" width="31.6640625" style="3" bestFit="1" customWidth="1"/>
    <col min="33" max="33" width="8.88671875" style="3"/>
    <col min="34" max="34" width="31.6640625" style="3" bestFit="1" customWidth="1"/>
    <col min="35" max="36" width="9.109375" style="3" bestFit="1" customWidth="1"/>
    <col min="37" max="16384" width="8.88671875" style="3"/>
  </cols>
  <sheetData>
    <row r="1" spans="1:36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H1" s="34" t="s">
        <v>594</v>
      </c>
      <c r="AI1" s="34" t="s">
        <v>601</v>
      </c>
      <c r="AJ1" s="34" t="s">
        <v>602</v>
      </c>
    </row>
    <row r="2" spans="1:36" ht="11.25" customHeight="1" x14ac:dyDescent="0.3">
      <c r="A2" s="3" t="s">
        <v>21</v>
      </c>
      <c r="B2" s="3" t="s">
        <v>34</v>
      </c>
      <c r="C2" s="3" t="s">
        <v>56</v>
      </c>
      <c r="D2" s="3" t="s">
        <v>25</v>
      </c>
      <c r="E2" s="3" t="s">
        <v>25</v>
      </c>
      <c r="F2" s="3" t="s">
        <v>25</v>
      </c>
      <c r="G2" s="3" t="s">
        <v>57</v>
      </c>
      <c r="H2" s="3" t="s">
        <v>25</v>
      </c>
      <c r="I2" s="6">
        <v>44440</v>
      </c>
      <c r="J2" s="4">
        <v>6000</v>
      </c>
      <c r="K2" s="4">
        <v>3000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3" t="s">
        <v>58</v>
      </c>
      <c r="R2" s="3">
        <v>659</v>
      </c>
      <c r="S2" s="3">
        <v>1</v>
      </c>
      <c r="T2" s="3">
        <v>0</v>
      </c>
      <c r="U2" s="3">
        <v>0</v>
      </c>
      <c r="V2" s="4">
        <f>IF(ISERROR(VLOOKUP($S$2,'TAR FIN'!$A$1:$O$85,15,0)),0,VLOOKUP($S$2,'TAR FIN'!$A$1:$O$85,15,0))</f>
        <v>5.7</v>
      </c>
      <c r="W2" s="4">
        <f>IF(ISERROR(VLOOKUP($T$2,'TAR FIN'!$A$1:$O$85,15,0)),0,VLOOKUP($T$2,'TAR FIN'!$A$1:$O$85,15,0))</f>
        <v>0</v>
      </c>
      <c r="X2" s="4">
        <f>IF(ISERROR(VLOOKUP($U$2,'TAR FIN'!$A$1:$O$85,15,0)),0,VLOOKUP($U$2,'TAR FIN'!$A$1:$O$85,15,0))</f>
        <v>0</v>
      </c>
      <c r="Y2" s="4">
        <f ca="1">('TUSD BE'!$AM$9+'TUSD BF'!$AM$9+'TUSD CVA'!$AM$9)*1</f>
        <v>6.7679680991043316</v>
      </c>
      <c r="Z2" s="4"/>
      <c r="AA2" s="4"/>
      <c r="AB2" s="4">
        <f t="shared" ref="AB2:AB65" si="0">(J2-K2)*V2</f>
        <v>17100</v>
      </c>
      <c r="AC2" s="4">
        <f t="shared" ref="AC2:AC33" si="1">(L2-M2)*W2+(N2-O2)*X2</f>
        <v>0</v>
      </c>
      <c r="AD2" s="4">
        <f t="shared" ref="AD2:AD65" ca="1" si="2">(J2-K2)*Y2</f>
        <v>20303.904297312994</v>
      </c>
      <c r="AE2" s="4">
        <f t="shared" ref="AE2:AE33" si="3">(L2-M2)*Z2+(N2-O2)*AA2</f>
        <v>0</v>
      </c>
      <c r="AF2" s="3" t="s">
        <v>595</v>
      </c>
      <c r="AH2" s="35" t="s">
        <v>596</v>
      </c>
      <c r="AI2" s="36">
        <f t="shared" ref="AI2:AI9" si="4">SUMIF($AF$2:$AF$484,AH2,$AB$2:$AB$484)+SUMIF($AF$2:$AF$484,AH2,$AC$2:$AC$484)</f>
        <v>1083216.304534243</v>
      </c>
      <c r="AJ2" s="36">
        <f t="shared" ref="AJ2:AJ9" ca="1" si="5">SUMIF($AF$2:$AF$484,AH2,$AD$2:$AD$484)+SUMIF($AF$2:$AF$484,AH2,$AE$2:$AE$484)</f>
        <v>1288245.1538869597</v>
      </c>
    </row>
    <row r="3" spans="1:36" ht="11.25" customHeight="1" x14ac:dyDescent="0.3">
      <c r="A3" s="3" t="s">
        <v>21</v>
      </c>
      <c r="B3" s="3" t="s">
        <v>34</v>
      </c>
      <c r="C3" s="3" t="s">
        <v>56</v>
      </c>
      <c r="D3" s="3" t="s">
        <v>25</v>
      </c>
      <c r="E3" s="3" t="s">
        <v>25</v>
      </c>
      <c r="F3" s="3" t="s">
        <v>25</v>
      </c>
      <c r="G3" s="3" t="s">
        <v>59</v>
      </c>
      <c r="H3" s="3" t="s">
        <v>25</v>
      </c>
      <c r="I3" s="6">
        <v>44440</v>
      </c>
      <c r="J3" s="4">
        <v>833</v>
      </c>
      <c r="K3" s="4">
        <v>416.5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3" t="s">
        <v>58</v>
      </c>
      <c r="R3" s="3">
        <v>29592</v>
      </c>
      <c r="S3" s="3">
        <v>1</v>
      </c>
      <c r="T3" s="3">
        <v>0</v>
      </c>
      <c r="U3" s="3">
        <v>0</v>
      </c>
      <c r="V3" s="4">
        <f>IF(ISERROR(VLOOKUP($S$3,'TAR FIN'!$A$1:$O$85,15,0)),0,VLOOKUP($S$3,'TAR FIN'!$A$1:$O$85,15,0))</f>
        <v>5.7</v>
      </c>
      <c r="W3" s="4">
        <f>IF(ISERROR(VLOOKUP($T$3,'TAR FIN'!$A$1:$O$85,15,0)),0,VLOOKUP($T$3,'TAR FIN'!$A$1:$O$85,15,0))</f>
        <v>0</v>
      </c>
      <c r="X3" s="4">
        <f>IF(ISERROR(VLOOKUP($U$3,'TAR FIN'!$A$1:$O$85,15,0)),0,VLOOKUP($U$3,'TAR FIN'!$A$1:$O$85,15,0))</f>
        <v>0</v>
      </c>
      <c r="Y3" s="4">
        <f ca="1">('TUSD BE'!$AM$9+'TUSD BF'!$AM$9+'TUSD CVA'!$AM$9)*1</f>
        <v>6.7679680991043316</v>
      </c>
      <c r="Z3" s="4"/>
      <c r="AA3" s="4"/>
      <c r="AB3" s="4">
        <f t="shared" si="0"/>
        <v>2374.0500000000002</v>
      </c>
      <c r="AC3" s="4">
        <f t="shared" si="1"/>
        <v>0</v>
      </c>
      <c r="AD3" s="4">
        <f t="shared" ca="1" si="2"/>
        <v>2818.8587132769539</v>
      </c>
      <c r="AE3" s="4">
        <f t="shared" si="3"/>
        <v>0</v>
      </c>
      <c r="AF3" s="3" t="s">
        <v>595</v>
      </c>
      <c r="AH3" s="35" t="s">
        <v>595</v>
      </c>
      <c r="AI3" s="36">
        <f t="shared" si="4"/>
        <v>392034.59999999992</v>
      </c>
      <c r="AJ3" s="36">
        <f t="shared" ca="1" si="5"/>
        <v>465487.30992019793</v>
      </c>
    </row>
    <row r="4" spans="1:36" ht="11.25" customHeight="1" x14ac:dyDescent="0.3">
      <c r="A4" s="3" t="s">
        <v>21</v>
      </c>
      <c r="B4" s="3" t="s">
        <v>34</v>
      </c>
      <c r="C4" s="3" t="s">
        <v>56</v>
      </c>
      <c r="D4" s="3" t="s">
        <v>25</v>
      </c>
      <c r="E4" s="3" t="s">
        <v>25</v>
      </c>
      <c r="F4" s="3" t="s">
        <v>25</v>
      </c>
      <c r="G4" s="3" t="s">
        <v>60</v>
      </c>
      <c r="H4" s="3" t="s">
        <v>25</v>
      </c>
      <c r="I4" s="6">
        <v>44440</v>
      </c>
      <c r="J4" s="4">
        <v>1000</v>
      </c>
      <c r="K4" s="4">
        <v>500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3" t="s">
        <v>58</v>
      </c>
      <c r="R4" s="3">
        <v>30368</v>
      </c>
      <c r="S4" s="3">
        <v>1</v>
      </c>
      <c r="T4" s="3">
        <v>0</v>
      </c>
      <c r="U4" s="3">
        <v>0</v>
      </c>
      <c r="V4" s="4">
        <f>IF(ISERROR(VLOOKUP($S$4,'TAR FIN'!$A$1:$O$85,15,0)),0,VLOOKUP($S$4,'TAR FIN'!$A$1:$O$85,15,0))</f>
        <v>5.7</v>
      </c>
      <c r="W4" s="4">
        <f>IF(ISERROR(VLOOKUP($T$4,'TAR FIN'!$A$1:$O$85,15,0)),0,VLOOKUP($T$4,'TAR FIN'!$A$1:$O$85,15,0))</f>
        <v>0</v>
      </c>
      <c r="X4" s="4">
        <f>IF(ISERROR(VLOOKUP($U$4,'TAR FIN'!$A$1:$O$85,15,0)),0,VLOOKUP($U$4,'TAR FIN'!$A$1:$O$85,15,0))</f>
        <v>0</v>
      </c>
      <c r="Y4" s="4">
        <f ca="1">('TUSD BE'!$AM$9+'TUSD BF'!$AM$9+'TUSD CVA'!$AM$9)*1</f>
        <v>6.7679680991043316</v>
      </c>
      <c r="Z4" s="4"/>
      <c r="AA4" s="4"/>
      <c r="AB4" s="4">
        <f t="shared" si="0"/>
        <v>2850</v>
      </c>
      <c r="AC4" s="4">
        <f t="shared" si="1"/>
        <v>0</v>
      </c>
      <c r="AD4" s="4">
        <f t="shared" ca="1" si="2"/>
        <v>3383.9840495521657</v>
      </c>
      <c r="AE4" s="4">
        <f t="shared" si="3"/>
        <v>0</v>
      </c>
      <c r="AF4" s="3" t="s">
        <v>595</v>
      </c>
      <c r="AH4" s="35" t="s">
        <v>603</v>
      </c>
      <c r="AI4" s="36">
        <f t="shared" si="4"/>
        <v>0</v>
      </c>
      <c r="AJ4" s="36">
        <f t="shared" si="5"/>
        <v>0</v>
      </c>
    </row>
    <row r="5" spans="1:36" ht="11.25" customHeight="1" x14ac:dyDescent="0.3">
      <c r="A5" s="3" t="s">
        <v>21</v>
      </c>
      <c r="B5" s="3" t="s">
        <v>34</v>
      </c>
      <c r="C5" s="3" t="s">
        <v>56</v>
      </c>
      <c r="D5" s="3" t="s">
        <v>25</v>
      </c>
      <c r="E5" s="3" t="s">
        <v>25</v>
      </c>
      <c r="F5" s="3" t="s">
        <v>25</v>
      </c>
      <c r="G5" s="3" t="s">
        <v>61</v>
      </c>
      <c r="H5" s="3" t="s">
        <v>25</v>
      </c>
      <c r="I5" s="6">
        <v>44440</v>
      </c>
      <c r="J5" s="4">
        <v>3130</v>
      </c>
      <c r="K5" s="4">
        <v>1565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 t="s">
        <v>58</v>
      </c>
      <c r="R5" s="3">
        <v>30494</v>
      </c>
      <c r="S5" s="3">
        <v>1</v>
      </c>
      <c r="T5" s="3">
        <v>0</v>
      </c>
      <c r="U5" s="3">
        <v>0</v>
      </c>
      <c r="V5" s="4">
        <f>IF(ISERROR(VLOOKUP($S$5,'TAR FIN'!$A$1:$O$85,15,0)),0,VLOOKUP($S$5,'TAR FIN'!$A$1:$O$85,15,0))</f>
        <v>5.7</v>
      </c>
      <c r="W5" s="4">
        <f>IF(ISERROR(VLOOKUP($T$5,'TAR FIN'!$A$1:$O$85,15,0)),0,VLOOKUP($T$5,'TAR FIN'!$A$1:$O$85,15,0))</f>
        <v>0</v>
      </c>
      <c r="X5" s="4">
        <f>IF(ISERROR(VLOOKUP($U$5,'TAR FIN'!$A$1:$O$85,15,0)),0,VLOOKUP($U$5,'TAR FIN'!$A$1:$O$85,15,0))</f>
        <v>0</v>
      </c>
      <c r="Y5" s="4">
        <f ca="1">('TUSD BE'!$AM$9+'TUSD BF'!$AM$9+'TUSD CVA'!$AM$9)*1</f>
        <v>6.7679680991043316</v>
      </c>
      <c r="Z5" s="4"/>
      <c r="AA5" s="4"/>
      <c r="AB5" s="4">
        <f t="shared" si="0"/>
        <v>8920.5</v>
      </c>
      <c r="AC5" s="4">
        <f t="shared" si="1"/>
        <v>0</v>
      </c>
      <c r="AD5" s="4">
        <f t="shared" ca="1" si="2"/>
        <v>10591.870075098279</v>
      </c>
      <c r="AE5" s="4">
        <f t="shared" si="3"/>
        <v>0</v>
      </c>
      <c r="AF5" s="3" t="s">
        <v>595</v>
      </c>
      <c r="AH5" s="35" t="s">
        <v>600</v>
      </c>
      <c r="AI5" s="36">
        <f t="shared" si="4"/>
        <v>6786.1031801999998</v>
      </c>
      <c r="AJ5" s="36">
        <f t="shared" ca="1" si="5"/>
        <v>3293.0497505420758</v>
      </c>
    </row>
    <row r="6" spans="1:36" ht="11.25" customHeight="1" x14ac:dyDescent="0.3">
      <c r="A6" s="3" t="s">
        <v>21</v>
      </c>
      <c r="B6" s="3" t="s">
        <v>34</v>
      </c>
      <c r="C6" s="3" t="s">
        <v>56</v>
      </c>
      <c r="D6" s="3" t="s">
        <v>25</v>
      </c>
      <c r="E6" s="3" t="s">
        <v>25</v>
      </c>
      <c r="F6" s="3" t="s">
        <v>25</v>
      </c>
      <c r="G6" s="3" t="s">
        <v>62</v>
      </c>
      <c r="H6" s="3" t="s">
        <v>25</v>
      </c>
      <c r="I6" s="6">
        <v>44440</v>
      </c>
      <c r="J6" s="4">
        <v>500</v>
      </c>
      <c r="K6" s="4">
        <v>250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" t="s">
        <v>58</v>
      </c>
      <c r="R6" s="3">
        <v>27182</v>
      </c>
      <c r="S6" s="3">
        <v>1</v>
      </c>
      <c r="T6" s="3">
        <v>0</v>
      </c>
      <c r="U6" s="3">
        <v>0</v>
      </c>
      <c r="V6" s="4">
        <f>IF(ISERROR(VLOOKUP($S$6,'TAR FIN'!$A$1:$O$85,15,0)),0,VLOOKUP($S$6,'TAR FIN'!$A$1:$O$85,15,0))</f>
        <v>5.7</v>
      </c>
      <c r="W6" s="4">
        <f>IF(ISERROR(VLOOKUP($T$6,'TAR FIN'!$A$1:$O$85,15,0)),0,VLOOKUP($T$6,'TAR FIN'!$A$1:$O$85,15,0))</f>
        <v>0</v>
      </c>
      <c r="X6" s="4">
        <f>IF(ISERROR(VLOOKUP($U$6,'TAR FIN'!$A$1:$O$85,15,0)),0,VLOOKUP($U$6,'TAR FIN'!$A$1:$O$85,15,0))</f>
        <v>0</v>
      </c>
      <c r="Y6" s="4">
        <f ca="1">('TUSD BE'!$AM$9+'TUSD BF'!$AM$9+'TUSD CVA'!$AM$9)*1</f>
        <v>6.7679680991043316</v>
      </c>
      <c r="Z6" s="4"/>
      <c r="AA6" s="4"/>
      <c r="AB6" s="4">
        <f t="shared" si="0"/>
        <v>1425</v>
      </c>
      <c r="AC6" s="4">
        <f t="shared" si="1"/>
        <v>0</v>
      </c>
      <c r="AD6" s="4">
        <f t="shared" ca="1" si="2"/>
        <v>1691.9920247760829</v>
      </c>
      <c r="AE6" s="4">
        <f t="shared" si="3"/>
        <v>0</v>
      </c>
      <c r="AF6" s="3" t="s">
        <v>595</v>
      </c>
      <c r="AH6" s="35" t="s">
        <v>597</v>
      </c>
      <c r="AI6" s="36">
        <f t="shared" si="4"/>
        <v>1063797.4671219999</v>
      </c>
      <c r="AJ6" s="36">
        <f t="shared" ca="1" si="5"/>
        <v>516269.80817577674</v>
      </c>
    </row>
    <row r="7" spans="1:36" ht="11.25" customHeight="1" x14ac:dyDescent="0.3">
      <c r="A7" s="3" t="s">
        <v>21</v>
      </c>
      <c r="B7" s="3" t="s">
        <v>34</v>
      </c>
      <c r="C7" s="3" t="s">
        <v>56</v>
      </c>
      <c r="D7" s="3" t="s">
        <v>25</v>
      </c>
      <c r="E7" s="3" t="s">
        <v>25</v>
      </c>
      <c r="F7" s="3" t="s">
        <v>25</v>
      </c>
      <c r="G7" s="3" t="s">
        <v>57</v>
      </c>
      <c r="H7" s="3" t="s">
        <v>25</v>
      </c>
      <c r="I7" s="6">
        <v>44470</v>
      </c>
      <c r="J7" s="4">
        <v>6000</v>
      </c>
      <c r="K7" s="4">
        <v>3000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3" t="s">
        <v>58</v>
      </c>
      <c r="R7" s="3">
        <v>659</v>
      </c>
      <c r="S7" s="3">
        <v>1</v>
      </c>
      <c r="T7" s="3">
        <v>0</v>
      </c>
      <c r="U7" s="3">
        <v>0</v>
      </c>
      <c r="V7" s="4">
        <f>IF(ISERROR(VLOOKUP($S$7,'TAR FIN'!$A$1:$O$85,15,0)),0,VLOOKUP($S$7,'TAR FIN'!$A$1:$O$85,15,0))</f>
        <v>5.7</v>
      </c>
      <c r="W7" s="4">
        <f>IF(ISERROR(VLOOKUP($T$7,'TAR FIN'!$A$1:$O$85,15,0)),0,VLOOKUP($T$7,'TAR FIN'!$A$1:$O$85,15,0))</f>
        <v>0</v>
      </c>
      <c r="X7" s="4">
        <f>IF(ISERROR(VLOOKUP($U$7,'TAR FIN'!$A$1:$O$85,15,0)),0,VLOOKUP($U$7,'TAR FIN'!$A$1:$O$85,15,0))</f>
        <v>0</v>
      </c>
      <c r="Y7" s="4">
        <f ca="1">('TUSD BE'!$AM$9+'TUSD BF'!$AM$9+'TUSD CVA'!$AM$9)*1</f>
        <v>6.7679680991043316</v>
      </c>
      <c r="Z7" s="4"/>
      <c r="AA7" s="4"/>
      <c r="AB7" s="4">
        <f t="shared" si="0"/>
        <v>17100</v>
      </c>
      <c r="AC7" s="4">
        <f t="shared" si="1"/>
        <v>0</v>
      </c>
      <c r="AD7" s="4">
        <f t="shared" ca="1" si="2"/>
        <v>20303.904297312994</v>
      </c>
      <c r="AE7" s="4">
        <f t="shared" si="3"/>
        <v>0</v>
      </c>
      <c r="AF7" s="3" t="s">
        <v>595</v>
      </c>
      <c r="AH7" s="35" t="s">
        <v>599</v>
      </c>
      <c r="AI7" s="36">
        <f t="shared" si="4"/>
        <v>756721.190756</v>
      </c>
      <c r="AJ7" s="36">
        <f t="shared" ca="1" si="5"/>
        <v>707225.38494859287</v>
      </c>
    </row>
    <row r="8" spans="1:36" ht="11.25" customHeight="1" x14ac:dyDescent="0.3">
      <c r="A8" s="3" t="s">
        <v>21</v>
      </c>
      <c r="B8" s="3" t="s">
        <v>34</v>
      </c>
      <c r="C8" s="3" t="s">
        <v>56</v>
      </c>
      <c r="D8" s="3" t="s">
        <v>25</v>
      </c>
      <c r="E8" s="3" t="s">
        <v>25</v>
      </c>
      <c r="F8" s="3" t="s">
        <v>25</v>
      </c>
      <c r="G8" s="3" t="s">
        <v>59</v>
      </c>
      <c r="H8" s="3" t="s">
        <v>25</v>
      </c>
      <c r="I8" s="6">
        <v>44470</v>
      </c>
      <c r="J8" s="4">
        <v>833</v>
      </c>
      <c r="K8" s="4">
        <v>416.5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3" t="s">
        <v>58</v>
      </c>
      <c r="R8" s="3">
        <v>29592</v>
      </c>
      <c r="S8" s="3">
        <v>1</v>
      </c>
      <c r="T8" s="3">
        <v>0</v>
      </c>
      <c r="U8" s="3">
        <v>0</v>
      </c>
      <c r="V8" s="4">
        <f>IF(ISERROR(VLOOKUP($S$8,'TAR FIN'!$A$1:$O$85,15,0)),0,VLOOKUP($S$8,'TAR FIN'!$A$1:$O$85,15,0))</f>
        <v>5.7</v>
      </c>
      <c r="W8" s="4">
        <f>IF(ISERROR(VLOOKUP($T$8,'TAR FIN'!$A$1:$O$85,15,0)),0,VLOOKUP($T$8,'TAR FIN'!$A$1:$O$85,15,0))</f>
        <v>0</v>
      </c>
      <c r="X8" s="4">
        <f>IF(ISERROR(VLOOKUP($U$8,'TAR FIN'!$A$1:$O$85,15,0)),0,VLOOKUP($U$8,'TAR FIN'!$A$1:$O$85,15,0))</f>
        <v>0</v>
      </c>
      <c r="Y8" s="4">
        <f ca="1">('TUSD BE'!$AM$9+'TUSD BF'!$AM$9+'TUSD CVA'!$AM$9)*1</f>
        <v>6.7679680991043316</v>
      </c>
      <c r="Z8" s="4"/>
      <c r="AA8" s="4"/>
      <c r="AB8" s="4">
        <f t="shared" si="0"/>
        <v>2374.0500000000002</v>
      </c>
      <c r="AC8" s="4">
        <f t="shared" si="1"/>
        <v>0</v>
      </c>
      <c r="AD8" s="4">
        <f t="shared" ca="1" si="2"/>
        <v>2818.8587132769539</v>
      </c>
      <c r="AE8" s="4">
        <f t="shared" si="3"/>
        <v>0</v>
      </c>
      <c r="AF8" s="3" t="s">
        <v>595</v>
      </c>
      <c r="AH8" s="35" t="s">
        <v>598</v>
      </c>
      <c r="AI8" s="36">
        <f t="shared" si="4"/>
        <v>89565.624160000036</v>
      </c>
      <c r="AJ8" s="36">
        <f t="shared" ca="1" si="5"/>
        <v>80600.334397169761</v>
      </c>
    </row>
    <row r="9" spans="1:36" ht="11.25" customHeight="1" x14ac:dyDescent="0.3">
      <c r="A9" s="3" t="s">
        <v>21</v>
      </c>
      <c r="B9" s="3" t="s">
        <v>34</v>
      </c>
      <c r="C9" s="3" t="s">
        <v>56</v>
      </c>
      <c r="D9" s="3" t="s">
        <v>25</v>
      </c>
      <c r="E9" s="3" t="s">
        <v>25</v>
      </c>
      <c r="F9" s="3" t="s">
        <v>25</v>
      </c>
      <c r="G9" s="3" t="s">
        <v>60</v>
      </c>
      <c r="H9" s="3" t="s">
        <v>25</v>
      </c>
      <c r="I9" s="6">
        <v>44470</v>
      </c>
      <c r="J9" s="4">
        <v>1000</v>
      </c>
      <c r="K9" s="4">
        <v>500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 t="s">
        <v>58</v>
      </c>
      <c r="R9" s="3">
        <v>30368</v>
      </c>
      <c r="S9" s="3">
        <v>1</v>
      </c>
      <c r="T9" s="3">
        <v>0</v>
      </c>
      <c r="U9" s="3">
        <v>0</v>
      </c>
      <c r="V9" s="4">
        <f>IF(ISERROR(VLOOKUP($S$9,'TAR FIN'!$A$1:$O$85,15,0)),0,VLOOKUP($S$9,'TAR FIN'!$A$1:$O$85,15,0))</f>
        <v>5.7</v>
      </c>
      <c r="W9" s="4">
        <f>IF(ISERROR(VLOOKUP($T$9,'TAR FIN'!$A$1:$O$85,15,0)),0,VLOOKUP($T$9,'TAR FIN'!$A$1:$O$85,15,0))</f>
        <v>0</v>
      </c>
      <c r="X9" s="4">
        <f>IF(ISERROR(VLOOKUP($U$9,'TAR FIN'!$A$1:$O$85,15,0)),0,VLOOKUP($U$9,'TAR FIN'!$A$1:$O$85,15,0))</f>
        <v>0</v>
      </c>
      <c r="Y9" s="4">
        <f ca="1">('TUSD BE'!$AM$9+'TUSD BF'!$AM$9+'TUSD CVA'!$AM$9)*1</f>
        <v>6.7679680991043316</v>
      </c>
      <c r="Z9" s="4"/>
      <c r="AA9" s="4"/>
      <c r="AB9" s="4">
        <f t="shared" si="0"/>
        <v>2850</v>
      </c>
      <c r="AC9" s="4">
        <f t="shared" si="1"/>
        <v>0</v>
      </c>
      <c r="AD9" s="4">
        <f t="shared" ca="1" si="2"/>
        <v>3383.9840495521657</v>
      </c>
      <c r="AE9" s="4">
        <f t="shared" si="3"/>
        <v>0</v>
      </c>
      <c r="AF9" s="3" t="s">
        <v>595</v>
      </c>
      <c r="AH9" s="35" t="s">
        <v>604</v>
      </c>
      <c r="AI9" s="36">
        <f t="shared" si="4"/>
        <v>0</v>
      </c>
      <c r="AJ9" s="36">
        <f t="shared" si="5"/>
        <v>0</v>
      </c>
    </row>
    <row r="10" spans="1:36" ht="11.25" customHeight="1" x14ac:dyDescent="0.3">
      <c r="A10" s="3" t="s">
        <v>21</v>
      </c>
      <c r="B10" s="3" t="s">
        <v>34</v>
      </c>
      <c r="C10" s="3" t="s">
        <v>56</v>
      </c>
      <c r="D10" s="3" t="s">
        <v>25</v>
      </c>
      <c r="E10" s="3" t="s">
        <v>25</v>
      </c>
      <c r="F10" s="3" t="s">
        <v>25</v>
      </c>
      <c r="G10" s="3" t="s">
        <v>61</v>
      </c>
      <c r="H10" s="3" t="s">
        <v>25</v>
      </c>
      <c r="I10" s="6">
        <v>44470</v>
      </c>
      <c r="J10" s="4">
        <v>3130</v>
      </c>
      <c r="K10" s="4">
        <v>1565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3" t="s">
        <v>58</v>
      </c>
      <c r="R10" s="3">
        <v>30494</v>
      </c>
      <c r="S10" s="3">
        <v>1</v>
      </c>
      <c r="T10" s="3">
        <v>0</v>
      </c>
      <c r="U10" s="3">
        <v>0</v>
      </c>
      <c r="V10" s="4">
        <f>IF(ISERROR(VLOOKUP($S$10,'TAR FIN'!$A$1:$O$85,15,0)),0,VLOOKUP($S$10,'TAR FIN'!$A$1:$O$85,15,0))</f>
        <v>5.7</v>
      </c>
      <c r="W10" s="4">
        <f>IF(ISERROR(VLOOKUP($T$10,'TAR FIN'!$A$1:$O$85,15,0)),0,VLOOKUP($T$10,'TAR FIN'!$A$1:$O$85,15,0))</f>
        <v>0</v>
      </c>
      <c r="X10" s="4">
        <f>IF(ISERROR(VLOOKUP($U$10,'TAR FIN'!$A$1:$O$85,15,0)),0,VLOOKUP($U$10,'TAR FIN'!$A$1:$O$85,15,0))</f>
        <v>0</v>
      </c>
      <c r="Y10" s="4">
        <f ca="1">('TUSD BE'!$AM$9+'TUSD BF'!$AM$9+'TUSD CVA'!$AM$9)*1</f>
        <v>6.7679680991043316</v>
      </c>
      <c r="Z10" s="4"/>
      <c r="AA10" s="4"/>
      <c r="AB10" s="4">
        <f t="shared" si="0"/>
        <v>8920.5</v>
      </c>
      <c r="AC10" s="4">
        <f t="shared" si="1"/>
        <v>0</v>
      </c>
      <c r="AD10" s="4">
        <f t="shared" ca="1" si="2"/>
        <v>10591.870075098279</v>
      </c>
      <c r="AE10" s="4">
        <f t="shared" si="3"/>
        <v>0</v>
      </c>
      <c r="AF10" s="3" t="s">
        <v>595</v>
      </c>
    </row>
    <row r="11" spans="1:36" ht="11.25" customHeight="1" x14ac:dyDescent="0.3">
      <c r="A11" s="3" t="s">
        <v>21</v>
      </c>
      <c r="B11" s="3" t="s">
        <v>34</v>
      </c>
      <c r="C11" s="3" t="s">
        <v>56</v>
      </c>
      <c r="D11" s="3" t="s">
        <v>25</v>
      </c>
      <c r="E11" s="3" t="s">
        <v>25</v>
      </c>
      <c r="F11" s="3" t="s">
        <v>25</v>
      </c>
      <c r="G11" s="3" t="s">
        <v>62</v>
      </c>
      <c r="H11" s="3" t="s">
        <v>25</v>
      </c>
      <c r="I11" s="6">
        <v>44470</v>
      </c>
      <c r="J11" s="4">
        <v>500</v>
      </c>
      <c r="K11" s="4">
        <v>250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 t="s">
        <v>58</v>
      </c>
      <c r="R11" s="3">
        <v>27182</v>
      </c>
      <c r="S11" s="3">
        <v>1</v>
      </c>
      <c r="T11" s="3">
        <v>0</v>
      </c>
      <c r="U11" s="3">
        <v>0</v>
      </c>
      <c r="V11" s="4">
        <f>IF(ISERROR(VLOOKUP($S$11,'TAR FIN'!$A$1:$O$85,15,0)),0,VLOOKUP($S$11,'TAR FIN'!$A$1:$O$85,15,0))</f>
        <v>5.7</v>
      </c>
      <c r="W11" s="4">
        <f>IF(ISERROR(VLOOKUP($T$11,'TAR FIN'!$A$1:$O$85,15,0)),0,VLOOKUP($T$11,'TAR FIN'!$A$1:$O$85,15,0))</f>
        <v>0</v>
      </c>
      <c r="X11" s="4">
        <f>IF(ISERROR(VLOOKUP($U$11,'TAR FIN'!$A$1:$O$85,15,0)),0,VLOOKUP($U$11,'TAR FIN'!$A$1:$O$85,15,0))</f>
        <v>0</v>
      </c>
      <c r="Y11" s="4">
        <f ca="1">('TUSD BE'!$AM$9+'TUSD BF'!$AM$9+'TUSD CVA'!$AM$9)*1</f>
        <v>6.7679680991043316</v>
      </c>
      <c r="Z11" s="4"/>
      <c r="AA11" s="4"/>
      <c r="AB11" s="4">
        <f t="shared" si="0"/>
        <v>1425</v>
      </c>
      <c r="AC11" s="4">
        <f t="shared" si="1"/>
        <v>0</v>
      </c>
      <c r="AD11" s="4">
        <f t="shared" ca="1" si="2"/>
        <v>1691.9920247760829</v>
      </c>
      <c r="AE11" s="4">
        <f t="shared" si="3"/>
        <v>0</v>
      </c>
      <c r="AF11" s="3" t="s">
        <v>595</v>
      </c>
      <c r="AJ11" s="4">
        <f ca="1">SUM(AJ2:AJ9)</f>
        <v>3061121.041079239</v>
      </c>
    </row>
    <row r="12" spans="1:36" ht="11.25" customHeight="1" x14ac:dyDescent="0.3">
      <c r="A12" s="3" t="s">
        <v>21</v>
      </c>
      <c r="B12" s="3" t="s">
        <v>34</v>
      </c>
      <c r="C12" s="3" t="s">
        <v>56</v>
      </c>
      <c r="D12" s="3" t="s">
        <v>25</v>
      </c>
      <c r="E12" s="3" t="s">
        <v>25</v>
      </c>
      <c r="F12" s="3" t="s">
        <v>25</v>
      </c>
      <c r="G12" s="3" t="s">
        <v>57</v>
      </c>
      <c r="H12" s="3" t="s">
        <v>25</v>
      </c>
      <c r="I12" s="6">
        <v>44501</v>
      </c>
      <c r="J12" s="4">
        <v>6000</v>
      </c>
      <c r="K12" s="4">
        <v>3000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3" t="s">
        <v>58</v>
      </c>
      <c r="R12" s="3">
        <v>659</v>
      </c>
      <c r="S12" s="3">
        <v>1</v>
      </c>
      <c r="T12" s="3">
        <v>0</v>
      </c>
      <c r="U12" s="3">
        <v>0</v>
      </c>
      <c r="V12" s="4">
        <f>IF(ISERROR(VLOOKUP($S$12,'TAR FIN'!$A$1:$O$85,15,0)),0,VLOOKUP($S$12,'TAR FIN'!$A$1:$O$85,15,0))</f>
        <v>5.7</v>
      </c>
      <c r="W12" s="4">
        <f>IF(ISERROR(VLOOKUP($T$12,'TAR FIN'!$A$1:$O$85,15,0)),0,VLOOKUP($T$12,'TAR FIN'!$A$1:$O$85,15,0))</f>
        <v>0</v>
      </c>
      <c r="X12" s="4">
        <f>IF(ISERROR(VLOOKUP($U$12,'TAR FIN'!$A$1:$O$85,15,0)),0,VLOOKUP($U$12,'TAR FIN'!$A$1:$O$85,15,0))</f>
        <v>0</v>
      </c>
      <c r="Y12" s="4">
        <f ca="1">('TUSD BE'!$AM$9+'TUSD BF'!$AM$9+'TUSD CVA'!$AM$9)*1</f>
        <v>6.7679680991043316</v>
      </c>
      <c r="Z12" s="4"/>
      <c r="AA12" s="4"/>
      <c r="AB12" s="4">
        <f t="shared" si="0"/>
        <v>17100</v>
      </c>
      <c r="AC12" s="4">
        <f t="shared" si="1"/>
        <v>0</v>
      </c>
      <c r="AD12" s="4">
        <f t="shared" ca="1" si="2"/>
        <v>20303.904297312994</v>
      </c>
      <c r="AE12" s="4">
        <f t="shared" si="3"/>
        <v>0</v>
      </c>
      <c r="AF12" s="3" t="s">
        <v>595</v>
      </c>
    </row>
    <row r="13" spans="1:36" ht="11.25" customHeight="1" x14ac:dyDescent="0.3">
      <c r="A13" s="3" t="s">
        <v>21</v>
      </c>
      <c r="B13" s="3" t="s">
        <v>34</v>
      </c>
      <c r="C13" s="3" t="s">
        <v>56</v>
      </c>
      <c r="D13" s="3" t="s">
        <v>25</v>
      </c>
      <c r="E13" s="3" t="s">
        <v>25</v>
      </c>
      <c r="F13" s="3" t="s">
        <v>25</v>
      </c>
      <c r="G13" s="3" t="s">
        <v>59</v>
      </c>
      <c r="H13" s="3" t="s">
        <v>25</v>
      </c>
      <c r="I13" s="6">
        <v>44501</v>
      </c>
      <c r="J13" s="4">
        <v>833</v>
      </c>
      <c r="K13" s="4">
        <v>416.5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 t="s">
        <v>58</v>
      </c>
      <c r="R13" s="3">
        <v>29592</v>
      </c>
      <c r="S13" s="3">
        <v>1</v>
      </c>
      <c r="T13" s="3">
        <v>0</v>
      </c>
      <c r="U13" s="3">
        <v>0</v>
      </c>
      <c r="V13" s="4">
        <f>IF(ISERROR(VLOOKUP($S$13,'TAR FIN'!$A$1:$O$85,15,0)),0,VLOOKUP($S$13,'TAR FIN'!$A$1:$O$85,15,0))</f>
        <v>5.7</v>
      </c>
      <c r="W13" s="4">
        <f>IF(ISERROR(VLOOKUP($T$13,'TAR FIN'!$A$1:$O$85,15,0)),0,VLOOKUP($T$13,'TAR FIN'!$A$1:$O$85,15,0))</f>
        <v>0</v>
      </c>
      <c r="X13" s="4">
        <f>IF(ISERROR(VLOOKUP($U$13,'TAR FIN'!$A$1:$O$85,15,0)),0,VLOOKUP($U$13,'TAR FIN'!$A$1:$O$85,15,0))</f>
        <v>0</v>
      </c>
      <c r="Y13" s="4">
        <f ca="1">('TUSD BE'!$AM$9+'TUSD BF'!$AM$9+'TUSD CVA'!$AM$9)*1</f>
        <v>6.7679680991043316</v>
      </c>
      <c r="Z13" s="4"/>
      <c r="AA13" s="4"/>
      <c r="AB13" s="4">
        <f t="shared" si="0"/>
        <v>2374.0500000000002</v>
      </c>
      <c r="AC13" s="4">
        <f t="shared" si="1"/>
        <v>0</v>
      </c>
      <c r="AD13" s="4">
        <f t="shared" ca="1" si="2"/>
        <v>2818.8587132769539</v>
      </c>
      <c r="AE13" s="4">
        <f t="shared" si="3"/>
        <v>0</v>
      </c>
      <c r="AF13" s="3" t="s">
        <v>595</v>
      </c>
    </row>
    <row r="14" spans="1:36" ht="11.25" customHeight="1" x14ac:dyDescent="0.3">
      <c r="A14" s="3" t="s">
        <v>21</v>
      </c>
      <c r="B14" s="3" t="s">
        <v>34</v>
      </c>
      <c r="C14" s="3" t="s">
        <v>56</v>
      </c>
      <c r="D14" s="3" t="s">
        <v>25</v>
      </c>
      <c r="E14" s="3" t="s">
        <v>25</v>
      </c>
      <c r="F14" s="3" t="s">
        <v>25</v>
      </c>
      <c r="G14" s="3" t="s">
        <v>60</v>
      </c>
      <c r="H14" s="3" t="s">
        <v>25</v>
      </c>
      <c r="I14" s="6">
        <v>44501</v>
      </c>
      <c r="J14" s="4">
        <v>1000</v>
      </c>
      <c r="K14" s="4">
        <v>500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3" t="s">
        <v>58</v>
      </c>
      <c r="R14" s="3">
        <v>30368</v>
      </c>
      <c r="S14" s="3">
        <v>1</v>
      </c>
      <c r="T14" s="3">
        <v>0</v>
      </c>
      <c r="U14" s="3">
        <v>0</v>
      </c>
      <c r="V14" s="4">
        <f>IF(ISERROR(VLOOKUP($S$14,'TAR FIN'!$A$1:$O$85,15,0)),0,VLOOKUP($S$14,'TAR FIN'!$A$1:$O$85,15,0))</f>
        <v>5.7</v>
      </c>
      <c r="W14" s="4">
        <f>IF(ISERROR(VLOOKUP($T$14,'TAR FIN'!$A$1:$O$85,15,0)),0,VLOOKUP($T$14,'TAR FIN'!$A$1:$O$85,15,0))</f>
        <v>0</v>
      </c>
      <c r="X14" s="4">
        <f>IF(ISERROR(VLOOKUP($U$14,'TAR FIN'!$A$1:$O$85,15,0)),0,VLOOKUP($U$14,'TAR FIN'!$A$1:$O$85,15,0))</f>
        <v>0</v>
      </c>
      <c r="Y14" s="4">
        <f ca="1">('TUSD BE'!$AM$9+'TUSD BF'!$AM$9+'TUSD CVA'!$AM$9)*1</f>
        <v>6.7679680991043316</v>
      </c>
      <c r="Z14" s="4"/>
      <c r="AA14" s="4"/>
      <c r="AB14" s="4">
        <f t="shared" si="0"/>
        <v>2850</v>
      </c>
      <c r="AC14" s="4">
        <f t="shared" si="1"/>
        <v>0</v>
      </c>
      <c r="AD14" s="4">
        <f t="shared" ca="1" si="2"/>
        <v>3383.9840495521657</v>
      </c>
      <c r="AE14" s="4">
        <f t="shared" si="3"/>
        <v>0</v>
      </c>
      <c r="AF14" s="3" t="s">
        <v>595</v>
      </c>
    </row>
    <row r="15" spans="1:36" ht="11.25" customHeight="1" x14ac:dyDescent="0.3">
      <c r="A15" s="3" t="s">
        <v>21</v>
      </c>
      <c r="B15" s="3" t="s">
        <v>34</v>
      </c>
      <c r="C15" s="3" t="s">
        <v>56</v>
      </c>
      <c r="D15" s="3" t="s">
        <v>25</v>
      </c>
      <c r="E15" s="3" t="s">
        <v>25</v>
      </c>
      <c r="F15" s="3" t="s">
        <v>25</v>
      </c>
      <c r="G15" s="3" t="s">
        <v>61</v>
      </c>
      <c r="H15" s="3" t="s">
        <v>25</v>
      </c>
      <c r="I15" s="6">
        <v>44501</v>
      </c>
      <c r="J15" s="4">
        <v>3130</v>
      </c>
      <c r="K15" s="4">
        <v>1565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3" t="s">
        <v>58</v>
      </c>
      <c r="R15" s="3">
        <v>30494</v>
      </c>
      <c r="S15" s="3">
        <v>1</v>
      </c>
      <c r="T15" s="3">
        <v>0</v>
      </c>
      <c r="U15" s="3">
        <v>0</v>
      </c>
      <c r="V15" s="4">
        <f>IF(ISERROR(VLOOKUP($S$15,'TAR FIN'!$A$1:$O$85,15,0)),0,VLOOKUP($S$15,'TAR FIN'!$A$1:$O$85,15,0))</f>
        <v>5.7</v>
      </c>
      <c r="W15" s="4">
        <f>IF(ISERROR(VLOOKUP($T$15,'TAR FIN'!$A$1:$O$85,15,0)),0,VLOOKUP($T$15,'TAR FIN'!$A$1:$O$85,15,0))</f>
        <v>0</v>
      </c>
      <c r="X15" s="4">
        <f>IF(ISERROR(VLOOKUP($U$15,'TAR FIN'!$A$1:$O$85,15,0)),0,VLOOKUP($U$15,'TAR FIN'!$A$1:$O$85,15,0))</f>
        <v>0</v>
      </c>
      <c r="Y15" s="4">
        <f ca="1">('TUSD BE'!$AM$9+'TUSD BF'!$AM$9+'TUSD CVA'!$AM$9)*1</f>
        <v>6.7679680991043316</v>
      </c>
      <c r="Z15" s="4"/>
      <c r="AA15" s="4"/>
      <c r="AB15" s="4">
        <f t="shared" si="0"/>
        <v>8920.5</v>
      </c>
      <c r="AC15" s="4">
        <f t="shared" si="1"/>
        <v>0</v>
      </c>
      <c r="AD15" s="4">
        <f t="shared" ca="1" si="2"/>
        <v>10591.870075098279</v>
      </c>
      <c r="AE15" s="4">
        <f t="shared" si="3"/>
        <v>0</v>
      </c>
      <c r="AF15" s="3" t="s">
        <v>595</v>
      </c>
    </row>
    <row r="16" spans="1:36" ht="11.25" customHeight="1" x14ac:dyDescent="0.3">
      <c r="A16" s="3" t="s">
        <v>21</v>
      </c>
      <c r="B16" s="3" t="s">
        <v>34</v>
      </c>
      <c r="C16" s="3" t="s">
        <v>56</v>
      </c>
      <c r="D16" s="3" t="s">
        <v>25</v>
      </c>
      <c r="E16" s="3" t="s">
        <v>25</v>
      </c>
      <c r="F16" s="3" t="s">
        <v>25</v>
      </c>
      <c r="G16" s="3" t="s">
        <v>62</v>
      </c>
      <c r="H16" s="3" t="s">
        <v>25</v>
      </c>
      <c r="I16" s="6">
        <v>44501</v>
      </c>
      <c r="J16" s="4">
        <v>500</v>
      </c>
      <c r="K16" s="4">
        <v>250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3" t="s">
        <v>58</v>
      </c>
      <c r="R16" s="3">
        <v>27182</v>
      </c>
      <c r="S16" s="3">
        <v>1</v>
      </c>
      <c r="T16" s="3">
        <v>0</v>
      </c>
      <c r="U16" s="3">
        <v>0</v>
      </c>
      <c r="V16" s="4">
        <f>IF(ISERROR(VLOOKUP($S$16,'TAR FIN'!$A$1:$O$85,15,0)),0,VLOOKUP($S$16,'TAR FIN'!$A$1:$O$85,15,0))</f>
        <v>5.7</v>
      </c>
      <c r="W16" s="4">
        <f>IF(ISERROR(VLOOKUP($T$16,'TAR FIN'!$A$1:$O$85,15,0)),0,VLOOKUP($T$16,'TAR FIN'!$A$1:$O$85,15,0))</f>
        <v>0</v>
      </c>
      <c r="X16" s="4">
        <f>IF(ISERROR(VLOOKUP($U$16,'TAR FIN'!$A$1:$O$85,15,0)),0,VLOOKUP($U$16,'TAR FIN'!$A$1:$O$85,15,0))</f>
        <v>0</v>
      </c>
      <c r="Y16" s="4">
        <f ca="1">('TUSD BE'!$AM$9+'TUSD BF'!$AM$9+'TUSD CVA'!$AM$9)*1</f>
        <v>6.7679680991043316</v>
      </c>
      <c r="Z16" s="4"/>
      <c r="AA16" s="4"/>
      <c r="AB16" s="4">
        <f t="shared" si="0"/>
        <v>1425</v>
      </c>
      <c r="AC16" s="4">
        <f t="shared" si="1"/>
        <v>0</v>
      </c>
      <c r="AD16" s="4">
        <f t="shared" ca="1" si="2"/>
        <v>1691.9920247760829</v>
      </c>
      <c r="AE16" s="4">
        <f t="shared" si="3"/>
        <v>0</v>
      </c>
      <c r="AF16" s="3" t="s">
        <v>595</v>
      </c>
    </row>
    <row r="17" spans="1:32" ht="11.25" customHeight="1" x14ac:dyDescent="0.3">
      <c r="A17" s="3" t="s">
        <v>21</v>
      </c>
      <c r="B17" s="3" t="s">
        <v>34</v>
      </c>
      <c r="C17" s="3" t="s">
        <v>56</v>
      </c>
      <c r="D17" s="3" t="s">
        <v>25</v>
      </c>
      <c r="E17" s="3" t="s">
        <v>25</v>
      </c>
      <c r="F17" s="3" t="s">
        <v>25</v>
      </c>
      <c r="G17" s="3" t="s">
        <v>57</v>
      </c>
      <c r="H17" s="3" t="s">
        <v>25</v>
      </c>
      <c r="I17" s="6">
        <v>44531</v>
      </c>
      <c r="J17" s="4">
        <v>6000</v>
      </c>
      <c r="K17" s="4">
        <v>3000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 t="s">
        <v>58</v>
      </c>
      <c r="R17" s="3">
        <v>659</v>
      </c>
      <c r="S17" s="3">
        <v>1</v>
      </c>
      <c r="T17" s="3">
        <v>0</v>
      </c>
      <c r="U17" s="3">
        <v>0</v>
      </c>
      <c r="V17" s="4">
        <f>IF(ISERROR(VLOOKUP($S$17,'TAR FIN'!$A$1:$O$85,15,0)),0,VLOOKUP($S$17,'TAR FIN'!$A$1:$O$85,15,0))</f>
        <v>5.7</v>
      </c>
      <c r="W17" s="4">
        <f>IF(ISERROR(VLOOKUP($T$17,'TAR FIN'!$A$1:$O$85,15,0)),0,VLOOKUP($T$17,'TAR FIN'!$A$1:$O$85,15,0))</f>
        <v>0</v>
      </c>
      <c r="X17" s="4">
        <f>IF(ISERROR(VLOOKUP($U$17,'TAR FIN'!$A$1:$O$85,15,0)),0,VLOOKUP($U$17,'TAR FIN'!$A$1:$O$85,15,0))</f>
        <v>0</v>
      </c>
      <c r="Y17" s="4">
        <f ca="1">('TUSD BE'!$AM$9+'TUSD BF'!$AM$9+'TUSD CVA'!$AM$9)*1</f>
        <v>6.7679680991043316</v>
      </c>
      <c r="Z17" s="4"/>
      <c r="AA17" s="4"/>
      <c r="AB17" s="4">
        <f t="shared" si="0"/>
        <v>17100</v>
      </c>
      <c r="AC17" s="4">
        <f t="shared" si="1"/>
        <v>0</v>
      </c>
      <c r="AD17" s="4">
        <f t="shared" ca="1" si="2"/>
        <v>20303.904297312994</v>
      </c>
      <c r="AE17" s="4">
        <f t="shared" si="3"/>
        <v>0</v>
      </c>
      <c r="AF17" s="3" t="s">
        <v>595</v>
      </c>
    </row>
    <row r="18" spans="1:32" ht="11.25" customHeight="1" x14ac:dyDescent="0.3">
      <c r="A18" s="3" t="s">
        <v>21</v>
      </c>
      <c r="B18" s="3" t="s">
        <v>34</v>
      </c>
      <c r="C18" s="3" t="s">
        <v>56</v>
      </c>
      <c r="D18" s="3" t="s">
        <v>25</v>
      </c>
      <c r="E18" s="3" t="s">
        <v>25</v>
      </c>
      <c r="F18" s="3" t="s">
        <v>25</v>
      </c>
      <c r="G18" s="3" t="s">
        <v>59</v>
      </c>
      <c r="H18" s="3" t="s">
        <v>25</v>
      </c>
      <c r="I18" s="6">
        <v>44531</v>
      </c>
      <c r="J18" s="4">
        <v>833</v>
      </c>
      <c r="K18" s="4">
        <v>416.5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3" t="s">
        <v>58</v>
      </c>
      <c r="R18" s="3">
        <v>29592</v>
      </c>
      <c r="S18" s="3">
        <v>1</v>
      </c>
      <c r="T18" s="3">
        <v>0</v>
      </c>
      <c r="U18" s="3">
        <v>0</v>
      </c>
      <c r="V18" s="4">
        <f>IF(ISERROR(VLOOKUP($S$18,'TAR FIN'!$A$1:$O$85,15,0)),0,VLOOKUP($S$18,'TAR FIN'!$A$1:$O$85,15,0))</f>
        <v>5.7</v>
      </c>
      <c r="W18" s="4">
        <f>IF(ISERROR(VLOOKUP($T$18,'TAR FIN'!$A$1:$O$85,15,0)),0,VLOOKUP($T$18,'TAR FIN'!$A$1:$O$85,15,0))</f>
        <v>0</v>
      </c>
      <c r="X18" s="4">
        <f>IF(ISERROR(VLOOKUP($U$18,'TAR FIN'!$A$1:$O$85,15,0)),0,VLOOKUP($U$18,'TAR FIN'!$A$1:$O$85,15,0))</f>
        <v>0</v>
      </c>
      <c r="Y18" s="4">
        <f ca="1">('TUSD BE'!$AM$9+'TUSD BF'!$AM$9+'TUSD CVA'!$AM$9)*1</f>
        <v>6.7679680991043316</v>
      </c>
      <c r="Z18" s="4"/>
      <c r="AA18" s="4"/>
      <c r="AB18" s="4">
        <f t="shared" si="0"/>
        <v>2374.0500000000002</v>
      </c>
      <c r="AC18" s="4">
        <f t="shared" si="1"/>
        <v>0</v>
      </c>
      <c r="AD18" s="4">
        <f t="shared" ca="1" si="2"/>
        <v>2818.8587132769539</v>
      </c>
      <c r="AE18" s="4">
        <f t="shared" si="3"/>
        <v>0</v>
      </c>
      <c r="AF18" s="3" t="s">
        <v>595</v>
      </c>
    </row>
    <row r="19" spans="1:32" ht="11.25" customHeight="1" x14ac:dyDescent="0.3">
      <c r="A19" s="3" t="s">
        <v>21</v>
      </c>
      <c r="B19" s="3" t="s">
        <v>34</v>
      </c>
      <c r="C19" s="3" t="s">
        <v>56</v>
      </c>
      <c r="D19" s="3" t="s">
        <v>25</v>
      </c>
      <c r="E19" s="3" t="s">
        <v>25</v>
      </c>
      <c r="F19" s="3" t="s">
        <v>25</v>
      </c>
      <c r="G19" s="3" t="s">
        <v>60</v>
      </c>
      <c r="H19" s="3" t="s">
        <v>25</v>
      </c>
      <c r="I19" s="6">
        <v>44531</v>
      </c>
      <c r="J19" s="4">
        <v>1000</v>
      </c>
      <c r="K19" s="4">
        <v>500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3" t="s">
        <v>58</v>
      </c>
      <c r="R19" s="3">
        <v>30368</v>
      </c>
      <c r="S19" s="3">
        <v>1</v>
      </c>
      <c r="T19" s="3">
        <v>0</v>
      </c>
      <c r="U19" s="3">
        <v>0</v>
      </c>
      <c r="V19" s="4">
        <f>IF(ISERROR(VLOOKUP($S$19,'TAR FIN'!$A$1:$O$85,15,0)),0,VLOOKUP($S$19,'TAR FIN'!$A$1:$O$85,15,0))</f>
        <v>5.7</v>
      </c>
      <c r="W19" s="4">
        <f>IF(ISERROR(VLOOKUP($T$19,'TAR FIN'!$A$1:$O$85,15,0)),0,VLOOKUP($T$19,'TAR FIN'!$A$1:$O$85,15,0))</f>
        <v>0</v>
      </c>
      <c r="X19" s="4">
        <f>IF(ISERROR(VLOOKUP($U$19,'TAR FIN'!$A$1:$O$85,15,0)),0,VLOOKUP($U$19,'TAR FIN'!$A$1:$O$85,15,0))</f>
        <v>0</v>
      </c>
      <c r="Y19" s="4">
        <f ca="1">('TUSD BE'!$AM$9+'TUSD BF'!$AM$9+'TUSD CVA'!$AM$9)*1</f>
        <v>6.7679680991043316</v>
      </c>
      <c r="Z19" s="4"/>
      <c r="AA19" s="4"/>
      <c r="AB19" s="4">
        <f t="shared" si="0"/>
        <v>2850</v>
      </c>
      <c r="AC19" s="4">
        <f t="shared" si="1"/>
        <v>0</v>
      </c>
      <c r="AD19" s="4">
        <f t="shared" ca="1" si="2"/>
        <v>3383.9840495521657</v>
      </c>
      <c r="AE19" s="4">
        <f t="shared" si="3"/>
        <v>0</v>
      </c>
      <c r="AF19" s="3" t="s">
        <v>595</v>
      </c>
    </row>
    <row r="20" spans="1:32" ht="11.25" customHeight="1" x14ac:dyDescent="0.3">
      <c r="A20" s="3" t="s">
        <v>21</v>
      </c>
      <c r="B20" s="3" t="s">
        <v>34</v>
      </c>
      <c r="C20" s="3" t="s">
        <v>56</v>
      </c>
      <c r="D20" s="3" t="s">
        <v>25</v>
      </c>
      <c r="E20" s="3" t="s">
        <v>25</v>
      </c>
      <c r="F20" s="3" t="s">
        <v>25</v>
      </c>
      <c r="G20" s="3" t="s">
        <v>61</v>
      </c>
      <c r="H20" s="3" t="s">
        <v>25</v>
      </c>
      <c r="I20" s="6">
        <v>44531</v>
      </c>
      <c r="J20" s="4">
        <v>3130</v>
      </c>
      <c r="K20" s="4">
        <v>1565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3" t="s">
        <v>58</v>
      </c>
      <c r="R20" s="3">
        <v>30494</v>
      </c>
      <c r="S20" s="3">
        <v>1</v>
      </c>
      <c r="T20" s="3">
        <v>0</v>
      </c>
      <c r="U20" s="3">
        <v>0</v>
      </c>
      <c r="V20" s="4">
        <f>IF(ISERROR(VLOOKUP($S$20,'TAR FIN'!$A$1:$O$85,15,0)),0,VLOOKUP($S$20,'TAR FIN'!$A$1:$O$85,15,0))</f>
        <v>5.7</v>
      </c>
      <c r="W20" s="4">
        <f>IF(ISERROR(VLOOKUP($T$20,'TAR FIN'!$A$1:$O$85,15,0)),0,VLOOKUP($T$20,'TAR FIN'!$A$1:$O$85,15,0))</f>
        <v>0</v>
      </c>
      <c r="X20" s="4">
        <f>IF(ISERROR(VLOOKUP($U$20,'TAR FIN'!$A$1:$O$85,15,0)),0,VLOOKUP($U$20,'TAR FIN'!$A$1:$O$85,15,0))</f>
        <v>0</v>
      </c>
      <c r="Y20" s="4">
        <f ca="1">('TUSD BE'!$AM$9+'TUSD BF'!$AM$9+'TUSD CVA'!$AM$9)*1</f>
        <v>6.7679680991043316</v>
      </c>
      <c r="Z20" s="4"/>
      <c r="AA20" s="4"/>
      <c r="AB20" s="4">
        <f t="shared" si="0"/>
        <v>8920.5</v>
      </c>
      <c r="AC20" s="4">
        <f t="shared" si="1"/>
        <v>0</v>
      </c>
      <c r="AD20" s="4">
        <f t="shared" ca="1" si="2"/>
        <v>10591.870075098279</v>
      </c>
      <c r="AE20" s="4">
        <f t="shared" si="3"/>
        <v>0</v>
      </c>
      <c r="AF20" s="3" t="s">
        <v>595</v>
      </c>
    </row>
    <row r="21" spans="1:32" ht="11.25" customHeight="1" x14ac:dyDescent="0.3">
      <c r="A21" s="3" t="s">
        <v>21</v>
      </c>
      <c r="B21" s="3" t="s">
        <v>34</v>
      </c>
      <c r="C21" s="3" t="s">
        <v>56</v>
      </c>
      <c r="D21" s="3" t="s">
        <v>25</v>
      </c>
      <c r="E21" s="3" t="s">
        <v>25</v>
      </c>
      <c r="F21" s="3" t="s">
        <v>25</v>
      </c>
      <c r="G21" s="3" t="s">
        <v>62</v>
      </c>
      <c r="H21" s="3" t="s">
        <v>25</v>
      </c>
      <c r="I21" s="6">
        <v>44531</v>
      </c>
      <c r="J21" s="4">
        <v>500</v>
      </c>
      <c r="K21" s="4">
        <v>250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3" t="s">
        <v>58</v>
      </c>
      <c r="R21" s="3">
        <v>27182</v>
      </c>
      <c r="S21" s="3">
        <v>1</v>
      </c>
      <c r="T21" s="3">
        <v>0</v>
      </c>
      <c r="U21" s="3">
        <v>0</v>
      </c>
      <c r="V21" s="4">
        <f>IF(ISERROR(VLOOKUP($S$21,'TAR FIN'!$A$1:$O$85,15,0)),0,VLOOKUP($S$21,'TAR FIN'!$A$1:$O$85,15,0))</f>
        <v>5.7</v>
      </c>
      <c r="W21" s="4">
        <f>IF(ISERROR(VLOOKUP($T$21,'TAR FIN'!$A$1:$O$85,15,0)),0,VLOOKUP($T$21,'TAR FIN'!$A$1:$O$85,15,0))</f>
        <v>0</v>
      </c>
      <c r="X21" s="4">
        <f>IF(ISERROR(VLOOKUP($U$21,'TAR FIN'!$A$1:$O$85,15,0)),0,VLOOKUP($U$21,'TAR FIN'!$A$1:$O$85,15,0))</f>
        <v>0</v>
      </c>
      <c r="Y21" s="4">
        <f ca="1">('TUSD BE'!$AM$9+'TUSD BF'!$AM$9+'TUSD CVA'!$AM$9)*1</f>
        <v>6.7679680991043316</v>
      </c>
      <c r="Z21" s="4"/>
      <c r="AA21" s="4"/>
      <c r="AB21" s="4">
        <f t="shared" si="0"/>
        <v>1425</v>
      </c>
      <c r="AC21" s="4">
        <f t="shared" si="1"/>
        <v>0</v>
      </c>
      <c r="AD21" s="4">
        <f t="shared" ca="1" si="2"/>
        <v>1691.9920247760829</v>
      </c>
      <c r="AE21" s="4">
        <f t="shared" si="3"/>
        <v>0</v>
      </c>
      <c r="AF21" s="3" t="s">
        <v>595</v>
      </c>
    </row>
    <row r="22" spans="1:32" ht="11.25" customHeight="1" x14ac:dyDescent="0.3">
      <c r="A22" s="3" t="s">
        <v>21</v>
      </c>
      <c r="B22" s="3" t="s">
        <v>34</v>
      </c>
      <c r="C22" s="3" t="s">
        <v>56</v>
      </c>
      <c r="D22" s="3" t="s">
        <v>25</v>
      </c>
      <c r="E22" s="3" t="s">
        <v>25</v>
      </c>
      <c r="F22" s="3" t="s">
        <v>25</v>
      </c>
      <c r="G22" s="3" t="s">
        <v>57</v>
      </c>
      <c r="H22" s="3" t="s">
        <v>25</v>
      </c>
      <c r="I22" s="6">
        <v>44562</v>
      </c>
      <c r="J22" s="4">
        <v>6000</v>
      </c>
      <c r="K22" s="4">
        <v>3000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3" t="s">
        <v>58</v>
      </c>
      <c r="R22" s="3">
        <v>659</v>
      </c>
      <c r="S22" s="3">
        <v>1</v>
      </c>
      <c r="T22" s="3">
        <v>0</v>
      </c>
      <c r="U22" s="3">
        <v>0</v>
      </c>
      <c r="V22" s="4">
        <f>IF(ISERROR(VLOOKUP($S$22,'TAR FIN'!$A$1:$O$85,15,0)),0,VLOOKUP($S$22,'TAR FIN'!$A$1:$O$85,15,0))</f>
        <v>5.7</v>
      </c>
      <c r="W22" s="4">
        <f>IF(ISERROR(VLOOKUP($T$22,'TAR FIN'!$A$1:$O$85,15,0)),0,VLOOKUP($T$22,'TAR FIN'!$A$1:$O$85,15,0))</f>
        <v>0</v>
      </c>
      <c r="X22" s="4">
        <f>IF(ISERROR(VLOOKUP($U$22,'TAR FIN'!$A$1:$O$85,15,0)),0,VLOOKUP($U$22,'TAR FIN'!$A$1:$O$85,15,0))</f>
        <v>0</v>
      </c>
      <c r="Y22" s="4">
        <f ca="1">('TUSD BE'!$AM$9+'TUSD BF'!$AM$9+'TUSD CVA'!$AM$9)*1</f>
        <v>6.7679680991043316</v>
      </c>
      <c r="Z22" s="4"/>
      <c r="AA22" s="4"/>
      <c r="AB22" s="4">
        <f t="shared" si="0"/>
        <v>17100</v>
      </c>
      <c r="AC22" s="4">
        <f t="shared" si="1"/>
        <v>0</v>
      </c>
      <c r="AD22" s="4">
        <f t="shared" ca="1" si="2"/>
        <v>20303.904297312994</v>
      </c>
      <c r="AE22" s="4">
        <f t="shared" si="3"/>
        <v>0</v>
      </c>
      <c r="AF22" s="3" t="s">
        <v>595</v>
      </c>
    </row>
    <row r="23" spans="1:32" ht="11.25" customHeight="1" x14ac:dyDescent="0.3">
      <c r="A23" s="3" t="s">
        <v>21</v>
      </c>
      <c r="B23" s="3" t="s">
        <v>34</v>
      </c>
      <c r="C23" s="3" t="s">
        <v>56</v>
      </c>
      <c r="D23" s="3" t="s">
        <v>25</v>
      </c>
      <c r="E23" s="3" t="s">
        <v>25</v>
      </c>
      <c r="F23" s="3" t="s">
        <v>25</v>
      </c>
      <c r="G23" s="3" t="s">
        <v>59</v>
      </c>
      <c r="H23" s="3" t="s">
        <v>25</v>
      </c>
      <c r="I23" s="6">
        <v>44562</v>
      </c>
      <c r="J23" s="4">
        <v>833</v>
      </c>
      <c r="K23" s="4">
        <v>416.5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3" t="s">
        <v>58</v>
      </c>
      <c r="R23" s="3">
        <v>29592</v>
      </c>
      <c r="S23" s="3">
        <v>1</v>
      </c>
      <c r="T23" s="3">
        <v>0</v>
      </c>
      <c r="U23" s="3">
        <v>0</v>
      </c>
      <c r="V23" s="4">
        <f>IF(ISERROR(VLOOKUP($S$23,'TAR FIN'!$A$1:$O$85,15,0)),0,VLOOKUP($S$23,'TAR FIN'!$A$1:$O$85,15,0))</f>
        <v>5.7</v>
      </c>
      <c r="W23" s="4">
        <f>IF(ISERROR(VLOOKUP($T$23,'TAR FIN'!$A$1:$O$85,15,0)),0,VLOOKUP($T$23,'TAR FIN'!$A$1:$O$85,15,0))</f>
        <v>0</v>
      </c>
      <c r="X23" s="4">
        <f>IF(ISERROR(VLOOKUP($U$23,'TAR FIN'!$A$1:$O$85,15,0)),0,VLOOKUP($U$23,'TAR FIN'!$A$1:$O$85,15,0))</f>
        <v>0</v>
      </c>
      <c r="Y23" s="4">
        <f ca="1">('TUSD BE'!$AM$9+'TUSD BF'!$AM$9+'TUSD CVA'!$AM$9)*1</f>
        <v>6.7679680991043316</v>
      </c>
      <c r="Z23" s="4"/>
      <c r="AA23" s="4"/>
      <c r="AB23" s="4">
        <f t="shared" si="0"/>
        <v>2374.0500000000002</v>
      </c>
      <c r="AC23" s="4">
        <f t="shared" si="1"/>
        <v>0</v>
      </c>
      <c r="AD23" s="4">
        <f t="shared" ca="1" si="2"/>
        <v>2818.8587132769539</v>
      </c>
      <c r="AE23" s="4">
        <f t="shared" si="3"/>
        <v>0</v>
      </c>
      <c r="AF23" s="3" t="s">
        <v>595</v>
      </c>
    </row>
    <row r="24" spans="1:32" ht="11.25" customHeight="1" x14ac:dyDescent="0.3">
      <c r="A24" s="3" t="s">
        <v>21</v>
      </c>
      <c r="B24" s="3" t="s">
        <v>34</v>
      </c>
      <c r="C24" s="3" t="s">
        <v>56</v>
      </c>
      <c r="D24" s="3" t="s">
        <v>25</v>
      </c>
      <c r="E24" s="3" t="s">
        <v>25</v>
      </c>
      <c r="F24" s="3" t="s">
        <v>25</v>
      </c>
      <c r="G24" s="3" t="s">
        <v>60</v>
      </c>
      <c r="H24" s="3" t="s">
        <v>25</v>
      </c>
      <c r="I24" s="6">
        <v>44562</v>
      </c>
      <c r="J24" s="4">
        <v>1000</v>
      </c>
      <c r="K24" s="4">
        <v>500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3" t="s">
        <v>58</v>
      </c>
      <c r="R24" s="3">
        <v>30368</v>
      </c>
      <c r="S24" s="3">
        <v>1</v>
      </c>
      <c r="T24" s="3">
        <v>0</v>
      </c>
      <c r="U24" s="3">
        <v>0</v>
      </c>
      <c r="V24" s="4">
        <f>IF(ISERROR(VLOOKUP($S$24,'TAR FIN'!$A$1:$O$85,15,0)),0,VLOOKUP($S$24,'TAR FIN'!$A$1:$O$85,15,0))</f>
        <v>5.7</v>
      </c>
      <c r="W24" s="4">
        <f>IF(ISERROR(VLOOKUP($T$24,'TAR FIN'!$A$1:$O$85,15,0)),0,VLOOKUP($T$24,'TAR FIN'!$A$1:$O$85,15,0))</f>
        <v>0</v>
      </c>
      <c r="X24" s="4">
        <f>IF(ISERROR(VLOOKUP($U$24,'TAR FIN'!$A$1:$O$85,15,0)),0,VLOOKUP($U$24,'TAR FIN'!$A$1:$O$85,15,0))</f>
        <v>0</v>
      </c>
      <c r="Y24" s="4">
        <f ca="1">('TUSD BE'!$AM$9+'TUSD BF'!$AM$9+'TUSD CVA'!$AM$9)*1</f>
        <v>6.7679680991043316</v>
      </c>
      <c r="Z24" s="4"/>
      <c r="AA24" s="4"/>
      <c r="AB24" s="4">
        <f t="shared" si="0"/>
        <v>2850</v>
      </c>
      <c r="AC24" s="4">
        <f t="shared" si="1"/>
        <v>0</v>
      </c>
      <c r="AD24" s="4">
        <f t="shared" ca="1" si="2"/>
        <v>3383.9840495521657</v>
      </c>
      <c r="AE24" s="4">
        <f t="shared" si="3"/>
        <v>0</v>
      </c>
      <c r="AF24" s="3" t="s">
        <v>595</v>
      </c>
    </row>
    <row r="25" spans="1:32" ht="11.25" customHeight="1" x14ac:dyDescent="0.3">
      <c r="A25" s="3" t="s">
        <v>21</v>
      </c>
      <c r="B25" s="3" t="s">
        <v>34</v>
      </c>
      <c r="C25" s="3" t="s">
        <v>56</v>
      </c>
      <c r="D25" s="3" t="s">
        <v>25</v>
      </c>
      <c r="E25" s="3" t="s">
        <v>25</v>
      </c>
      <c r="F25" s="3" t="s">
        <v>25</v>
      </c>
      <c r="G25" s="3" t="s">
        <v>61</v>
      </c>
      <c r="H25" s="3" t="s">
        <v>25</v>
      </c>
      <c r="I25" s="6">
        <v>44562</v>
      </c>
      <c r="J25" s="4">
        <v>3130</v>
      </c>
      <c r="K25" s="4">
        <v>1565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3" t="s">
        <v>58</v>
      </c>
      <c r="R25" s="3">
        <v>30494</v>
      </c>
      <c r="S25" s="3">
        <v>1</v>
      </c>
      <c r="T25" s="3">
        <v>0</v>
      </c>
      <c r="U25" s="3">
        <v>0</v>
      </c>
      <c r="V25" s="4">
        <f>IF(ISERROR(VLOOKUP($S$25,'TAR FIN'!$A$1:$O$85,15,0)),0,VLOOKUP($S$25,'TAR FIN'!$A$1:$O$85,15,0))</f>
        <v>5.7</v>
      </c>
      <c r="W25" s="4">
        <f>IF(ISERROR(VLOOKUP($T$25,'TAR FIN'!$A$1:$O$85,15,0)),0,VLOOKUP($T$25,'TAR FIN'!$A$1:$O$85,15,0))</f>
        <v>0</v>
      </c>
      <c r="X25" s="4">
        <f>IF(ISERROR(VLOOKUP($U$25,'TAR FIN'!$A$1:$O$85,15,0)),0,VLOOKUP($U$25,'TAR FIN'!$A$1:$O$85,15,0))</f>
        <v>0</v>
      </c>
      <c r="Y25" s="4">
        <f ca="1">('TUSD BE'!$AM$9+'TUSD BF'!$AM$9+'TUSD CVA'!$AM$9)*1</f>
        <v>6.7679680991043316</v>
      </c>
      <c r="Z25" s="4"/>
      <c r="AA25" s="4"/>
      <c r="AB25" s="4">
        <f t="shared" si="0"/>
        <v>8920.5</v>
      </c>
      <c r="AC25" s="4">
        <f t="shared" si="1"/>
        <v>0</v>
      </c>
      <c r="AD25" s="4">
        <f t="shared" ca="1" si="2"/>
        <v>10591.870075098279</v>
      </c>
      <c r="AE25" s="4">
        <f t="shared" si="3"/>
        <v>0</v>
      </c>
      <c r="AF25" s="3" t="s">
        <v>595</v>
      </c>
    </row>
    <row r="26" spans="1:32" ht="11.25" customHeight="1" x14ac:dyDescent="0.3">
      <c r="A26" s="3" t="s">
        <v>21</v>
      </c>
      <c r="B26" s="3" t="s">
        <v>34</v>
      </c>
      <c r="C26" s="3" t="s">
        <v>56</v>
      </c>
      <c r="D26" s="3" t="s">
        <v>25</v>
      </c>
      <c r="E26" s="3" t="s">
        <v>25</v>
      </c>
      <c r="F26" s="3" t="s">
        <v>25</v>
      </c>
      <c r="G26" s="3" t="s">
        <v>62</v>
      </c>
      <c r="H26" s="3" t="s">
        <v>25</v>
      </c>
      <c r="I26" s="6">
        <v>44562</v>
      </c>
      <c r="J26" s="4">
        <v>500</v>
      </c>
      <c r="K26" s="4">
        <v>250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 t="s">
        <v>58</v>
      </c>
      <c r="R26" s="3">
        <v>27182</v>
      </c>
      <c r="S26" s="3">
        <v>1</v>
      </c>
      <c r="T26" s="3">
        <v>0</v>
      </c>
      <c r="U26" s="3">
        <v>0</v>
      </c>
      <c r="V26" s="4">
        <f>IF(ISERROR(VLOOKUP($S$26,'TAR FIN'!$A$1:$O$85,15,0)),0,VLOOKUP($S$26,'TAR FIN'!$A$1:$O$85,15,0))</f>
        <v>5.7</v>
      </c>
      <c r="W26" s="4">
        <f>IF(ISERROR(VLOOKUP($T$26,'TAR FIN'!$A$1:$O$85,15,0)),0,VLOOKUP($T$26,'TAR FIN'!$A$1:$O$85,15,0))</f>
        <v>0</v>
      </c>
      <c r="X26" s="4">
        <f>IF(ISERROR(VLOOKUP($U$26,'TAR FIN'!$A$1:$O$85,15,0)),0,VLOOKUP($U$26,'TAR FIN'!$A$1:$O$85,15,0))</f>
        <v>0</v>
      </c>
      <c r="Y26" s="4">
        <f ca="1">('TUSD BE'!$AM$9+'TUSD BF'!$AM$9+'TUSD CVA'!$AM$9)*1</f>
        <v>6.7679680991043316</v>
      </c>
      <c r="Z26" s="4"/>
      <c r="AA26" s="4"/>
      <c r="AB26" s="4">
        <f t="shared" si="0"/>
        <v>1425</v>
      </c>
      <c r="AC26" s="4">
        <f t="shared" si="1"/>
        <v>0</v>
      </c>
      <c r="AD26" s="4">
        <f t="shared" ca="1" si="2"/>
        <v>1691.9920247760829</v>
      </c>
      <c r="AE26" s="4">
        <f t="shared" si="3"/>
        <v>0</v>
      </c>
      <c r="AF26" s="3" t="s">
        <v>595</v>
      </c>
    </row>
    <row r="27" spans="1:32" ht="11.25" customHeight="1" x14ac:dyDescent="0.3">
      <c r="A27" s="3" t="s">
        <v>21</v>
      </c>
      <c r="B27" s="3" t="s">
        <v>34</v>
      </c>
      <c r="C27" s="3" t="s">
        <v>56</v>
      </c>
      <c r="D27" s="3" t="s">
        <v>25</v>
      </c>
      <c r="E27" s="3" t="s">
        <v>25</v>
      </c>
      <c r="F27" s="3" t="s">
        <v>25</v>
      </c>
      <c r="G27" s="3" t="s">
        <v>57</v>
      </c>
      <c r="H27" s="3" t="s">
        <v>25</v>
      </c>
      <c r="I27" s="6">
        <v>44593</v>
      </c>
      <c r="J27" s="4">
        <v>6000</v>
      </c>
      <c r="K27" s="4">
        <v>3000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3" t="s">
        <v>58</v>
      </c>
      <c r="R27" s="3">
        <v>659</v>
      </c>
      <c r="S27" s="3">
        <v>1</v>
      </c>
      <c r="T27" s="3">
        <v>0</v>
      </c>
      <c r="U27" s="3">
        <v>0</v>
      </c>
      <c r="V27" s="4">
        <f>IF(ISERROR(VLOOKUP($S$27,'TAR FIN'!$A$1:$O$85,15,0)),0,VLOOKUP($S$27,'TAR FIN'!$A$1:$O$85,15,0))</f>
        <v>5.7</v>
      </c>
      <c r="W27" s="4">
        <f>IF(ISERROR(VLOOKUP($T$27,'TAR FIN'!$A$1:$O$85,15,0)),0,VLOOKUP($T$27,'TAR FIN'!$A$1:$O$85,15,0))</f>
        <v>0</v>
      </c>
      <c r="X27" s="4">
        <f>IF(ISERROR(VLOOKUP($U$27,'TAR FIN'!$A$1:$O$85,15,0)),0,VLOOKUP($U$27,'TAR FIN'!$A$1:$O$85,15,0))</f>
        <v>0</v>
      </c>
      <c r="Y27" s="4">
        <f ca="1">('TUSD BE'!$AM$9+'TUSD BF'!$AM$9+'TUSD CVA'!$AM$9)*1</f>
        <v>6.7679680991043316</v>
      </c>
      <c r="Z27" s="4"/>
      <c r="AA27" s="4"/>
      <c r="AB27" s="4">
        <f t="shared" si="0"/>
        <v>17100</v>
      </c>
      <c r="AC27" s="4">
        <f t="shared" si="1"/>
        <v>0</v>
      </c>
      <c r="AD27" s="4">
        <f t="shared" ca="1" si="2"/>
        <v>20303.904297312994</v>
      </c>
      <c r="AE27" s="4">
        <f t="shared" si="3"/>
        <v>0</v>
      </c>
      <c r="AF27" s="3" t="s">
        <v>595</v>
      </c>
    </row>
    <row r="28" spans="1:32" ht="11.25" customHeight="1" x14ac:dyDescent="0.3">
      <c r="A28" s="3" t="s">
        <v>21</v>
      </c>
      <c r="B28" s="3" t="s">
        <v>34</v>
      </c>
      <c r="C28" s="3" t="s">
        <v>56</v>
      </c>
      <c r="D28" s="3" t="s">
        <v>25</v>
      </c>
      <c r="E28" s="3" t="s">
        <v>25</v>
      </c>
      <c r="F28" s="3" t="s">
        <v>25</v>
      </c>
      <c r="G28" s="3" t="s">
        <v>59</v>
      </c>
      <c r="H28" s="3" t="s">
        <v>25</v>
      </c>
      <c r="I28" s="6">
        <v>44593</v>
      </c>
      <c r="J28" s="4">
        <v>833</v>
      </c>
      <c r="K28" s="4">
        <v>416.5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3" t="s">
        <v>58</v>
      </c>
      <c r="R28" s="3">
        <v>29592</v>
      </c>
      <c r="S28" s="3">
        <v>1</v>
      </c>
      <c r="T28" s="3">
        <v>0</v>
      </c>
      <c r="U28" s="3">
        <v>0</v>
      </c>
      <c r="V28" s="4">
        <f>IF(ISERROR(VLOOKUP($S$28,'TAR FIN'!$A$1:$O$85,15,0)),0,VLOOKUP($S$28,'TAR FIN'!$A$1:$O$85,15,0))</f>
        <v>5.7</v>
      </c>
      <c r="W28" s="4">
        <f>IF(ISERROR(VLOOKUP($T$28,'TAR FIN'!$A$1:$O$85,15,0)),0,VLOOKUP($T$28,'TAR FIN'!$A$1:$O$85,15,0))</f>
        <v>0</v>
      </c>
      <c r="X28" s="4">
        <f>IF(ISERROR(VLOOKUP($U$28,'TAR FIN'!$A$1:$O$85,15,0)),0,VLOOKUP($U$28,'TAR FIN'!$A$1:$O$85,15,0))</f>
        <v>0</v>
      </c>
      <c r="Y28" s="4">
        <f ca="1">('TUSD BE'!$AM$9+'TUSD BF'!$AM$9+'TUSD CVA'!$AM$9)*1</f>
        <v>6.7679680991043316</v>
      </c>
      <c r="Z28" s="4"/>
      <c r="AA28" s="4"/>
      <c r="AB28" s="4">
        <f t="shared" si="0"/>
        <v>2374.0500000000002</v>
      </c>
      <c r="AC28" s="4">
        <f t="shared" si="1"/>
        <v>0</v>
      </c>
      <c r="AD28" s="4">
        <f t="shared" ca="1" si="2"/>
        <v>2818.8587132769539</v>
      </c>
      <c r="AE28" s="4">
        <f t="shared" si="3"/>
        <v>0</v>
      </c>
      <c r="AF28" s="3" t="s">
        <v>595</v>
      </c>
    </row>
    <row r="29" spans="1:32" ht="11.25" customHeight="1" x14ac:dyDescent="0.3">
      <c r="A29" s="3" t="s">
        <v>21</v>
      </c>
      <c r="B29" s="3" t="s">
        <v>34</v>
      </c>
      <c r="C29" s="3" t="s">
        <v>56</v>
      </c>
      <c r="D29" s="3" t="s">
        <v>25</v>
      </c>
      <c r="E29" s="3" t="s">
        <v>25</v>
      </c>
      <c r="F29" s="3" t="s">
        <v>25</v>
      </c>
      <c r="G29" s="3" t="s">
        <v>60</v>
      </c>
      <c r="H29" s="3" t="s">
        <v>25</v>
      </c>
      <c r="I29" s="6">
        <v>44593</v>
      </c>
      <c r="J29" s="4">
        <v>1000</v>
      </c>
      <c r="K29" s="4">
        <v>500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3" t="s">
        <v>58</v>
      </c>
      <c r="R29" s="3">
        <v>30368</v>
      </c>
      <c r="S29" s="3">
        <v>1</v>
      </c>
      <c r="T29" s="3">
        <v>0</v>
      </c>
      <c r="U29" s="3">
        <v>0</v>
      </c>
      <c r="V29" s="4">
        <f>IF(ISERROR(VLOOKUP($S$29,'TAR FIN'!$A$1:$O$85,15,0)),0,VLOOKUP($S$29,'TAR FIN'!$A$1:$O$85,15,0))</f>
        <v>5.7</v>
      </c>
      <c r="W29" s="4">
        <f>IF(ISERROR(VLOOKUP($T$29,'TAR FIN'!$A$1:$O$85,15,0)),0,VLOOKUP($T$29,'TAR FIN'!$A$1:$O$85,15,0))</f>
        <v>0</v>
      </c>
      <c r="X29" s="4">
        <f>IF(ISERROR(VLOOKUP($U$29,'TAR FIN'!$A$1:$O$85,15,0)),0,VLOOKUP($U$29,'TAR FIN'!$A$1:$O$85,15,0))</f>
        <v>0</v>
      </c>
      <c r="Y29" s="4">
        <f ca="1">('TUSD BE'!$AM$9+'TUSD BF'!$AM$9+'TUSD CVA'!$AM$9)*1</f>
        <v>6.7679680991043316</v>
      </c>
      <c r="Z29" s="4"/>
      <c r="AA29" s="4"/>
      <c r="AB29" s="4">
        <f t="shared" si="0"/>
        <v>2850</v>
      </c>
      <c r="AC29" s="4">
        <f t="shared" si="1"/>
        <v>0</v>
      </c>
      <c r="AD29" s="4">
        <f t="shared" ca="1" si="2"/>
        <v>3383.9840495521657</v>
      </c>
      <c r="AE29" s="4">
        <f t="shared" si="3"/>
        <v>0</v>
      </c>
      <c r="AF29" s="3" t="s">
        <v>595</v>
      </c>
    </row>
    <row r="30" spans="1:32" ht="11.25" customHeight="1" x14ac:dyDescent="0.3">
      <c r="A30" s="3" t="s">
        <v>21</v>
      </c>
      <c r="B30" s="3" t="s">
        <v>34</v>
      </c>
      <c r="C30" s="3" t="s">
        <v>56</v>
      </c>
      <c r="D30" s="3" t="s">
        <v>25</v>
      </c>
      <c r="E30" s="3" t="s">
        <v>25</v>
      </c>
      <c r="F30" s="3" t="s">
        <v>25</v>
      </c>
      <c r="G30" s="3" t="s">
        <v>61</v>
      </c>
      <c r="H30" s="3" t="s">
        <v>25</v>
      </c>
      <c r="I30" s="6">
        <v>44593</v>
      </c>
      <c r="J30" s="4">
        <v>3130</v>
      </c>
      <c r="K30" s="4">
        <v>1565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3" t="s">
        <v>58</v>
      </c>
      <c r="R30" s="3">
        <v>30494</v>
      </c>
      <c r="S30" s="3">
        <v>1</v>
      </c>
      <c r="T30" s="3">
        <v>0</v>
      </c>
      <c r="U30" s="3">
        <v>0</v>
      </c>
      <c r="V30" s="4">
        <f>IF(ISERROR(VLOOKUP($S$30,'TAR FIN'!$A$1:$O$85,15,0)),0,VLOOKUP($S$30,'TAR FIN'!$A$1:$O$85,15,0))</f>
        <v>5.7</v>
      </c>
      <c r="W30" s="4">
        <f>IF(ISERROR(VLOOKUP($T$30,'TAR FIN'!$A$1:$O$85,15,0)),0,VLOOKUP($T$30,'TAR FIN'!$A$1:$O$85,15,0))</f>
        <v>0</v>
      </c>
      <c r="X30" s="4">
        <f>IF(ISERROR(VLOOKUP($U$30,'TAR FIN'!$A$1:$O$85,15,0)),0,VLOOKUP($U$30,'TAR FIN'!$A$1:$O$85,15,0))</f>
        <v>0</v>
      </c>
      <c r="Y30" s="4">
        <f ca="1">('TUSD BE'!$AM$9+'TUSD BF'!$AM$9+'TUSD CVA'!$AM$9)*1</f>
        <v>6.7679680991043316</v>
      </c>
      <c r="Z30" s="4"/>
      <c r="AA30" s="4"/>
      <c r="AB30" s="4">
        <f t="shared" si="0"/>
        <v>8920.5</v>
      </c>
      <c r="AC30" s="4">
        <f t="shared" si="1"/>
        <v>0</v>
      </c>
      <c r="AD30" s="4">
        <f t="shared" ca="1" si="2"/>
        <v>10591.870075098279</v>
      </c>
      <c r="AE30" s="4">
        <f t="shared" si="3"/>
        <v>0</v>
      </c>
      <c r="AF30" s="3" t="s">
        <v>595</v>
      </c>
    </row>
    <row r="31" spans="1:32" ht="11.25" customHeight="1" x14ac:dyDescent="0.3">
      <c r="A31" s="3" t="s">
        <v>21</v>
      </c>
      <c r="B31" s="3" t="s">
        <v>34</v>
      </c>
      <c r="C31" s="3" t="s">
        <v>56</v>
      </c>
      <c r="D31" s="3" t="s">
        <v>25</v>
      </c>
      <c r="E31" s="3" t="s">
        <v>25</v>
      </c>
      <c r="F31" s="3" t="s">
        <v>25</v>
      </c>
      <c r="G31" s="3" t="s">
        <v>62</v>
      </c>
      <c r="H31" s="3" t="s">
        <v>25</v>
      </c>
      <c r="I31" s="6">
        <v>44593</v>
      </c>
      <c r="J31" s="4">
        <v>500</v>
      </c>
      <c r="K31" s="4">
        <v>250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3" t="s">
        <v>58</v>
      </c>
      <c r="R31" s="3">
        <v>27182</v>
      </c>
      <c r="S31" s="3">
        <v>1</v>
      </c>
      <c r="T31" s="3">
        <v>0</v>
      </c>
      <c r="U31" s="3">
        <v>0</v>
      </c>
      <c r="V31" s="4">
        <f>IF(ISERROR(VLOOKUP($S$31,'TAR FIN'!$A$1:$O$85,15,0)),0,VLOOKUP($S$31,'TAR FIN'!$A$1:$O$85,15,0))</f>
        <v>5.7</v>
      </c>
      <c r="W31" s="4">
        <f>IF(ISERROR(VLOOKUP($T$31,'TAR FIN'!$A$1:$O$85,15,0)),0,VLOOKUP($T$31,'TAR FIN'!$A$1:$O$85,15,0))</f>
        <v>0</v>
      </c>
      <c r="X31" s="4">
        <f>IF(ISERROR(VLOOKUP($U$31,'TAR FIN'!$A$1:$O$85,15,0)),0,VLOOKUP($U$31,'TAR FIN'!$A$1:$O$85,15,0))</f>
        <v>0</v>
      </c>
      <c r="Y31" s="4">
        <f ca="1">('TUSD BE'!$AM$9+'TUSD BF'!$AM$9+'TUSD CVA'!$AM$9)*1</f>
        <v>6.7679680991043316</v>
      </c>
      <c r="Z31" s="4"/>
      <c r="AA31" s="4"/>
      <c r="AB31" s="4">
        <f t="shared" si="0"/>
        <v>1425</v>
      </c>
      <c r="AC31" s="4">
        <f t="shared" si="1"/>
        <v>0</v>
      </c>
      <c r="AD31" s="4">
        <f t="shared" ca="1" si="2"/>
        <v>1691.9920247760829</v>
      </c>
      <c r="AE31" s="4">
        <f t="shared" si="3"/>
        <v>0</v>
      </c>
      <c r="AF31" s="3" t="s">
        <v>595</v>
      </c>
    </row>
    <row r="32" spans="1:32" ht="11.25" customHeight="1" x14ac:dyDescent="0.3">
      <c r="A32" s="3" t="s">
        <v>21</v>
      </c>
      <c r="B32" s="3" t="s">
        <v>34</v>
      </c>
      <c r="C32" s="3" t="s">
        <v>56</v>
      </c>
      <c r="D32" s="3" t="s">
        <v>25</v>
      </c>
      <c r="E32" s="3" t="s">
        <v>25</v>
      </c>
      <c r="F32" s="3" t="s">
        <v>25</v>
      </c>
      <c r="G32" s="3" t="s">
        <v>57</v>
      </c>
      <c r="H32" s="3" t="s">
        <v>25</v>
      </c>
      <c r="I32" s="6">
        <v>44621</v>
      </c>
      <c r="J32" s="4">
        <v>6000</v>
      </c>
      <c r="K32" s="4">
        <v>3000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3" t="s">
        <v>58</v>
      </c>
      <c r="R32" s="3">
        <v>659</v>
      </c>
      <c r="S32" s="3">
        <v>1</v>
      </c>
      <c r="T32" s="3">
        <v>0</v>
      </c>
      <c r="U32" s="3">
        <v>0</v>
      </c>
      <c r="V32" s="4">
        <f>IF(ISERROR(VLOOKUP($S$32,'TAR FIN'!$A$1:$O$85,15,0)),0,VLOOKUP($S$32,'TAR FIN'!$A$1:$O$85,15,0))</f>
        <v>5.7</v>
      </c>
      <c r="W32" s="4">
        <f>IF(ISERROR(VLOOKUP($T$32,'TAR FIN'!$A$1:$O$85,15,0)),0,VLOOKUP($T$32,'TAR FIN'!$A$1:$O$85,15,0))</f>
        <v>0</v>
      </c>
      <c r="X32" s="4">
        <f>IF(ISERROR(VLOOKUP($U$32,'TAR FIN'!$A$1:$O$85,15,0)),0,VLOOKUP($U$32,'TAR FIN'!$A$1:$O$85,15,0))</f>
        <v>0</v>
      </c>
      <c r="Y32" s="4">
        <f ca="1">('TUSD BE'!$AM$9+'TUSD BF'!$AM$9+'TUSD CVA'!$AM$9)*1</f>
        <v>6.7679680991043316</v>
      </c>
      <c r="Z32" s="4"/>
      <c r="AA32" s="4"/>
      <c r="AB32" s="4">
        <f t="shared" si="0"/>
        <v>17100</v>
      </c>
      <c r="AC32" s="4">
        <f t="shared" si="1"/>
        <v>0</v>
      </c>
      <c r="AD32" s="4">
        <f t="shared" ca="1" si="2"/>
        <v>20303.904297312994</v>
      </c>
      <c r="AE32" s="4">
        <f t="shared" si="3"/>
        <v>0</v>
      </c>
      <c r="AF32" s="3" t="s">
        <v>595</v>
      </c>
    </row>
    <row r="33" spans="1:32" ht="11.25" customHeight="1" x14ac:dyDescent="0.3">
      <c r="A33" s="3" t="s">
        <v>21</v>
      </c>
      <c r="B33" s="3" t="s">
        <v>34</v>
      </c>
      <c r="C33" s="3" t="s">
        <v>56</v>
      </c>
      <c r="D33" s="3" t="s">
        <v>25</v>
      </c>
      <c r="E33" s="3" t="s">
        <v>25</v>
      </c>
      <c r="F33" s="3" t="s">
        <v>25</v>
      </c>
      <c r="G33" s="3" t="s">
        <v>59</v>
      </c>
      <c r="H33" s="3" t="s">
        <v>25</v>
      </c>
      <c r="I33" s="6">
        <v>44621</v>
      </c>
      <c r="J33" s="4">
        <v>833</v>
      </c>
      <c r="K33" s="4">
        <v>416.5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3" t="s">
        <v>58</v>
      </c>
      <c r="R33" s="3">
        <v>29592</v>
      </c>
      <c r="S33" s="3">
        <v>1</v>
      </c>
      <c r="T33" s="3">
        <v>0</v>
      </c>
      <c r="U33" s="3">
        <v>0</v>
      </c>
      <c r="V33" s="4">
        <f>IF(ISERROR(VLOOKUP($S$33,'TAR FIN'!$A$1:$O$85,15,0)),0,VLOOKUP($S$33,'TAR FIN'!$A$1:$O$85,15,0))</f>
        <v>5.7</v>
      </c>
      <c r="W33" s="4">
        <f>IF(ISERROR(VLOOKUP($T$33,'TAR FIN'!$A$1:$O$85,15,0)),0,VLOOKUP($T$33,'TAR FIN'!$A$1:$O$85,15,0))</f>
        <v>0</v>
      </c>
      <c r="X33" s="4">
        <f>IF(ISERROR(VLOOKUP($U$33,'TAR FIN'!$A$1:$O$85,15,0)),0,VLOOKUP($U$33,'TAR FIN'!$A$1:$O$85,15,0))</f>
        <v>0</v>
      </c>
      <c r="Y33" s="4">
        <f ca="1">('TUSD BE'!$AM$9+'TUSD BF'!$AM$9+'TUSD CVA'!$AM$9)*1</f>
        <v>6.7679680991043316</v>
      </c>
      <c r="Z33" s="4"/>
      <c r="AA33" s="4"/>
      <c r="AB33" s="4">
        <f t="shared" si="0"/>
        <v>2374.0500000000002</v>
      </c>
      <c r="AC33" s="4">
        <f t="shared" si="1"/>
        <v>0</v>
      </c>
      <c r="AD33" s="4">
        <f t="shared" ca="1" si="2"/>
        <v>2818.8587132769539</v>
      </c>
      <c r="AE33" s="4">
        <f t="shared" si="3"/>
        <v>0</v>
      </c>
      <c r="AF33" s="3" t="s">
        <v>595</v>
      </c>
    </row>
    <row r="34" spans="1:32" ht="11.25" customHeight="1" x14ac:dyDescent="0.3">
      <c r="A34" s="3" t="s">
        <v>21</v>
      </c>
      <c r="B34" s="3" t="s">
        <v>34</v>
      </c>
      <c r="C34" s="3" t="s">
        <v>56</v>
      </c>
      <c r="D34" s="3" t="s">
        <v>25</v>
      </c>
      <c r="E34" s="3" t="s">
        <v>25</v>
      </c>
      <c r="F34" s="3" t="s">
        <v>25</v>
      </c>
      <c r="G34" s="3" t="s">
        <v>60</v>
      </c>
      <c r="H34" s="3" t="s">
        <v>25</v>
      </c>
      <c r="I34" s="6">
        <v>44621</v>
      </c>
      <c r="J34" s="4">
        <v>1000</v>
      </c>
      <c r="K34" s="4">
        <v>500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3" t="s">
        <v>58</v>
      </c>
      <c r="R34" s="3">
        <v>30368</v>
      </c>
      <c r="S34" s="3">
        <v>1</v>
      </c>
      <c r="T34" s="3">
        <v>0</v>
      </c>
      <c r="U34" s="3">
        <v>0</v>
      </c>
      <c r="V34" s="4">
        <f>IF(ISERROR(VLOOKUP($S$34,'TAR FIN'!$A$1:$O$85,15,0)),0,VLOOKUP($S$34,'TAR FIN'!$A$1:$O$85,15,0))</f>
        <v>5.7</v>
      </c>
      <c r="W34" s="4">
        <f>IF(ISERROR(VLOOKUP($T$34,'TAR FIN'!$A$1:$O$85,15,0)),0,VLOOKUP($T$34,'TAR FIN'!$A$1:$O$85,15,0))</f>
        <v>0</v>
      </c>
      <c r="X34" s="4">
        <f>IF(ISERROR(VLOOKUP($U$34,'TAR FIN'!$A$1:$O$85,15,0)),0,VLOOKUP($U$34,'TAR FIN'!$A$1:$O$85,15,0))</f>
        <v>0</v>
      </c>
      <c r="Y34" s="4">
        <f ca="1">('TUSD BE'!$AM$9+'TUSD BF'!$AM$9+'TUSD CVA'!$AM$9)*1</f>
        <v>6.7679680991043316</v>
      </c>
      <c r="Z34" s="4"/>
      <c r="AA34" s="4"/>
      <c r="AB34" s="4">
        <f t="shared" si="0"/>
        <v>2850</v>
      </c>
      <c r="AC34" s="4">
        <f t="shared" ref="AC34:AC65" si="6">(L34-M34)*W34+(N34-O34)*X34</f>
        <v>0</v>
      </c>
      <c r="AD34" s="4">
        <f t="shared" ca="1" si="2"/>
        <v>3383.9840495521657</v>
      </c>
      <c r="AE34" s="4">
        <f t="shared" ref="AE34:AE65" si="7">(L34-M34)*Z34+(N34-O34)*AA34</f>
        <v>0</v>
      </c>
      <c r="AF34" s="3" t="s">
        <v>595</v>
      </c>
    </row>
    <row r="35" spans="1:32" ht="11.25" customHeight="1" x14ac:dyDescent="0.3">
      <c r="A35" s="3" t="s">
        <v>21</v>
      </c>
      <c r="B35" s="3" t="s">
        <v>34</v>
      </c>
      <c r="C35" s="3" t="s">
        <v>56</v>
      </c>
      <c r="D35" s="3" t="s">
        <v>25</v>
      </c>
      <c r="E35" s="3" t="s">
        <v>25</v>
      </c>
      <c r="F35" s="3" t="s">
        <v>25</v>
      </c>
      <c r="G35" s="3" t="s">
        <v>61</v>
      </c>
      <c r="H35" s="3" t="s">
        <v>25</v>
      </c>
      <c r="I35" s="6">
        <v>44621</v>
      </c>
      <c r="J35" s="4">
        <v>3130</v>
      </c>
      <c r="K35" s="4">
        <v>1565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3" t="s">
        <v>58</v>
      </c>
      <c r="R35" s="3">
        <v>30494</v>
      </c>
      <c r="S35" s="3">
        <v>1</v>
      </c>
      <c r="T35" s="3">
        <v>0</v>
      </c>
      <c r="U35" s="3">
        <v>0</v>
      </c>
      <c r="V35" s="4">
        <f>IF(ISERROR(VLOOKUP($S$35,'TAR FIN'!$A$1:$O$85,15,0)),0,VLOOKUP($S$35,'TAR FIN'!$A$1:$O$85,15,0))</f>
        <v>5.7</v>
      </c>
      <c r="W35" s="4">
        <f>IF(ISERROR(VLOOKUP($T$35,'TAR FIN'!$A$1:$O$85,15,0)),0,VLOOKUP($T$35,'TAR FIN'!$A$1:$O$85,15,0))</f>
        <v>0</v>
      </c>
      <c r="X35" s="4">
        <f>IF(ISERROR(VLOOKUP($U$35,'TAR FIN'!$A$1:$O$85,15,0)),0,VLOOKUP($U$35,'TAR FIN'!$A$1:$O$85,15,0))</f>
        <v>0</v>
      </c>
      <c r="Y35" s="4">
        <f ca="1">('TUSD BE'!$AM$9+'TUSD BF'!$AM$9+'TUSD CVA'!$AM$9)*1</f>
        <v>6.7679680991043316</v>
      </c>
      <c r="Z35" s="4"/>
      <c r="AA35" s="4"/>
      <c r="AB35" s="4">
        <f t="shared" si="0"/>
        <v>8920.5</v>
      </c>
      <c r="AC35" s="4">
        <f t="shared" si="6"/>
        <v>0</v>
      </c>
      <c r="AD35" s="4">
        <f t="shared" ca="1" si="2"/>
        <v>10591.870075098279</v>
      </c>
      <c r="AE35" s="4">
        <f t="shared" si="7"/>
        <v>0</v>
      </c>
      <c r="AF35" s="3" t="s">
        <v>595</v>
      </c>
    </row>
    <row r="36" spans="1:32" ht="11.25" customHeight="1" x14ac:dyDescent="0.3">
      <c r="A36" s="3" t="s">
        <v>21</v>
      </c>
      <c r="B36" s="3" t="s">
        <v>34</v>
      </c>
      <c r="C36" s="3" t="s">
        <v>56</v>
      </c>
      <c r="D36" s="3" t="s">
        <v>25</v>
      </c>
      <c r="E36" s="3" t="s">
        <v>25</v>
      </c>
      <c r="F36" s="3" t="s">
        <v>25</v>
      </c>
      <c r="G36" s="3" t="s">
        <v>62</v>
      </c>
      <c r="H36" s="3" t="s">
        <v>25</v>
      </c>
      <c r="I36" s="6">
        <v>44621</v>
      </c>
      <c r="J36" s="4">
        <v>500</v>
      </c>
      <c r="K36" s="4">
        <v>250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3" t="s">
        <v>58</v>
      </c>
      <c r="R36" s="3">
        <v>27182</v>
      </c>
      <c r="S36" s="3">
        <v>1</v>
      </c>
      <c r="T36" s="3">
        <v>0</v>
      </c>
      <c r="U36" s="3">
        <v>0</v>
      </c>
      <c r="V36" s="4">
        <f>IF(ISERROR(VLOOKUP($S$36,'TAR FIN'!$A$1:$O$85,15,0)),0,VLOOKUP($S$36,'TAR FIN'!$A$1:$O$85,15,0))</f>
        <v>5.7</v>
      </c>
      <c r="W36" s="4">
        <f>IF(ISERROR(VLOOKUP($T$36,'TAR FIN'!$A$1:$O$85,15,0)),0,VLOOKUP($T$36,'TAR FIN'!$A$1:$O$85,15,0))</f>
        <v>0</v>
      </c>
      <c r="X36" s="4">
        <f>IF(ISERROR(VLOOKUP($U$36,'TAR FIN'!$A$1:$O$85,15,0)),0,VLOOKUP($U$36,'TAR FIN'!$A$1:$O$85,15,0))</f>
        <v>0</v>
      </c>
      <c r="Y36" s="4">
        <f ca="1">('TUSD BE'!$AM$9+'TUSD BF'!$AM$9+'TUSD CVA'!$AM$9)*1</f>
        <v>6.7679680991043316</v>
      </c>
      <c r="Z36" s="4"/>
      <c r="AA36" s="4"/>
      <c r="AB36" s="4">
        <f t="shared" si="0"/>
        <v>1425</v>
      </c>
      <c r="AC36" s="4">
        <f t="shared" si="6"/>
        <v>0</v>
      </c>
      <c r="AD36" s="4">
        <f t="shared" ca="1" si="2"/>
        <v>1691.9920247760829</v>
      </c>
      <c r="AE36" s="4">
        <f t="shared" si="7"/>
        <v>0</v>
      </c>
      <c r="AF36" s="3" t="s">
        <v>595</v>
      </c>
    </row>
    <row r="37" spans="1:32" ht="11.25" customHeight="1" x14ac:dyDescent="0.3">
      <c r="A37" s="3" t="s">
        <v>21</v>
      </c>
      <c r="B37" s="3" t="s">
        <v>34</v>
      </c>
      <c r="C37" s="3" t="s">
        <v>56</v>
      </c>
      <c r="D37" s="3" t="s">
        <v>25</v>
      </c>
      <c r="E37" s="3" t="s">
        <v>25</v>
      </c>
      <c r="F37" s="3" t="s">
        <v>25</v>
      </c>
      <c r="G37" s="3" t="s">
        <v>57</v>
      </c>
      <c r="H37" s="3" t="s">
        <v>25</v>
      </c>
      <c r="I37" s="6">
        <v>44652</v>
      </c>
      <c r="J37" s="4">
        <v>6000</v>
      </c>
      <c r="K37" s="4">
        <v>3000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3" t="s">
        <v>58</v>
      </c>
      <c r="R37" s="3">
        <v>659</v>
      </c>
      <c r="S37" s="3">
        <v>1</v>
      </c>
      <c r="T37" s="3">
        <v>0</v>
      </c>
      <c r="U37" s="3">
        <v>0</v>
      </c>
      <c r="V37" s="4">
        <f>IF(ISERROR(VLOOKUP($S$37,'TAR FIN'!$A$1:$O$85,15,0)),0,VLOOKUP($S$37,'TAR FIN'!$A$1:$O$85,15,0))</f>
        <v>5.7</v>
      </c>
      <c r="W37" s="4">
        <f>IF(ISERROR(VLOOKUP($T$37,'TAR FIN'!$A$1:$O$85,15,0)),0,VLOOKUP($T$37,'TAR FIN'!$A$1:$O$85,15,0))</f>
        <v>0</v>
      </c>
      <c r="X37" s="4">
        <f>IF(ISERROR(VLOOKUP($U$37,'TAR FIN'!$A$1:$O$85,15,0)),0,VLOOKUP($U$37,'TAR FIN'!$A$1:$O$85,15,0))</f>
        <v>0</v>
      </c>
      <c r="Y37" s="4">
        <f ca="1">('TUSD BE'!$AM$9+'TUSD BF'!$AM$9+'TUSD CVA'!$AM$9)*1</f>
        <v>6.7679680991043316</v>
      </c>
      <c r="Z37" s="4"/>
      <c r="AA37" s="4"/>
      <c r="AB37" s="4">
        <f t="shared" si="0"/>
        <v>17100</v>
      </c>
      <c r="AC37" s="4">
        <f t="shared" si="6"/>
        <v>0</v>
      </c>
      <c r="AD37" s="4">
        <f t="shared" ca="1" si="2"/>
        <v>20303.904297312994</v>
      </c>
      <c r="AE37" s="4">
        <f t="shared" si="7"/>
        <v>0</v>
      </c>
      <c r="AF37" s="3" t="s">
        <v>595</v>
      </c>
    </row>
    <row r="38" spans="1:32" ht="11.25" customHeight="1" x14ac:dyDescent="0.3">
      <c r="A38" s="3" t="s">
        <v>21</v>
      </c>
      <c r="B38" s="3" t="s">
        <v>34</v>
      </c>
      <c r="C38" s="3" t="s">
        <v>56</v>
      </c>
      <c r="D38" s="3" t="s">
        <v>25</v>
      </c>
      <c r="E38" s="3" t="s">
        <v>25</v>
      </c>
      <c r="F38" s="3" t="s">
        <v>25</v>
      </c>
      <c r="G38" s="3" t="s">
        <v>59</v>
      </c>
      <c r="H38" s="3" t="s">
        <v>25</v>
      </c>
      <c r="I38" s="6">
        <v>44652</v>
      </c>
      <c r="J38" s="4">
        <v>833</v>
      </c>
      <c r="K38" s="4">
        <v>416.5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3" t="s">
        <v>58</v>
      </c>
      <c r="R38" s="3">
        <v>29592</v>
      </c>
      <c r="S38" s="3">
        <v>1</v>
      </c>
      <c r="T38" s="3">
        <v>0</v>
      </c>
      <c r="U38" s="3">
        <v>0</v>
      </c>
      <c r="V38" s="4">
        <f>IF(ISERROR(VLOOKUP($S$38,'TAR FIN'!$A$1:$O$85,15,0)),0,VLOOKUP($S$38,'TAR FIN'!$A$1:$O$85,15,0))</f>
        <v>5.7</v>
      </c>
      <c r="W38" s="4">
        <f>IF(ISERROR(VLOOKUP($T$38,'TAR FIN'!$A$1:$O$85,15,0)),0,VLOOKUP($T$38,'TAR FIN'!$A$1:$O$85,15,0))</f>
        <v>0</v>
      </c>
      <c r="X38" s="4">
        <f>IF(ISERROR(VLOOKUP($U$38,'TAR FIN'!$A$1:$O$85,15,0)),0,VLOOKUP($U$38,'TAR FIN'!$A$1:$O$85,15,0))</f>
        <v>0</v>
      </c>
      <c r="Y38" s="4">
        <f ca="1">('TUSD BE'!$AM$9+'TUSD BF'!$AM$9+'TUSD CVA'!$AM$9)*1</f>
        <v>6.7679680991043316</v>
      </c>
      <c r="Z38" s="4"/>
      <c r="AA38" s="4"/>
      <c r="AB38" s="4">
        <f t="shared" si="0"/>
        <v>2374.0500000000002</v>
      </c>
      <c r="AC38" s="4">
        <f t="shared" si="6"/>
        <v>0</v>
      </c>
      <c r="AD38" s="4">
        <f t="shared" ca="1" si="2"/>
        <v>2818.8587132769539</v>
      </c>
      <c r="AE38" s="4">
        <f t="shared" si="7"/>
        <v>0</v>
      </c>
      <c r="AF38" s="3" t="s">
        <v>595</v>
      </c>
    </row>
    <row r="39" spans="1:32" ht="11.25" customHeight="1" x14ac:dyDescent="0.3">
      <c r="A39" s="3" t="s">
        <v>21</v>
      </c>
      <c r="B39" s="3" t="s">
        <v>34</v>
      </c>
      <c r="C39" s="3" t="s">
        <v>56</v>
      </c>
      <c r="D39" s="3" t="s">
        <v>25</v>
      </c>
      <c r="E39" s="3" t="s">
        <v>25</v>
      </c>
      <c r="F39" s="3" t="s">
        <v>25</v>
      </c>
      <c r="G39" s="3" t="s">
        <v>60</v>
      </c>
      <c r="H39" s="3" t="s">
        <v>25</v>
      </c>
      <c r="I39" s="6">
        <v>44652</v>
      </c>
      <c r="J39" s="4">
        <v>1000</v>
      </c>
      <c r="K39" s="4">
        <v>500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3" t="s">
        <v>58</v>
      </c>
      <c r="R39" s="3">
        <v>30368</v>
      </c>
      <c r="S39" s="3">
        <v>1</v>
      </c>
      <c r="T39" s="3">
        <v>0</v>
      </c>
      <c r="U39" s="3">
        <v>0</v>
      </c>
      <c r="V39" s="4">
        <f>IF(ISERROR(VLOOKUP($S$39,'TAR FIN'!$A$1:$O$85,15,0)),0,VLOOKUP($S$39,'TAR FIN'!$A$1:$O$85,15,0))</f>
        <v>5.7</v>
      </c>
      <c r="W39" s="4">
        <f>IF(ISERROR(VLOOKUP($T$39,'TAR FIN'!$A$1:$O$85,15,0)),0,VLOOKUP($T$39,'TAR FIN'!$A$1:$O$85,15,0))</f>
        <v>0</v>
      </c>
      <c r="X39" s="4">
        <f>IF(ISERROR(VLOOKUP($U$39,'TAR FIN'!$A$1:$O$85,15,0)),0,VLOOKUP($U$39,'TAR FIN'!$A$1:$O$85,15,0))</f>
        <v>0</v>
      </c>
      <c r="Y39" s="4">
        <f ca="1">('TUSD BE'!$AM$9+'TUSD BF'!$AM$9+'TUSD CVA'!$AM$9)*1</f>
        <v>6.7679680991043316</v>
      </c>
      <c r="Z39" s="4"/>
      <c r="AA39" s="4"/>
      <c r="AB39" s="4">
        <f t="shared" si="0"/>
        <v>2850</v>
      </c>
      <c r="AC39" s="4">
        <f t="shared" si="6"/>
        <v>0</v>
      </c>
      <c r="AD39" s="4">
        <f t="shared" ca="1" si="2"/>
        <v>3383.9840495521657</v>
      </c>
      <c r="AE39" s="4">
        <f t="shared" si="7"/>
        <v>0</v>
      </c>
      <c r="AF39" s="3" t="s">
        <v>595</v>
      </c>
    </row>
    <row r="40" spans="1:32" ht="11.25" customHeight="1" x14ac:dyDescent="0.3">
      <c r="A40" s="3" t="s">
        <v>21</v>
      </c>
      <c r="B40" s="3" t="s">
        <v>34</v>
      </c>
      <c r="C40" s="3" t="s">
        <v>56</v>
      </c>
      <c r="D40" s="3" t="s">
        <v>25</v>
      </c>
      <c r="E40" s="3" t="s">
        <v>25</v>
      </c>
      <c r="F40" s="3" t="s">
        <v>25</v>
      </c>
      <c r="G40" s="3" t="s">
        <v>61</v>
      </c>
      <c r="H40" s="3" t="s">
        <v>25</v>
      </c>
      <c r="I40" s="6">
        <v>44652</v>
      </c>
      <c r="J40" s="4">
        <v>3130</v>
      </c>
      <c r="K40" s="4">
        <v>1565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3" t="s">
        <v>58</v>
      </c>
      <c r="R40" s="3">
        <v>30494</v>
      </c>
      <c r="S40" s="3">
        <v>1</v>
      </c>
      <c r="T40" s="3">
        <v>0</v>
      </c>
      <c r="U40" s="3">
        <v>0</v>
      </c>
      <c r="V40" s="4">
        <f>IF(ISERROR(VLOOKUP($S$40,'TAR FIN'!$A$1:$O$85,15,0)),0,VLOOKUP($S$40,'TAR FIN'!$A$1:$O$85,15,0))</f>
        <v>5.7</v>
      </c>
      <c r="W40" s="4">
        <f>IF(ISERROR(VLOOKUP($T$40,'TAR FIN'!$A$1:$O$85,15,0)),0,VLOOKUP($T$40,'TAR FIN'!$A$1:$O$85,15,0))</f>
        <v>0</v>
      </c>
      <c r="X40" s="4">
        <f>IF(ISERROR(VLOOKUP($U$40,'TAR FIN'!$A$1:$O$85,15,0)),0,VLOOKUP($U$40,'TAR FIN'!$A$1:$O$85,15,0))</f>
        <v>0</v>
      </c>
      <c r="Y40" s="4">
        <f ca="1">('TUSD BE'!$AM$9+'TUSD BF'!$AM$9+'TUSD CVA'!$AM$9)*1</f>
        <v>6.7679680991043316</v>
      </c>
      <c r="Z40" s="4"/>
      <c r="AA40" s="4"/>
      <c r="AB40" s="4">
        <f t="shared" si="0"/>
        <v>8920.5</v>
      </c>
      <c r="AC40" s="4">
        <f t="shared" si="6"/>
        <v>0</v>
      </c>
      <c r="AD40" s="4">
        <f t="shared" ca="1" si="2"/>
        <v>10591.870075098279</v>
      </c>
      <c r="AE40" s="4">
        <f t="shared" si="7"/>
        <v>0</v>
      </c>
      <c r="AF40" s="3" t="s">
        <v>595</v>
      </c>
    </row>
    <row r="41" spans="1:32" ht="11.25" customHeight="1" x14ac:dyDescent="0.3">
      <c r="A41" s="3" t="s">
        <v>21</v>
      </c>
      <c r="B41" s="3" t="s">
        <v>34</v>
      </c>
      <c r="C41" s="3" t="s">
        <v>56</v>
      </c>
      <c r="D41" s="3" t="s">
        <v>25</v>
      </c>
      <c r="E41" s="3" t="s">
        <v>25</v>
      </c>
      <c r="F41" s="3" t="s">
        <v>25</v>
      </c>
      <c r="G41" s="3" t="s">
        <v>62</v>
      </c>
      <c r="H41" s="3" t="s">
        <v>25</v>
      </c>
      <c r="I41" s="6">
        <v>44652</v>
      </c>
      <c r="J41" s="4">
        <v>500</v>
      </c>
      <c r="K41" s="4">
        <v>250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3" t="s">
        <v>58</v>
      </c>
      <c r="R41" s="3">
        <v>27182</v>
      </c>
      <c r="S41" s="3">
        <v>1</v>
      </c>
      <c r="T41" s="3">
        <v>0</v>
      </c>
      <c r="U41" s="3">
        <v>0</v>
      </c>
      <c r="V41" s="4">
        <f>IF(ISERROR(VLOOKUP($S$41,'TAR FIN'!$A$1:$O$85,15,0)),0,VLOOKUP($S$41,'TAR FIN'!$A$1:$O$85,15,0))</f>
        <v>5.7</v>
      </c>
      <c r="W41" s="4">
        <f>IF(ISERROR(VLOOKUP($T$41,'TAR FIN'!$A$1:$O$85,15,0)),0,VLOOKUP($T$41,'TAR FIN'!$A$1:$O$85,15,0))</f>
        <v>0</v>
      </c>
      <c r="X41" s="4">
        <f>IF(ISERROR(VLOOKUP($U$41,'TAR FIN'!$A$1:$O$85,15,0)),0,VLOOKUP($U$41,'TAR FIN'!$A$1:$O$85,15,0))</f>
        <v>0</v>
      </c>
      <c r="Y41" s="4">
        <f ca="1">('TUSD BE'!$AM$9+'TUSD BF'!$AM$9+'TUSD CVA'!$AM$9)*1</f>
        <v>6.7679680991043316</v>
      </c>
      <c r="Z41" s="4"/>
      <c r="AA41" s="4"/>
      <c r="AB41" s="4">
        <f t="shared" si="0"/>
        <v>1425</v>
      </c>
      <c r="AC41" s="4">
        <f t="shared" si="6"/>
        <v>0</v>
      </c>
      <c r="AD41" s="4">
        <f t="shared" ca="1" si="2"/>
        <v>1691.9920247760829</v>
      </c>
      <c r="AE41" s="4">
        <f t="shared" si="7"/>
        <v>0</v>
      </c>
      <c r="AF41" s="3" t="s">
        <v>595</v>
      </c>
    </row>
    <row r="42" spans="1:32" ht="11.25" customHeight="1" x14ac:dyDescent="0.3">
      <c r="A42" s="3" t="s">
        <v>21</v>
      </c>
      <c r="B42" s="3" t="s">
        <v>34</v>
      </c>
      <c r="C42" s="3" t="s">
        <v>56</v>
      </c>
      <c r="D42" s="3" t="s">
        <v>25</v>
      </c>
      <c r="E42" s="3" t="s">
        <v>25</v>
      </c>
      <c r="F42" s="3" t="s">
        <v>25</v>
      </c>
      <c r="G42" s="3" t="s">
        <v>57</v>
      </c>
      <c r="H42" s="3" t="s">
        <v>25</v>
      </c>
      <c r="I42" s="6">
        <v>44682</v>
      </c>
      <c r="J42" s="4">
        <v>6000</v>
      </c>
      <c r="K42" s="4">
        <v>3000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3" t="s">
        <v>58</v>
      </c>
      <c r="R42" s="3">
        <v>659</v>
      </c>
      <c r="S42" s="3">
        <v>1</v>
      </c>
      <c r="T42" s="3">
        <v>0</v>
      </c>
      <c r="U42" s="3">
        <v>0</v>
      </c>
      <c r="V42" s="4">
        <f>IF(ISERROR(VLOOKUP($S$42,'TAR FIN'!$A$1:$O$85,15,0)),0,VLOOKUP($S$42,'TAR FIN'!$A$1:$O$85,15,0))</f>
        <v>5.7</v>
      </c>
      <c r="W42" s="4">
        <f>IF(ISERROR(VLOOKUP($T$42,'TAR FIN'!$A$1:$O$85,15,0)),0,VLOOKUP($T$42,'TAR FIN'!$A$1:$O$85,15,0))</f>
        <v>0</v>
      </c>
      <c r="X42" s="4">
        <f>IF(ISERROR(VLOOKUP($U$42,'TAR FIN'!$A$1:$O$85,15,0)),0,VLOOKUP($U$42,'TAR FIN'!$A$1:$O$85,15,0))</f>
        <v>0</v>
      </c>
      <c r="Y42" s="4">
        <f ca="1">('TUSD BE'!$AM$9+'TUSD BF'!$AM$9+'TUSD CVA'!$AM$9)*1</f>
        <v>6.7679680991043316</v>
      </c>
      <c r="Z42" s="4"/>
      <c r="AA42" s="4"/>
      <c r="AB42" s="4">
        <f t="shared" si="0"/>
        <v>17100</v>
      </c>
      <c r="AC42" s="4">
        <f t="shared" si="6"/>
        <v>0</v>
      </c>
      <c r="AD42" s="4">
        <f t="shared" ca="1" si="2"/>
        <v>20303.904297312994</v>
      </c>
      <c r="AE42" s="4">
        <f t="shared" si="7"/>
        <v>0</v>
      </c>
      <c r="AF42" s="3" t="s">
        <v>595</v>
      </c>
    </row>
    <row r="43" spans="1:32" ht="11.25" customHeight="1" x14ac:dyDescent="0.3">
      <c r="A43" s="3" t="s">
        <v>21</v>
      </c>
      <c r="B43" s="3" t="s">
        <v>34</v>
      </c>
      <c r="C43" s="3" t="s">
        <v>56</v>
      </c>
      <c r="D43" s="3" t="s">
        <v>25</v>
      </c>
      <c r="E43" s="3" t="s">
        <v>25</v>
      </c>
      <c r="F43" s="3" t="s">
        <v>25</v>
      </c>
      <c r="G43" s="3" t="s">
        <v>59</v>
      </c>
      <c r="H43" s="3" t="s">
        <v>25</v>
      </c>
      <c r="I43" s="6">
        <v>44682</v>
      </c>
      <c r="J43" s="4">
        <v>833</v>
      </c>
      <c r="K43" s="4">
        <v>416.5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3" t="s">
        <v>58</v>
      </c>
      <c r="R43" s="3">
        <v>29592</v>
      </c>
      <c r="S43" s="3">
        <v>1</v>
      </c>
      <c r="T43" s="3">
        <v>0</v>
      </c>
      <c r="U43" s="3">
        <v>0</v>
      </c>
      <c r="V43" s="4">
        <f>IF(ISERROR(VLOOKUP($S$43,'TAR FIN'!$A$1:$O$85,15,0)),0,VLOOKUP($S$43,'TAR FIN'!$A$1:$O$85,15,0))</f>
        <v>5.7</v>
      </c>
      <c r="W43" s="4">
        <f>IF(ISERROR(VLOOKUP($T$43,'TAR FIN'!$A$1:$O$85,15,0)),0,VLOOKUP($T$43,'TAR FIN'!$A$1:$O$85,15,0))</f>
        <v>0</v>
      </c>
      <c r="X43" s="4">
        <f>IF(ISERROR(VLOOKUP($U$43,'TAR FIN'!$A$1:$O$85,15,0)),0,VLOOKUP($U$43,'TAR FIN'!$A$1:$O$85,15,0))</f>
        <v>0</v>
      </c>
      <c r="Y43" s="4">
        <f ca="1">('TUSD BE'!$AM$9+'TUSD BF'!$AM$9+'TUSD CVA'!$AM$9)*1</f>
        <v>6.7679680991043316</v>
      </c>
      <c r="Z43" s="4"/>
      <c r="AA43" s="4"/>
      <c r="AB43" s="4">
        <f t="shared" si="0"/>
        <v>2374.0500000000002</v>
      </c>
      <c r="AC43" s="4">
        <f t="shared" si="6"/>
        <v>0</v>
      </c>
      <c r="AD43" s="4">
        <f t="shared" ca="1" si="2"/>
        <v>2818.8587132769539</v>
      </c>
      <c r="AE43" s="4">
        <f t="shared" si="7"/>
        <v>0</v>
      </c>
      <c r="AF43" s="3" t="s">
        <v>595</v>
      </c>
    </row>
    <row r="44" spans="1:32" ht="11.25" customHeight="1" x14ac:dyDescent="0.3">
      <c r="A44" s="3" t="s">
        <v>21</v>
      </c>
      <c r="B44" s="3" t="s">
        <v>34</v>
      </c>
      <c r="C44" s="3" t="s">
        <v>56</v>
      </c>
      <c r="D44" s="3" t="s">
        <v>25</v>
      </c>
      <c r="E44" s="3" t="s">
        <v>25</v>
      </c>
      <c r="F44" s="3" t="s">
        <v>25</v>
      </c>
      <c r="G44" s="3" t="s">
        <v>60</v>
      </c>
      <c r="H44" s="3" t="s">
        <v>25</v>
      </c>
      <c r="I44" s="6">
        <v>44682</v>
      </c>
      <c r="J44" s="4">
        <v>1000</v>
      </c>
      <c r="K44" s="4">
        <v>500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3" t="s">
        <v>58</v>
      </c>
      <c r="R44" s="3">
        <v>30368</v>
      </c>
      <c r="S44" s="3">
        <v>1</v>
      </c>
      <c r="T44" s="3">
        <v>0</v>
      </c>
      <c r="U44" s="3">
        <v>0</v>
      </c>
      <c r="V44" s="4">
        <f>IF(ISERROR(VLOOKUP($S$44,'TAR FIN'!$A$1:$O$85,15,0)),0,VLOOKUP($S$44,'TAR FIN'!$A$1:$O$85,15,0))</f>
        <v>5.7</v>
      </c>
      <c r="W44" s="4">
        <f>IF(ISERROR(VLOOKUP($T$44,'TAR FIN'!$A$1:$O$85,15,0)),0,VLOOKUP($T$44,'TAR FIN'!$A$1:$O$85,15,0))</f>
        <v>0</v>
      </c>
      <c r="X44" s="4">
        <f>IF(ISERROR(VLOOKUP($U$44,'TAR FIN'!$A$1:$O$85,15,0)),0,VLOOKUP($U$44,'TAR FIN'!$A$1:$O$85,15,0))</f>
        <v>0</v>
      </c>
      <c r="Y44" s="4">
        <f ca="1">('TUSD BE'!$AM$9+'TUSD BF'!$AM$9+'TUSD CVA'!$AM$9)*1</f>
        <v>6.7679680991043316</v>
      </c>
      <c r="Z44" s="4"/>
      <c r="AA44" s="4"/>
      <c r="AB44" s="4">
        <f t="shared" si="0"/>
        <v>2850</v>
      </c>
      <c r="AC44" s="4">
        <f t="shared" si="6"/>
        <v>0</v>
      </c>
      <c r="AD44" s="4">
        <f t="shared" ca="1" si="2"/>
        <v>3383.9840495521657</v>
      </c>
      <c r="AE44" s="4">
        <f t="shared" si="7"/>
        <v>0</v>
      </c>
      <c r="AF44" s="3" t="s">
        <v>595</v>
      </c>
    </row>
    <row r="45" spans="1:32" ht="11.25" customHeight="1" x14ac:dyDescent="0.3">
      <c r="A45" s="3" t="s">
        <v>21</v>
      </c>
      <c r="B45" s="3" t="s">
        <v>34</v>
      </c>
      <c r="C45" s="3" t="s">
        <v>56</v>
      </c>
      <c r="D45" s="3" t="s">
        <v>25</v>
      </c>
      <c r="E45" s="3" t="s">
        <v>25</v>
      </c>
      <c r="F45" s="3" t="s">
        <v>25</v>
      </c>
      <c r="G45" s="3" t="s">
        <v>61</v>
      </c>
      <c r="H45" s="3" t="s">
        <v>25</v>
      </c>
      <c r="I45" s="6">
        <v>44682</v>
      </c>
      <c r="J45" s="4">
        <v>3130</v>
      </c>
      <c r="K45" s="4">
        <v>1565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3" t="s">
        <v>58</v>
      </c>
      <c r="R45" s="3">
        <v>30494</v>
      </c>
      <c r="S45" s="3">
        <v>1</v>
      </c>
      <c r="T45" s="3">
        <v>0</v>
      </c>
      <c r="U45" s="3">
        <v>0</v>
      </c>
      <c r="V45" s="4">
        <f>IF(ISERROR(VLOOKUP($S$45,'TAR FIN'!$A$1:$O$85,15,0)),0,VLOOKUP($S$45,'TAR FIN'!$A$1:$O$85,15,0))</f>
        <v>5.7</v>
      </c>
      <c r="W45" s="4">
        <f>IF(ISERROR(VLOOKUP($T$45,'TAR FIN'!$A$1:$O$85,15,0)),0,VLOOKUP($T$45,'TAR FIN'!$A$1:$O$85,15,0))</f>
        <v>0</v>
      </c>
      <c r="X45" s="4">
        <f>IF(ISERROR(VLOOKUP($U$45,'TAR FIN'!$A$1:$O$85,15,0)),0,VLOOKUP($U$45,'TAR FIN'!$A$1:$O$85,15,0))</f>
        <v>0</v>
      </c>
      <c r="Y45" s="4">
        <f ca="1">('TUSD BE'!$AM$9+'TUSD BF'!$AM$9+'TUSD CVA'!$AM$9)*1</f>
        <v>6.7679680991043316</v>
      </c>
      <c r="Z45" s="4"/>
      <c r="AA45" s="4"/>
      <c r="AB45" s="4">
        <f t="shared" si="0"/>
        <v>8920.5</v>
      </c>
      <c r="AC45" s="4">
        <f t="shared" si="6"/>
        <v>0</v>
      </c>
      <c r="AD45" s="4">
        <f t="shared" ca="1" si="2"/>
        <v>10591.870075098279</v>
      </c>
      <c r="AE45" s="4">
        <f t="shared" si="7"/>
        <v>0</v>
      </c>
      <c r="AF45" s="3" t="s">
        <v>595</v>
      </c>
    </row>
    <row r="46" spans="1:32" ht="11.25" customHeight="1" x14ac:dyDescent="0.3">
      <c r="A46" s="3" t="s">
        <v>21</v>
      </c>
      <c r="B46" s="3" t="s">
        <v>34</v>
      </c>
      <c r="C46" s="3" t="s">
        <v>56</v>
      </c>
      <c r="D46" s="3" t="s">
        <v>25</v>
      </c>
      <c r="E46" s="3" t="s">
        <v>25</v>
      </c>
      <c r="F46" s="3" t="s">
        <v>25</v>
      </c>
      <c r="G46" s="3" t="s">
        <v>62</v>
      </c>
      <c r="H46" s="3" t="s">
        <v>25</v>
      </c>
      <c r="I46" s="6">
        <v>44682</v>
      </c>
      <c r="J46" s="4">
        <v>500</v>
      </c>
      <c r="K46" s="4">
        <v>250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3" t="s">
        <v>58</v>
      </c>
      <c r="R46" s="3">
        <v>27182</v>
      </c>
      <c r="S46" s="3">
        <v>1</v>
      </c>
      <c r="T46" s="3">
        <v>0</v>
      </c>
      <c r="U46" s="3">
        <v>0</v>
      </c>
      <c r="V46" s="4">
        <f>IF(ISERROR(VLOOKUP($S$46,'TAR FIN'!$A$1:$O$85,15,0)),0,VLOOKUP($S$46,'TAR FIN'!$A$1:$O$85,15,0))</f>
        <v>5.7</v>
      </c>
      <c r="W46" s="4">
        <f>IF(ISERROR(VLOOKUP($T$46,'TAR FIN'!$A$1:$O$85,15,0)),0,VLOOKUP($T$46,'TAR FIN'!$A$1:$O$85,15,0))</f>
        <v>0</v>
      </c>
      <c r="X46" s="4">
        <f>IF(ISERROR(VLOOKUP($U$46,'TAR FIN'!$A$1:$O$85,15,0)),0,VLOOKUP($U$46,'TAR FIN'!$A$1:$O$85,15,0))</f>
        <v>0</v>
      </c>
      <c r="Y46" s="4">
        <f ca="1">('TUSD BE'!$AM$9+'TUSD BF'!$AM$9+'TUSD CVA'!$AM$9)*1</f>
        <v>6.7679680991043316</v>
      </c>
      <c r="Z46" s="4"/>
      <c r="AA46" s="4"/>
      <c r="AB46" s="4">
        <f t="shared" si="0"/>
        <v>1425</v>
      </c>
      <c r="AC46" s="4">
        <f t="shared" si="6"/>
        <v>0</v>
      </c>
      <c r="AD46" s="4">
        <f t="shared" ca="1" si="2"/>
        <v>1691.9920247760829</v>
      </c>
      <c r="AE46" s="4">
        <f t="shared" si="7"/>
        <v>0</v>
      </c>
      <c r="AF46" s="3" t="s">
        <v>595</v>
      </c>
    </row>
    <row r="47" spans="1:32" ht="11.25" customHeight="1" x14ac:dyDescent="0.3">
      <c r="A47" s="3" t="s">
        <v>21</v>
      </c>
      <c r="B47" s="3" t="s">
        <v>34</v>
      </c>
      <c r="C47" s="3" t="s">
        <v>56</v>
      </c>
      <c r="D47" s="3" t="s">
        <v>25</v>
      </c>
      <c r="E47" s="3" t="s">
        <v>25</v>
      </c>
      <c r="F47" s="3" t="s">
        <v>25</v>
      </c>
      <c r="G47" s="3" t="s">
        <v>57</v>
      </c>
      <c r="H47" s="3" t="s">
        <v>25</v>
      </c>
      <c r="I47" s="6">
        <v>44713</v>
      </c>
      <c r="J47" s="4">
        <v>6000</v>
      </c>
      <c r="K47" s="4">
        <v>3000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3" t="s">
        <v>58</v>
      </c>
      <c r="R47" s="3">
        <v>659</v>
      </c>
      <c r="S47" s="3">
        <v>1</v>
      </c>
      <c r="T47" s="3">
        <v>0</v>
      </c>
      <c r="U47" s="3">
        <v>0</v>
      </c>
      <c r="V47" s="4">
        <f>IF(ISERROR(VLOOKUP($S$47,'TAR FIN'!$A$1:$O$85,15,0)),0,VLOOKUP($S$47,'TAR FIN'!$A$1:$O$85,15,0))</f>
        <v>5.7</v>
      </c>
      <c r="W47" s="4">
        <f>IF(ISERROR(VLOOKUP($T$47,'TAR FIN'!$A$1:$O$85,15,0)),0,VLOOKUP($T$47,'TAR FIN'!$A$1:$O$85,15,0))</f>
        <v>0</v>
      </c>
      <c r="X47" s="4">
        <f>IF(ISERROR(VLOOKUP($U$47,'TAR FIN'!$A$1:$O$85,15,0)),0,VLOOKUP($U$47,'TAR FIN'!$A$1:$O$85,15,0))</f>
        <v>0</v>
      </c>
      <c r="Y47" s="4">
        <f ca="1">('TUSD BE'!$AM$9+'TUSD BF'!$AM$9+'TUSD CVA'!$AM$9)*1</f>
        <v>6.7679680991043316</v>
      </c>
      <c r="Z47" s="4"/>
      <c r="AA47" s="4"/>
      <c r="AB47" s="4">
        <f t="shared" si="0"/>
        <v>17100</v>
      </c>
      <c r="AC47" s="4">
        <f t="shared" si="6"/>
        <v>0</v>
      </c>
      <c r="AD47" s="4">
        <f t="shared" ca="1" si="2"/>
        <v>20303.904297312994</v>
      </c>
      <c r="AE47" s="4">
        <f t="shared" si="7"/>
        <v>0</v>
      </c>
      <c r="AF47" s="3" t="s">
        <v>595</v>
      </c>
    </row>
    <row r="48" spans="1:32" ht="11.25" customHeight="1" x14ac:dyDescent="0.3">
      <c r="A48" s="3" t="s">
        <v>21</v>
      </c>
      <c r="B48" s="3" t="s">
        <v>34</v>
      </c>
      <c r="C48" s="3" t="s">
        <v>56</v>
      </c>
      <c r="D48" s="3" t="s">
        <v>25</v>
      </c>
      <c r="E48" s="3" t="s">
        <v>25</v>
      </c>
      <c r="F48" s="3" t="s">
        <v>25</v>
      </c>
      <c r="G48" s="3" t="s">
        <v>59</v>
      </c>
      <c r="H48" s="3" t="s">
        <v>25</v>
      </c>
      <c r="I48" s="6">
        <v>44713</v>
      </c>
      <c r="J48" s="4">
        <v>833</v>
      </c>
      <c r="K48" s="4">
        <v>416.5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3" t="s">
        <v>58</v>
      </c>
      <c r="R48" s="3">
        <v>29592</v>
      </c>
      <c r="S48" s="3">
        <v>1</v>
      </c>
      <c r="T48" s="3">
        <v>0</v>
      </c>
      <c r="U48" s="3">
        <v>0</v>
      </c>
      <c r="V48" s="4">
        <f>IF(ISERROR(VLOOKUP($S$48,'TAR FIN'!$A$1:$O$85,15,0)),0,VLOOKUP($S$48,'TAR FIN'!$A$1:$O$85,15,0))</f>
        <v>5.7</v>
      </c>
      <c r="W48" s="4">
        <f>IF(ISERROR(VLOOKUP($T$48,'TAR FIN'!$A$1:$O$85,15,0)),0,VLOOKUP($T$48,'TAR FIN'!$A$1:$O$85,15,0))</f>
        <v>0</v>
      </c>
      <c r="X48" s="4">
        <f>IF(ISERROR(VLOOKUP($U$48,'TAR FIN'!$A$1:$O$85,15,0)),0,VLOOKUP($U$48,'TAR FIN'!$A$1:$O$85,15,0))</f>
        <v>0</v>
      </c>
      <c r="Y48" s="4">
        <f ca="1">('TUSD BE'!$AM$9+'TUSD BF'!$AM$9+'TUSD CVA'!$AM$9)*1</f>
        <v>6.7679680991043316</v>
      </c>
      <c r="Z48" s="4"/>
      <c r="AA48" s="4"/>
      <c r="AB48" s="4">
        <f t="shared" si="0"/>
        <v>2374.0500000000002</v>
      </c>
      <c r="AC48" s="4">
        <f t="shared" si="6"/>
        <v>0</v>
      </c>
      <c r="AD48" s="4">
        <f t="shared" ca="1" si="2"/>
        <v>2818.8587132769539</v>
      </c>
      <c r="AE48" s="4">
        <f t="shared" si="7"/>
        <v>0</v>
      </c>
      <c r="AF48" s="3" t="s">
        <v>595</v>
      </c>
    </row>
    <row r="49" spans="1:32" ht="11.25" customHeight="1" x14ac:dyDescent="0.3">
      <c r="A49" s="3" t="s">
        <v>21</v>
      </c>
      <c r="B49" s="3" t="s">
        <v>34</v>
      </c>
      <c r="C49" s="3" t="s">
        <v>56</v>
      </c>
      <c r="D49" s="3" t="s">
        <v>25</v>
      </c>
      <c r="E49" s="3" t="s">
        <v>25</v>
      </c>
      <c r="F49" s="3" t="s">
        <v>25</v>
      </c>
      <c r="G49" s="3" t="s">
        <v>60</v>
      </c>
      <c r="H49" s="3" t="s">
        <v>25</v>
      </c>
      <c r="I49" s="6">
        <v>44713</v>
      </c>
      <c r="J49" s="4">
        <v>1000</v>
      </c>
      <c r="K49" s="4">
        <v>500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3" t="s">
        <v>58</v>
      </c>
      <c r="R49" s="3">
        <v>30368</v>
      </c>
      <c r="S49" s="3">
        <v>1</v>
      </c>
      <c r="T49" s="3">
        <v>0</v>
      </c>
      <c r="U49" s="3">
        <v>0</v>
      </c>
      <c r="V49" s="4">
        <f>IF(ISERROR(VLOOKUP($S$49,'TAR FIN'!$A$1:$O$85,15,0)),0,VLOOKUP($S$49,'TAR FIN'!$A$1:$O$85,15,0))</f>
        <v>5.7</v>
      </c>
      <c r="W49" s="4">
        <f>IF(ISERROR(VLOOKUP($T$49,'TAR FIN'!$A$1:$O$85,15,0)),0,VLOOKUP($T$49,'TAR FIN'!$A$1:$O$85,15,0))</f>
        <v>0</v>
      </c>
      <c r="X49" s="4">
        <f>IF(ISERROR(VLOOKUP($U$49,'TAR FIN'!$A$1:$O$85,15,0)),0,VLOOKUP($U$49,'TAR FIN'!$A$1:$O$85,15,0))</f>
        <v>0</v>
      </c>
      <c r="Y49" s="4">
        <f ca="1">('TUSD BE'!$AM$9+'TUSD BF'!$AM$9+'TUSD CVA'!$AM$9)*1</f>
        <v>6.7679680991043316</v>
      </c>
      <c r="Z49" s="4"/>
      <c r="AA49" s="4"/>
      <c r="AB49" s="4">
        <f t="shared" si="0"/>
        <v>2850</v>
      </c>
      <c r="AC49" s="4">
        <f t="shared" si="6"/>
        <v>0</v>
      </c>
      <c r="AD49" s="4">
        <f t="shared" ca="1" si="2"/>
        <v>3383.9840495521657</v>
      </c>
      <c r="AE49" s="4">
        <f t="shared" si="7"/>
        <v>0</v>
      </c>
      <c r="AF49" s="3" t="s">
        <v>595</v>
      </c>
    </row>
    <row r="50" spans="1:32" ht="11.25" customHeight="1" x14ac:dyDescent="0.3">
      <c r="A50" s="3" t="s">
        <v>21</v>
      </c>
      <c r="B50" s="3" t="s">
        <v>34</v>
      </c>
      <c r="C50" s="3" t="s">
        <v>56</v>
      </c>
      <c r="D50" s="3" t="s">
        <v>25</v>
      </c>
      <c r="E50" s="3" t="s">
        <v>25</v>
      </c>
      <c r="F50" s="3" t="s">
        <v>25</v>
      </c>
      <c r="G50" s="3" t="s">
        <v>61</v>
      </c>
      <c r="H50" s="3" t="s">
        <v>25</v>
      </c>
      <c r="I50" s="6">
        <v>44713</v>
      </c>
      <c r="J50" s="4">
        <v>3130</v>
      </c>
      <c r="K50" s="4">
        <v>1565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3" t="s">
        <v>58</v>
      </c>
      <c r="R50" s="3">
        <v>30494</v>
      </c>
      <c r="S50" s="3">
        <v>1</v>
      </c>
      <c r="T50" s="3">
        <v>0</v>
      </c>
      <c r="U50" s="3">
        <v>0</v>
      </c>
      <c r="V50" s="4">
        <f>IF(ISERROR(VLOOKUP($S$50,'TAR FIN'!$A$1:$O$85,15,0)),0,VLOOKUP($S$50,'TAR FIN'!$A$1:$O$85,15,0))</f>
        <v>5.7</v>
      </c>
      <c r="W50" s="4">
        <f>IF(ISERROR(VLOOKUP($T$50,'TAR FIN'!$A$1:$O$85,15,0)),0,VLOOKUP($T$50,'TAR FIN'!$A$1:$O$85,15,0))</f>
        <v>0</v>
      </c>
      <c r="X50" s="4">
        <f>IF(ISERROR(VLOOKUP($U$50,'TAR FIN'!$A$1:$O$85,15,0)),0,VLOOKUP($U$50,'TAR FIN'!$A$1:$O$85,15,0))</f>
        <v>0</v>
      </c>
      <c r="Y50" s="4">
        <f ca="1">('TUSD BE'!$AM$9+'TUSD BF'!$AM$9+'TUSD CVA'!$AM$9)*1</f>
        <v>6.7679680991043316</v>
      </c>
      <c r="Z50" s="4"/>
      <c r="AA50" s="4"/>
      <c r="AB50" s="4">
        <f t="shared" si="0"/>
        <v>8920.5</v>
      </c>
      <c r="AC50" s="4">
        <f t="shared" si="6"/>
        <v>0</v>
      </c>
      <c r="AD50" s="4">
        <f t="shared" ca="1" si="2"/>
        <v>10591.870075098279</v>
      </c>
      <c r="AE50" s="4">
        <f t="shared" si="7"/>
        <v>0</v>
      </c>
      <c r="AF50" s="3" t="s">
        <v>595</v>
      </c>
    </row>
    <row r="51" spans="1:32" ht="11.25" customHeight="1" x14ac:dyDescent="0.3">
      <c r="A51" s="3" t="s">
        <v>21</v>
      </c>
      <c r="B51" s="3" t="s">
        <v>34</v>
      </c>
      <c r="C51" s="3" t="s">
        <v>56</v>
      </c>
      <c r="D51" s="3" t="s">
        <v>25</v>
      </c>
      <c r="E51" s="3" t="s">
        <v>25</v>
      </c>
      <c r="F51" s="3" t="s">
        <v>25</v>
      </c>
      <c r="G51" s="3" t="s">
        <v>62</v>
      </c>
      <c r="H51" s="3" t="s">
        <v>25</v>
      </c>
      <c r="I51" s="6">
        <v>44713</v>
      </c>
      <c r="J51" s="4">
        <v>500</v>
      </c>
      <c r="K51" s="4">
        <v>250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3" t="s">
        <v>58</v>
      </c>
      <c r="R51" s="3">
        <v>27182</v>
      </c>
      <c r="S51" s="3">
        <v>1</v>
      </c>
      <c r="T51" s="3">
        <v>0</v>
      </c>
      <c r="U51" s="3">
        <v>0</v>
      </c>
      <c r="V51" s="4">
        <f>IF(ISERROR(VLOOKUP($S$51,'TAR FIN'!$A$1:$O$85,15,0)),0,VLOOKUP($S$51,'TAR FIN'!$A$1:$O$85,15,0))</f>
        <v>5.7</v>
      </c>
      <c r="W51" s="4">
        <f>IF(ISERROR(VLOOKUP($T$51,'TAR FIN'!$A$1:$O$85,15,0)),0,VLOOKUP($T$51,'TAR FIN'!$A$1:$O$85,15,0))</f>
        <v>0</v>
      </c>
      <c r="X51" s="4">
        <f>IF(ISERROR(VLOOKUP($U$51,'TAR FIN'!$A$1:$O$85,15,0)),0,VLOOKUP($U$51,'TAR FIN'!$A$1:$O$85,15,0))</f>
        <v>0</v>
      </c>
      <c r="Y51" s="4">
        <f ca="1">('TUSD BE'!$AM$9+'TUSD BF'!$AM$9+'TUSD CVA'!$AM$9)*1</f>
        <v>6.7679680991043316</v>
      </c>
      <c r="Z51" s="4"/>
      <c r="AA51" s="4"/>
      <c r="AB51" s="4">
        <f t="shared" si="0"/>
        <v>1425</v>
      </c>
      <c r="AC51" s="4">
        <f t="shared" si="6"/>
        <v>0</v>
      </c>
      <c r="AD51" s="4">
        <f t="shared" ca="1" si="2"/>
        <v>1691.9920247760829</v>
      </c>
      <c r="AE51" s="4">
        <f t="shared" si="7"/>
        <v>0</v>
      </c>
      <c r="AF51" s="3" t="s">
        <v>595</v>
      </c>
    </row>
    <row r="52" spans="1:32" ht="11.25" customHeight="1" x14ac:dyDescent="0.3">
      <c r="A52" s="3" t="s">
        <v>21</v>
      </c>
      <c r="B52" s="3" t="s">
        <v>34</v>
      </c>
      <c r="C52" s="3" t="s">
        <v>56</v>
      </c>
      <c r="D52" s="3" t="s">
        <v>25</v>
      </c>
      <c r="E52" s="3" t="s">
        <v>25</v>
      </c>
      <c r="F52" s="3" t="s">
        <v>25</v>
      </c>
      <c r="G52" s="3" t="s">
        <v>57</v>
      </c>
      <c r="H52" s="3" t="s">
        <v>25</v>
      </c>
      <c r="I52" s="6">
        <v>44743</v>
      </c>
      <c r="J52" s="4">
        <v>6000</v>
      </c>
      <c r="K52" s="4">
        <v>3000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3" t="s">
        <v>58</v>
      </c>
      <c r="R52" s="3">
        <v>659</v>
      </c>
      <c r="S52" s="3">
        <v>1</v>
      </c>
      <c r="T52" s="3">
        <v>0</v>
      </c>
      <c r="U52" s="3">
        <v>0</v>
      </c>
      <c r="V52" s="4">
        <f>IF(ISERROR(VLOOKUP($S$52,'TAR FIN'!$A$1:$O$85,15,0)),0,VLOOKUP($S$52,'TAR FIN'!$A$1:$O$85,15,0))</f>
        <v>5.7</v>
      </c>
      <c r="W52" s="4">
        <f>IF(ISERROR(VLOOKUP($T$52,'TAR FIN'!$A$1:$O$85,15,0)),0,VLOOKUP($T$52,'TAR FIN'!$A$1:$O$85,15,0))</f>
        <v>0</v>
      </c>
      <c r="X52" s="4">
        <f>IF(ISERROR(VLOOKUP($U$52,'TAR FIN'!$A$1:$O$85,15,0)),0,VLOOKUP($U$52,'TAR FIN'!$A$1:$O$85,15,0))</f>
        <v>0</v>
      </c>
      <c r="Y52" s="4">
        <f ca="1">('TUSD BE'!$AM$9+'TUSD BF'!$AM$9+'TUSD CVA'!$AM$9)*1</f>
        <v>6.7679680991043316</v>
      </c>
      <c r="Z52" s="4"/>
      <c r="AA52" s="4"/>
      <c r="AB52" s="4">
        <f t="shared" si="0"/>
        <v>17100</v>
      </c>
      <c r="AC52" s="4">
        <f t="shared" si="6"/>
        <v>0</v>
      </c>
      <c r="AD52" s="4">
        <f t="shared" ca="1" si="2"/>
        <v>20303.904297312994</v>
      </c>
      <c r="AE52" s="4">
        <f t="shared" si="7"/>
        <v>0</v>
      </c>
      <c r="AF52" s="3" t="s">
        <v>595</v>
      </c>
    </row>
    <row r="53" spans="1:32" ht="11.25" customHeight="1" x14ac:dyDescent="0.3">
      <c r="A53" s="3" t="s">
        <v>21</v>
      </c>
      <c r="B53" s="3" t="s">
        <v>34</v>
      </c>
      <c r="C53" s="3" t="s">
        <v>56</v>
      </c>
      <c r="D53" s="3" t="s">
        <v>25</v>
      </c>
      <c r="E53" s="3" t="s">
        <v>25</v>
      </c>
      <c r="F53" s="3" t="s">
        <v>25</v>
      </c>
      <c r="G53" s="3" t="s">
        <v>59</v>
      </c>
      <c r="H53" s="3" t="s">
        <v>25</v>
      </c>
      <c r="I53" s="6">
        <v>44743</v>
      </c>
      <c r="J53" s="4">
        <v>833</v>
      </c>
      <c r="K53" s="4">
        <v>416.5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3" t="s">
        <v>58</v>
      </c>
      <c r="R53" s="3">
        <v>29592</v>
      </c>
      <c r="S53" s="3">
        <v>1</v>
      </c>
      <c r="T53" s="3">
        <v>0</v>
      </c>
      <c r="U53" s="3">
        <v>0</v>
      </c>
      <c r="V53" s="4">
        <f>IF(ISERROR(VLOOKUP($S$53,'TAR FIN'!$A$1:$O$85,15,0)),0,VLOOKUP($S$53,'TAR FIN'!$A$1:$O$85,15,0))</f>
        <v>5.7</v>
      </c>
      <c r="W53" s="4">
        <f>IF(ISERROR(VLOOKUP($T$53,'TAR FIN'!$A$1:$O$85,15,0)),0,VLOOKUP($T$53,'TAR FIN'!$A$1:$O$85,15,0))</f>
        <v>0</v>
      </c>
      <c r="X53" s="4">
        <f>IF(ISERROR(VLOOKUP($U$53,'TAR FIN'!$A$1:$O$85,15,0)),0,VLOOKUP($U$53,'TAR FIN'!$A$1:$O$85,15,0))</f>
        <v>0</v>
      </c>
      <c r="Y53" s="4">
        <f ca="1">('TUSD BE'!$AM$9+'TUSD BF'!$AM$9+'TUSD CVA'!$AM$9)*1</f>
        <v>6.7679680991043316</v>
      </c>
      <c r="Z53" s="4"/>
      <c r="AA53" s="4"/>
      <c r="AB53" s="4">
        <f t="shared" si="0"/>
        <v>2374.0500000000002</v>
      </c>
      <c r="AC53" s="4">
        <f t="shared" si="6"/>
        <v>0</v>
      </c>
      <c r="AD53" s="4">
        <f t="shared" ca="1" si="2"/>
        <v>2818.8587132769539</v>
      </c>
      <c r="AE53" s="4">
        <f t="shared" si="7"/>
        <v>0</v>
      </c>
      <c r="AF53" s="3" t="s">
        <v>595</v>
      </c>
    </row>
    <row r="54" spans="1:32" ht="11.25" customHeight="1" x14ac:dyDescent="0.3">
      <c r="A54" s="3" t="s">
        <v>21</v>
      </c>
      <c r="B54" s="3" t="s">
        <v>34</v>
      </c>
      <c r="C54" s="3" t="s">
        <v>56</v>
      </c>
      <c r="D54" s="3" t="s">
        <v>25</v>
      </c>
      <c r="E54" s="3" t="s">
        <v>25</v>
      </c>
      <c r="F54" s="3" t="s">
        <v>25</v>
      </c>
      <c r="G54" s="3" t="s">
        <v>60</v>
      </c>
      <c r="H54" s="3" t="s">
        <v>25</v>
      </c>
      <c r="I54" s="6">
        <v>44743</v>
      </c>
      <c r="J54" s="4">
        <v>1000</v>
      </c>
      <c r="K54" s="4">
        <v>500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3" t="s">
        <v>58</v>
      </c>
      <c r="R54" s="3">
        <v>30368</v>
      </c>
      <c r="S54" s="3">
        <v>1</v>
      </c>
      <c r="T54" s="3">
        <v>0</v>
      </c>
      <c r="U54" s="3">
        <v>0</v>
      </c>
      <c r="V54" s="4">
        <f>IF(ISERROR(VLOOKUP($S$54,'TAR FIN'!$A$1:$O$85,15,0)),0,VLOOKUP($S$54,'TAR FIN'!$A$1:$O$85,15,0))</f>
        <v>5.7</v>
      </c>
      <c r="W54" s="4">
        <f>IF(ISERROR(VLOOKUP($T$54,'TAR FIN'!$A$1:$O$85,15,0)),0,VLOOKUP($T$54,'TAR FIN'!$A$1:$O$85,15,0))</f>
        <v>0</v>
      </c>
      <c r="X54" s="4">
        <f>IF(ISERROR(VLOOKUP($U$54,'TAR FIN'!$A$1:$O$85,15,0)),0,VLOOKUP($U$54,'TAR FIN'!$A$1:$O$85,15,0))</f>
        <v>0</v>
      </c>
      <c r="Y54" s="4">
        <f ca="1">('TUSD BE'!$AM$9+'TUSD BF'!$AM$9+'TUSD CVA'!$AM$9)*1</f>
        <v>6.7679680991043316</v>
      </c>
      <c r="Z54" s="4"/>
      <c r="AA54" s="4"/>
      <c r="AB54" s="4">
        <f t="shared" si="0"/>
        <v>2850</v>
      </c>
      <c r="AC54" s="4">
        <f t="shared" si="6"/>
        <v>0</v>
      </c>
      <c r="AD54" s="4">
        <f t="shared" ca="1" si="2"/>
        <v>3383.9840495521657</v>
      </c>
      <c r="AE54" s="4">
        <f t="shared" si="7"/>
        <v>0</v>
      </c>
      <c r="AF54" s="3" t="s">
        <v>595</v>
      </c>
    </row>
    <row r="55" spans="1:32" ht="11.25" customHeight="1" x14ac:dyDescent="0.3">
      <c r="A55" s="3" t="s">
        <v>21</v>
      </c>
      <c r="B55" s="3" t="s">
        <v>34</v>
      </c>
      <c r="C55" s="3" t="s">
        <v>56</v>
      </c>
      <c r="D55" s="3" t="s">
        <v>25</v>
      </c>
      <c r="E55" s="3" t="s">
        <v>25</v>
      </c>
      <c r="F55" s="3" t="s">
        <v>25</v>
      </c>
      <c r="G55" s="3" t="s">
        <v>61</v>
      </c>
      <c r="H55" s="3" t="s">
        <v>25</v>
      </c>
      <c r="I55" s="6">
        <v>44743</v>
      </c>
      <c r="J55" s="4">
        <v>3130</v>
      </c>
      <c r="K55" s="4">
        <v>1565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3" t="s">
        <v>58</v>
      </c>
      <c r="R55" s="3">
        <v>30494</v>
      </c>
      <c r="S55" s="3">
        <v>1</v>
      </c>
      <c r="T55" s="3">
        <v>0</v>
      </c>
      <c r="U55" s="3">
        <v>0</v>
      </c>
      <c r="V55" s="4">
        <f>IF(ISERROR(VLOOKUP($S$55,'TAR FIN'!$A$1:$O$85,15,0)),0,VLOOKUP($S$55,'TAR FIN'!$A$1:$O$85,15,0))</f>
        <v>5.7</v>
      </c>
      <c r="W55" s="4">
        <f>IF(ISERROR(VLOOKUP($T$55,'TAR FIN'!$A$1:$O$85,15,0)),0,VLOOKUP($T$55,'TAR FIN'!$A$1:$O$85,15,0))</f>
        <v>0</v>
      </c>
      <c r="X55" s="4">
        <f>IF(ISERROR(VLOOKUP($U$55,'TAR FIN'!$A$1:$O$85,15,0)),0,VLOOKUP($U$55,'TAR FIN'!$A$1:$O$85,15,0))</f>
        <v>0</v>
      </c>
      <c r="Y55" s="4">
        <f ca="1">('TUSD BE'!$AM$9+'TUSD BF'!$AM$9+'TUSD CVA'!$AM$9)*1</f>
        <v>6.7679680991043316</v>
      </c>
      <c r="Z55" s="4"/>
      <c r="AA55" s="4"/>
      <c r="AB55" s="4">
        <f t="shared" si="0"/>
        <v>8920.5</v>
      </c>
      <c r="AC55" s="4">
        <f t="shared" si="6"/>
        <v>0</v>
      </c>
      <c r="AD55" s="4">
        <f t="shared" ca="1" si="2"/>
        <v>10591.870075098279</v>
      </c>
      <c r="AE55" s="4">
        <f t="shared" si="7"/>
        <v>0</v>
      </c>
      <c r="AF55" s="3" t="s">
        <v>595</v>
      </c>
    </row>
    <row r="56" spans="1:32" ht="11.25" customHeight="1" x14ac:dyDescent="0.3">
      <c r="A56" s="3" t="s">
        <v>21</v>
      </c>
      <c r="B56" s="3" t="s">
        <v>34</v>
      </c>
      <c r="C56" s="3" t="s">
        <v>56</v>
      </c>
      <c r="D56" s="3" t="s">
        <v>25</v>
      </c>
      <c r="E56" s="3" t="s">
        <v>25</v>
      </c>
      <c r="F56" s="3" t="s">
        <v>25</v>
      </c>
      <c r="G56" s="3" t="s">
        <v>62</v>
      </c>
      <c r="H56" s="3" t="s">
        <v>25</v>
      </c>
      <c r="I56" s="6">
        <v>44743</v>
      </c>
      <c r="J56" s="4">
        <v>500</v>
      </c>
      <c r="K56" s="4">
        <v>250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3" t="s">
        <v>58</v>
      </c>
      <c r="R56" s="3">
        <v>27182</v>
      </c>
      <c r="S56" s="3">
        <v>1</v>
      </c>
      <c r="T56" s="3">
        <v>0</v>
      </c>
      <c r="U56" s="3">
        <v>0</v>
      </c>
      <c r="V56" s="4">
        <f>IF(ISERROR(VLOOKUP($S$56,'TAR FIN'!$A$1:$O$85,15,0)),0,VLOOKUP($S$56,'TAR FIN'!$A$1:$O$85,15,0))</f>
        <v>5.7</v>
      </c>
      <c r="W56" s="4">
        <f>IF(ISERROR(VLOOKUP($T$56,'TAR FIN'!$A$1:$O$85,15,0)),0,VLOOKUP($T$56,'TAR FIN'!$A$1:$O$85,15,0))</f>
        <v>0</v>
      </c>
      <c r="X56" s="4">
        <f>IF(ISERROR(VLOOKUP($U$56,'TAR FIN'!$A$1:$O$85,15,0)),0,VLOOKUP($U$56,'TAR FIN'!$A$1:$O$85,15,0))</f>
        <v>0</v>
      </c>
      <c r="Y56" s="4">
        <f ca="1">('TUSD BE'!$AM$9+'TUSD BF'!$AM$9+'TUSD CVA'!$AM$9)*1</f>
        <v>6.7679680991043316</v>
      </c>
      <c r="Z56" s="4"/>
      <c r="AA56" s="4"/>
      <c r="AB56" s="4">
        <f t="shared" si="0"/>
        <v>1425</v>
      </c>
      <c r="AC56" s="4">
        <f t="shared" si="6"/>
        <v>0</v>
      </c>
      <c r="AD56" s="4">
        <f t="shared" ca="1" si="2"/>
        <v>1691.9920247760829</v>
      </c>
      <c r="AE56" s="4">
        <f t="shared" si="7"/>
        <v>0</v>
      </c>
      <c r="AF56" s="3" t="s">
        <v>595</v>
      </c>
    </row>
    <row r="57" spans="1:32" ht="11.25" customHeight="1" x14ac:dyDescent="0.3">
      <c r="A57" s="3" t="s">
        <v>53</v>
      </c>
      <c r="B57" s="3" t="s">
        <v>34</v>
      </c>
      <c r="C57" s="3" t="s">
        <v>56</v>
      </c>
      <c r="D57" s="3" t="s">
        <v>25</v>
      </c>
      <c r="E57" s="3" t="s">
        <v>25</v>
      </c>
      <c r="F57" s="3" t="s">
        <v>25</v>
      </c>
      <c r="G57" s="3" t="s">
        <v>57</v>
      </c>
      <c r="H57" s="3" t="s">
        <v>25</v>
      </c>
      <c r="I57" s="6">
        <v>44774</v>
      </c>
      <c r="J57" s="4">
        <v>6000</v>
      </c>
      <c r="K57" s="4">
        <v>3000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3" t="s">
        <v>58</v>
      </c>
      <c r="R57" s="3">
        <v>659</v>
      </c>
      <c r="S57" s="3">
        <v>1</v>
      </c>
      <c r="T57" s="3">
        <v>0</v>
      </c>
      <c r="U57" s="3">
        <v>0</v>
      </c>
      <c r="V57" s="4">
        <f>IF(ISERROR(VLOOKUP($S$57,'TAR FIN'!$A$1:$O$85,15,0)),0,VLOOKUP($S$57,'TAR FIN'!$A$1:$O$85,15,0))</f>
        <v>5.7</v>
      </c>
      <c r="W57" s="4">
        <f>IF(ISERROR(VLOOKUP($T$57,'TAR FIN'!$A$1:$O$85,15,0)),0,VLOOKUP($T$57,'TAR FIN'!$A$1:$O$85,15,0))</f>
        <v>0</v>
      </c>
      <c r="X57" s="4">
        <f>IF(ISERROR(VLOOKUP($U$57,'TAR FIN'!$A$1:$O$85,15,0)),0,VLOOKUP($U$57,'TAR FIN'!$A$1:$O$85,15,0))</f>
        <v>0</v>
      </c>
      <c r="Y57" s="4">
        <f ca="1">('TUSD BE'!$AM$9+'TUSD BF'!$AM$9+'TUSD CVA'!$AM$9)*1</f>
        <v>6.7679680991043316</v>
      </c>
      <c r="Z57" s="4"/>
      <c r="AA57" s="4"/>
      <c r="AB57" s="4">
        <f t="shared" si="0"/>
        <v>17100</v>
      </c>
      <c r="AC57" s="4">
        <f t="shared" si="6"/>
        <v>0</v>
      </c>
      <c r="AD57" s="4">
        <f t="shared" ca="1" si="2"/>
        <v>20303.904297312994</v>
      </c>
      <c r="AE57" s="4">
        <f t="shared" si="7"/>
        <v>0</v>
      </c>
      <c r="AF57" s="3" t="s">
        <v>595</v>
      </c>
    </row>
    <row r="58" spans="1:32" ht="11.25" customHeight="1" x14ac:dyDescent="0.3">
      <c r="A58" s="3" t="s">
        <v>53</v>
      </c>
      <c r="B58" s="3" t="s">
        <v>34</v>
      </c>
      <c r="C58" s="3" t="s">
        <v>56</v>
      </c>
      <c r="D58" s="3" t="s">
        <v>25</v>
      </c>
      <c r="E58" s="3" t="s">
        <v>25</v>
      </c>
      <c r="F58" s="3" t="s">
        <v>25</v>
      </c>
      <c r="G58" s="3" t="s">
        <v>59</v>
      </c>
      <c r="H58" s="3" t="s">
        <v>25</v>
      </c>
      <c r="I58" s="6">
        <v>44774</v>
      </c>
      <c r="J58" s="4">
        <v>833</v>
      </c>
      <c r="K58" s="4">
        <v>416.5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3" t="s">
        <v>58</v>
      </c>
      <c r="R58" s="3">
        <v>29592</v>
      </c>
      <c r="S58" s="3">
        <v>1</v>
      </c>
      <c r="T58" s="3">
        <v>0</v>
      </c>
      <c r="U58" s="3">
        <v>0</v>
      </c>
      <c r="V58" s="4">
        <f>IF(ISERROR(VLOOKUP($S$58,'TAR FIN'!$A$1:$O$85,15,0)),0,VLOOKUP($S$58,'TAR FIN'!$A$1:$O$85,15,0))</f>
        <v>5.7</v>
      </c>
      <c r="W58" s="4">
        <f>IF(ISERROR(VLOOKUP($T$58,'TAR FIN'!$A$1:$O$85,15,0)),0,VLOOKUP($T$58,'TAR FIN'!$A$1:$O$85,15,0))</f>
        <v>0</v>
      </c>
      <c r="X58" s="4">
        <f>IF(ISERROR(VLOOKUP($U$58,'TAR FIN'!$A$1:$O$85,15,0)),0,VLOOKUP($U$58,'TAR FIN'!$A$1:$O$85,15,0))</f>
        <v>0</v>
      </c>
      <c r="Y58" s="4">
        <f ca="1">('TUSD BE'!$AM$9+'TUSD BF'!$AM$9+'TUSD CVA'!$AM$9)*1</f>
        <v>6.7679680991043316</v>
      </c>
      <c r="Z58" s="4"/>
      <c r="AA58" s="4"/>
      <c r="AB58" s="4">
        <f t="shared" si="0"/>
        <v>2374.0500000000002</v>
      </c>
      <c r="AC58" s="4">
        <f t="shared" si="6"/>
        <v>0</v>
      </c>
      <c r="AD58" s="4">
        <f t="shared" ca="1" si="2"/>
        <v>2818.8587132769539</v>
      </c>
      <c r="AE58" s="4">
        <f t="shared" si="7"/>
        <v>0</v>
      </c>
      <c r="AF58" s="3" t="s">
        <v>595</v>
      </c>
    </row>
    <row r="59" spans="1:32" ht="11.25" customHeight="1" x14ac:dyDescent="0.3">
      <c r="A59" s="3" t="s">
        <v>53</v>
      </c>
      <c r="B59" s="3" t="s">
        <v>34</v>
      </c>
      <c r="C59" s="3" t="s">
        <v>56</v>
      </c>
      <c r="D59" s="3" t="s">
        <v>25</v>
      </c>
      <c r="E59" s="3" t="s">
        <v>25</v>
      </c>
      <c r="F59" s="3" t="s">
        <v>25</v>
      </c>
      <c r="G59" s="3" t="s">
        <v>60</v>
      </c>
      <c r="H59" s="3" t="s">
        <v>25</v>
      </c>
      <c r="I59" s="6">
        <v>44774</v>
      </c>
      <c r="J59" s="4">
        <v>1000</v>
      </c>
      <c r="K59" s="4">
        <v>500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3" t="s">
        <v>58</v>
      </c>
      <c r="R59" s="3">
        <v>30368</v>
      </c>
      <c r="S59" s="3">
        <v>1</v>
      </c>
      <c r="T59" s="3">
        <v>0</v>
      </c>
      <c r="U59" s="3">
        <v>0</v>
      </c>
      <c r="V59" s="4">
        <f>IF(ISERROR(VLOOKUP($S$59,'TAR FIN'!$A$1:$O$85,15,0)),0,VLOOKUP($S$59,'TAR FIN'!$A$1:$O$85,15,0))</f>
        <v>5.7</v>
      </c>
      <c r="W59" s="4">
        <f>IF(ISERROR(VLOOKUP($T$59,'TAR FIN'!$A$1:$O$85,15,0)),0,VLOOKUP($T$59,'TAR FIN'!$A$1:$O$85,15,0))</f>
        <v>0</v>
      </c>
      <c r="X59" s="4">
        <f>IF(ISERROR(VLOOKUP($U$59,'TAR FIN'!$A$1:$O$85,15,0)),0,VLOOKUP($U$59,'TAR FIN'!$A$1:$O$85,15,0))</f>
        <v>0</v>
      </c>
      <c r="Y59" s="4">
        <f ca="1">('TUSD BE'!$AM$9+'TUSD BF'!$AM$9+'TUSD CVA'!$AM$9)*1</f>
        <v>6.7679680991043316</v>
      </c>
      <c r="Z59" s="4"/>
      <c r="AA59" s="4"/>
      <c r="AB59" s="4">
        <f t="shared" si="0"/>
        <v>2850</v>
      </c>
      <c r="AC59" s="4">
        <f t="shared" si="6"/>
        <v>0</v>
      </c>
      <c r="AD59" s="4">
        <f t="shared" ca="1" si="2"/>
        <v>3383.9840495521657</v>
      </c>
      <c r="AE59" s="4">
        <f t="shared" si="7"/>
        <v>0</v>
      </c>
      <c r="AF59" s="3" t="s">
        <v>595</v>
      </c>
    </row>
    <row r="60" spans="1:32" ht="11.25" customHeight="1" x14ac:dyDescent="0.3">
      <c r="A60" s="3" t="s">
        <v>53</v>
      </c>
      <c r="B60" s="3" t="s">
        <v>34</v>
      </c>
      <c r="C60" s="3" t="s">
        <v>56</v>
      </c>
      <c r="D60" s="3" t="s">
        <v>25</v>
      </c>
      <c r="E60" s="3" t="s">
        <v>25</v>
      </c>
      <c r="F60" s="3" t="s">
        <v>25</v>
      </c>
      <c r="G60" s="3" t="s">
        <v>61</v>
      </c>
      <c r="H60" s="3" t="s">
        <v>25</v>
      </c>
      <c r="I60" s="6">
        <v>44774</v>
      </c>
      <c r="J60" s="4">
        <v>3130</v>
      </c>
      <c r="K60" s="4">
        <v>1565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3" t="s">
        <v>58</v>
      </c>
      <c r="R60" s="3">
        <v>30494</v>
      </c>
      <c r="S60" s="3">
        <v>1</v>
      </c>
      <c r="T60" s="3">
        <v>0</v>
      </c>
      <c r="U60" s="3">
        <v>0</v>
      </c>
      <c r="V60" s="4">
        <f>IF(ISERROR(VLOOKUP($S$60,'TAR FIN'!$A$1:$O$85,15,0)),0,VLOOKUP($S$60,'TAR FIN'!$A$1:$O$85,15,0))</f>
        <v>5.7</v>
      </c>
      <c r="W60" s="4">
        <f>IF(ISERROR(VLOOKUP($T$60,'TAR FIN'!$A$1:$O$85,15,0)),0,VLOOKUP($T$60,'TAR FIN'!$A$1:$O$85,15,0))</f>
        <v>0</v>
      </c>
      <c r="X60" s="4">
        <f>IF(ISERROR(VLOOKUP($U$60,'TAR FIN'!$A$1:$O$85,15,0)),0,VLOOKUP($U$60,'TAR FIN'!$A$1:$O$85,15,0))</f>
        <v>0</v>
      </c>
      <c r="Y60" s="4">
        <f ca="1">('TUSD BE'!$AM$9+'TUSD BF'!$AM$9+'TUSD CVA'!$AM$9)*1</f>
        <v>6.7679680991043316</v>
      </c>
      <c r="Z60" s="4"/>
      <c r="AA60" s="4"/>
      <c r="AB60" s="4">
        <f t="shared" si="0"/>
        <v>8920.5</v>
      </c>
      <c r="AC60" s="4">
        <f t="shared" si="6"/>
        <v>0</v>
      </c>
      <c r="AD60" s="4">
        <f t="shared" ca="1" si="2"/>
        <v>10591.870075098279</v>
      </c>
      <c r="AE60" s="4">
        <f t="shared" si="7"/>
        <v>0</v>
      </c>
      <c r="AF60" s="3" t="s">
        <v>595</v>
      </c>
    </row>
    <row r="61" spans="1:32" ht="11.25" customHeight="1" x14ac:dyDescent="0.3">
      <c r="A61" s="3" t="s">
        <v>53</v>
      </c>
      <c r="B61" s="3" t="s">
        <v>34</v>
      </c>
      <c r="C61" s="3" t="s">
        <v>56</v>
      </c>
      <c r="D61" s="3" t="s">
        <v>25</v>
      </c>
      <c r="E61" s="3" t="s">
        <v>25</v>
      </c>
      <c r="F61" s="3" t="s">
        <v>25</v>
      </c>
      <c r="G61" s="3" t="s">
        <v>62</v>
      </c>
      <c r="H61" s="3" t="s">
        <v>25</v>
      </c>
      <c r="I61" s="6">
        <v>44774</v>
      </c>
      <c r="J61" s="4">
        <v>500</v>
      </c>
      <c r="K61" s="4">
        <v>250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3" t="s">
        <v>58</v>
      </c>
      <c r="R61" s="3">
        <v>27182</v>
      </c>
      <c r="S61" s="3">
        <v>1</v>
      </c>
      <c r="T61" s="3">
        <v>0</v>
      </c>
      <c r="U61" s="3">
        <v>0</v>
      </c>
      <c r="V61" s="4">
        <f>IF(ISERROR(VLOOKUP($S$61,'TAR FIN'!$A$1:$O$85,15,0)),0,VLOOKUP($S$61,'TAR FIN'!$A$1:$O$85,15,0))</f>
        <v>5.7</v>
      </c>
      <c r="W61" s="4">
        <f>IF(ISERROR(VLOOKUP($T$61,'TAR FIN'!$A$1:$O$85,15,0)),0,VLOOKUP($T$61,'TAR FIN'!$A$1:$O$85,15,0))</f>
        <v>0</v>
      </c>
      <c r="X61" s="4">
        <f>IF(ISERROR(VLOOKUP($U$61,'TAR FIN'!$A$1:$O$85,15,0)),0,VLOOKUP($U$61,'TAR FIN'!$A$1:$O$85,15,0))</f>
        <v>0</v>
      </c>
      <c r="Y61" s="4">
        <f ca="1">('TUSD BE'!$AM$9+'TUSD BF'!$AM$9+'TUSD CVA'!$AM$9)*1</f>
        <v>6.7679680991043316</v>
      </c>
      <c r="Z61" s="4"/>
      <c r="AA61" s="4"/>
      <c r="AB61" s="4">
        <f t="shared" si="0"/>
        <v>1425</v>
      </c>
      <c r="AC61" s="4">
        <f t="shared" si="6"/>
        <v>0</v>
      </c>
      <c r="AD61" s="4">
        <f t="shared" ca="1" si="2"/>
        <v>1691.9920247760829</v>
      </c>
      <c r="AE61" s="4">
        <f t="shared" si="7"/>
        <v>0</v>
      </c>
      <c r="AF61" s="3" t="s">
        <v>595</v>
      </c>
    </row>
    <row r="62" spans="1:32" ht="11.25" customHeight="1" x14ac:dyDescent="0.3">
      <c r="A62" s="3" t="s">
        <v>21</v>
      </c>
      <c r="B62" s="3" t="s">
        <v>34</v>
      </c>
      <c r="C62" s="3" t="s">
        <v>38</v>
      </c>
      <c r="D62" s="3" t="s">
        <v>33</v>
      </c>
      <c r="E62" s="3" t="s">
        <v>25</v>
      </c>
      <c r="F62" s="3" t="s">
        <v>54</v>
      </c>
      <c r="G62" s="3" t="s">
        <v>25</v>
      </c>
      <c r="H62" s="3" t="s">
        <v>37</v>
      </c>
      <c r="I62" s="6">
        <v>44440</v>
      </c>
      <c r="J62" s="4">
        <v>0</v>
      </c>
      <c r="K62" s="4">
        <v>0</v>
      </c>
      <c r="L62" s="4">
        <v>443.71600000000001</v>
      </c>
      <c r="M62" s="4">
        <v>0</v>
      </c>
      <c r="N62" s="4">
        <v>0</v>
      </c>
      <c r="O62" s="4">
        <v>0</v>
      </c>
      <c r="P62" s="4">
        <v>0</v>
      </c>
      <c r="Q62" s="3" t="s">
        <v>55</v>
      </c>
      <c r="R62" s="3">
        <v>0</v>
      </c>
      <c r="S62" s="3">
        <v>0</v>
      </c>
      <c r="T62" s="3">
        <v>3</v>
      </c>
      <c r="U62" s="3">
        <v>0</v>
      </c>
      <c r="V62" s="4">
        <f>IF(ISERROR(VLOOKUP($S$62,'TAR FIN'!$A$1:$O$85,15,0)),0,VLOOKUP($S$62,'TAR FIN'!$A$1:$O$85,15,0))</f>
        <v>0</v>
      </c>
      <c r="W62" s="4">
        <f>IF(ISERROR(VLOOKUP($T$62,'TAR FIN'!$A$1:$O$85,15,0)),0,VLOOKUP($T$62,'TAR FIN'!$A$1:$O$85,15,0))</f>
        <v>80.73</v>
      </c>
      <c r="X62" s="4">
        <f>IF(ISERROR(VLOOKUP($U$62,'TAR FIN'!$A$1:$O$85,15,0)),0,VLOOKUP($U$62,'TAR FIN'!$A$1:$O$85,15,0))</f>
        <v>0</v>
      </c>
      <c r="Y62" s="4"/>
      <c r="Z62" s="4">
        <f ca="1">('TUSD BE'!$AM$12+'TUSD BF'!$AM$12+'TUSD CVA'!$AM$12)*1</f>
        <v>111.74556842703541</v>
      </c>
      <c r="AA62" s="4"/>
      <c r="AB62" s="4">
        <f t="shared" si="0"/>
        <v>0</v>
      </c>
      <c r="AC62" s="4">
        <f t="shared" si="6"/>
        <v>35821.19268</v>
      </c>
      <c r="AD62" s="4">
        <f t="shared" si="2"/>
        <v>0</v>
      </c>
      <c r="AE62" s="4">
        <f t="shared" ca="1" si="7"/>
        <v>49583.296640170447</v>
      </c>
      <c r="AF62" s="3" t="s">
        <v>596</v>
      </c>
    </row>
    <row r="63" spans="1:32" ht="11.25" customHeight="1" x14ac:dyDescent="0.3">
      <c r="A63" s="3" t="s">
        <v>21</v>
      </c>
      <c r="B63" s="3" t="s">
        <v>34</v>
      </c>
      <c r="C63" s="3" t="s">
        <v>38</v>
      </c>
      <c r="D63" s="3" t="s">
        <v>33</v>
      </c>
      <c r="E63" s="3" t="s">
        <v>25</v>
      </c>
      <c r="F63" s="3" t="s">
        <v>54</v>
      </c>
      <c r="G63" s="3" t="s">
        <v>25</v>
      </c>
      <c r="H63" s="3" t="s">
        <v>37</v>
      </c>
      <c r="I63" s="6">
        <v>44470</v>
      </c>
      <c r="J63" s="4">
        <v>0</v>
      </c>
      <c r="K63" s="4">
        <v>0</v>
      </c>
      <c r="L63" s="4">
        <v>417.69299999999998</v>
      </c>
      <c r="M63" s="4">
        <v>0</v>
      </c>
      <c r="N63" s="4">
        <v>0</v>
      </c>
      <c r="O63" s="4">
        <v>0</v>
      </c>
      <c r="P63" s="4">
        <v>0</v>
      </c>
      <c r="Q63" s="3" t="s">
        <v>55</v>
      </c>
      <c r="R63" s="3">
        <v>0</v>
      </c>
      <c r="S63" s="3">
        <v>0</v>
      </c>
      <c r="T63" s="3">
        <v>3</v>
      </c>
      <c r="U63" s="3">
        <v>0</v>
      </c>
      <c r="V63" s="4">
        <f>IF(ISERROR(VLOOKUP($S$63,'TAR FIN'!$A$1:$O$85,15,0)),0,VLOOKUP($S$63,'TAR FIN'!$A$1:$O$85,15,0))</f>
        <v>0</v>
      </c>
      <c r="W63" s="4">
        <f>IF(ISERROR(VLOOKUP($T$63,'TAR FIN'!$A$1:$O$85,15,0)),0,VLOOKUP($T$63,'TAR FIN'!$A$1:$O$85,15,0))</f>
        <v>80.73</v>
      </c>
      <c r="X63" s="4">
        <f>IF(ISERROR(VLOOKUP($U$63,'TAR FIN'!$A$1:$O$85,15,0)),0,VLOOKUP($U$63,'TAR FIN'!$A$1:$O$85,15,0))</f>
        <v>0</v>
      </c>
      <c r="Y63" s="4"/>
      <c r="Z63" s="4">
        <f ca="1">('TUSD BE'!$AM$12+'TUSD BF'!$AM$12+'TUSD CVA'!$AM$12)*1</f>
        <v>111.74556842703541</v>
      </c>
      <c r="AA63" s="4"/>
      <c r="AB63" s="4">
        <f t="shared" si="0"/>
        <v>0</v>
      </c>
      <c r="AC63" s="4">
        <f t="shared" si="6"/>
        <v>33720.355889999999</v>
      </c>
      <c r="AD63" s="4">
        <f t="shared" si="2"/>
        <v>0</v>
      </c>
      <c r="AE63" s="4">
        <f t="shared" ca="1" si="7"/>
        <v>46675.341712993701</v>
      </c>
      <c r="AF63" s="3" t="s">
        <v>596</v>
      </c>
    </row>
    <row r="64" spans="1:32" ht="11.25" customHeight="1" x14ac:dyDescent="0.3">
      <c r="A64" s="3" t="s">
        <v>21</v>
      </c>
      <c r="B64" s="3" t="s">
        <v>34</v>
      </c>
      <c r="C64" s="3" t="s">
        <v>38</v>
      </c>
      <c r="D64" s="3" t="s">
        <v>33</v>
      </c>
      <c r="E64" s="3" t="s">
        <v>25</v>
      </c>
      <c r="F64" s="3" t="s">
        <v>54</v>
      </c>
      <c r="G64" s="3" t="s">
        <v>25</v>
      </c>
      <c r="H64" s="3" t="s">
        <v>37</v>
      </c>
      <c r="I64" s="6">
        <v>44501</v>
      </c>
      <c r="J64" s="4">
        <v>0</v>
      </c>
      <c r="K64" s="4">
        <v>0</v>
      </c>
      <c r="L64" s="4">
        <v>468.78100000000001</v>
      </c>
      <c r="M64" s="4">
        <v>0</v>
      </c>
      <c r="N64" s="4">
        <v>0</v>
      </c>
      <c r="O64" s="4">
        <v>0</v>
      </c>
      <c r="P64" s="4">
        <v>0</v>
      </c>
      <c r="Q64" s="3" t="s">
        <v>55</v>
      </c>
      <c r="R64" s="3">
        <v>0</v>
      </c>
      <c r="S64" s="3">
        <v>0</v>
      </c>
      <c r="T64" s="3">
        <v>3</v>
      </c>
      <c r="U64" s="3">
        <v>0</v>
      </c>
      <c r="V64" s="4">
        <f>IF(ISERROR(VLOOKUP($S$64,'TAR FIN'!$A$1:$O$85,15,0)),0,VLOOKUP($S$64,'TAR FIN'!$A$1:$O$85,15,0))</f>
        <v>0</v>
      </c>
      <c r="W64" s="4">
        <f>IF(ISERROR(VLOOKUP($T$64,'TAR FIN'!$A$1:$O$85,15,0)),0,VLOOKUP($T$64,'TAR FIN'!$A$1:$O$85,15,0))</f>
        <v>80.73</v>
      </c>
      <c r="X64" s="4">
        <f>IF(ISERROR(VLOOKUP($U$64,'TAR FIN'!$A$1:$O$85,15,0)),0,VLOOKUP($U$64,'TAR FIN'!$A$1:$O$85,15,0))</f>
        <v>0</v>
      </c>
      <c r="Y64" s="4"/>
      <c r="Z64" s="4">
        <f ca="1">('TUSD BE'!$AM$12+'TUSD BF'!$AM$12+'TUSD CVA'!$AM$12)*1</f>
        <v>111.74556842703541</v>
      </c>
      <c r="AA64" s="4"/>
      <c r="AB64" s="4">
        <f t="shared" si="0"/>
        <v>0</v>
      </c>
      <c r="AC64" s="4">
        <f t="shared" si="6"/>
        <v>37844.690130000003</v>
      </c>
      <c r="AD64" s="4">
        <f t="shared" si="2"/>
        <v>0</v>
      </c>
      <c r="AE64" s="4">
        <f t="shared" ca="1" si="7"/>
        <v>52384.199312794088</v>
      </c>
      <c r="AF64" s="3" t="s">
        <v>596</v>
      </c>
    </row>
    <row r="65" spans="1:32" ht="11.25" customHeight="1" x14ac:dyDescent="0.3">
      <c r="A65" s="3" t="s">
        <v>21</v>
      </c>
      <c r="B65" s="3" t="s">
        <v>34</v>
      </c>
      <c r="C65" s="3" t="s">
        <v>38</v>
      </c>
      <c r="D65" s="3" t="s">
        <v>33</v>
      </c>
      <c r="E65" s="3" t="s">
        <v>25</v>
      </c>
      <c r="F65" s="3" t="s">
        <v>54</v>
      </c>
      <c r="G65" s="3" t="s">
        <v>25</v>
      </c>
      <c r="H65" s="3" t="s">
        <v>37</v>
      </c>
      <c r="I65" s="6">
        <v>44531</v>
      </c>
      <c r="J65" s="4">
        <v>0</v>
      </c>
      <c r="K65" s="4">
        <v>0</v>
      </c>
      <c r="L65" s="4">
        <v>527.327</v>
      </c>
      <c r="M65" s="4">
        <v>0</v>
      </c>
      <c r="N65" s="4">
        <v>0</v>
      </c>
      <c r="O65" s="4">
        <v>0</v>
      </c>
      <c r="P65" s="4">
        <v>0</v>
      </c>
      <c r="Q65" s="3" t="s">
        <v>55</v>
      </c>
      <c r="R65" s="3">
        <v>0</v>
      </c>
      <c r="S65" s="3">
        <v>0</v>
      </c>
      <c r="T65" s="3">
        <v>3</v>
      </c>
      <c r="U65" s="3">
        <v>0</v>
      </c>
      <c r="V65" s="4">
        <f>IF(ISERROR(VLOOKUP($S$65,'TAR FIN'!$A$1:$O$85,15,0)),0,VLOOKUP($S$65,'TAR FIN'!$A$1:$O$85,15,0))</f>
        <v>0</v>
      </c>
      <c r="W65" s="4">
        <f>IF(ISERROR(VLOOKUP($T$65,'TAR FIN'!$A$1:$O$85,15,0)),0,VLOOKUP($T$65,'TAR FIN'!$A$1:$O$85,15,0))</f>
        <v>80.73</v>
      </c>
      <c r="X65" s="4">
        <f>IF(ISERROR(VLOOKUP($U$65,'TAR FIN'!$A$1:$O$85,15,0)),0,VLOOKUP($U$65,'TAR FIN'!$A$1:$O$85,15,0))</f>
        <v>0</v>
      </c>
      <c r="Y65" s="4"/>
      <c r="Z65" s="4">
        <f ca="1">('TUSD BE'!$AM$12+'TUSD BF'!$AM$12+'TUSD CVA'!$AM$12)*1</f>
        <v>111.74556842703541</v>
      </c>
      <c r="AA65" s="4"/>
      <c r="AB65" s="4">
        <f t="shared" si="0"/>
        <v>0</v>
      </c>
      <c r="AC65" s="4">
        <f t="shared" si="6"/>
        <v>42571.10871</v>
      </c>
      <c r="AD65" s="4">
        <f t="shared" si="2"/>
        <v>0</v>
      </c>
      <c r="AE65" s="4">
        <f t="shared" ca="1" si="7"/>
        <v>58926.455361923297</v>
      </c>
      <c r="AF65" s="3" t="s">
        <v>596</v>
      </c>
    </row>
    <row r="66" spans="1:32" ht="11.25" customHeight="1" x14ac:dyDescent="0.3">
      <c r="A66" s="3" t="s">
        <v>21</v>
      </c>
      <c r="B66" s="3" t="s">
        <v>34</v>
      </c>
      <c r="C66" s="3" t="s">
        <v>38</v>
      </c>
      <c r="D66" s="3" t="s">
        <v>33</v>
      </c>
      <c r="E66" s="3" t="s">
        <v>25</v>
      </c>
      <c r="F66" s="3" t="s">
        <v>54</v>
      </c>
      <c r="G66" s="3" t="s">
        <v>25</v>
      </c>
      <c r="H66" s="3" t="s">
        <v>37</v>
      </c>
      <c r="I66" s="6">
        <v>44562</v>
      </c>
      <c r="J66" s="4">
        <v>0</v>
      </c>
      <c r="K66" s="4">
        <v>0</v>
      </c>
      <c r="L66" s="4">
        <v>499.678</v>
      </c>
      <c r="M66" s="4">
        <v>0</v>
      </c>
      <c r="N66" s="4">
        <v>0</v>
      </c>
      <c r="O66" s="4">
        <v>0</v>
      </c>
      <c r="P66" s="4">
        <v>0</v>
      </c>
      <c r="Q66" s="3" t="s">
        <v>55</v>
      </c>
      <c r="R66" s="3">
        <v>0</v>
      </c>
      <c r="S66" s="3">
        <v>0</v>
      </c>
      <c r="T66" s="3">
        <v>3</v>
      </c>
      <c r="U66" s="3">
        <v>0</v>
      </c>
      <c r="V66" s="4">
        <f>IF(ISERROR(VLOOKUP($S$66,'TAR FIN'!$A$1:$O$85,15,0)),0,VLOOKUP($S$66,'TAR FIN'!$A$1:$O$85,15,0))</f>
        <v>0</v>
      </c>
      <c r="W66" s="4">
        <f>IF(ISERROR(VLOOKUP($T$66,'TAR FIN'!$A$1:$O$85,15,0)),0,VLOOKUP($T$66,'TAR FIN'!$A$1:$O$85,15,0))</f>
        <v>80.73</v>
      </c>
      <c r="X66" s="4">
        <f>IF(ISERROR(VLOOKUP($U$66,'TAR FIN'!$A$1:$O$85,15,0)),0,VLOOKUP($U$66,'TAR FIN'!$A$1:$O$85,15,0))</f>
        <v>0</v>
      </c>
      <c r="Y66" s="4"/>
      <c r="Z66" s="4">
        <f ca="1">('TUSD BE'!$AM$12+'TUSD BF'!$AM$12+'TUSD CVA'!$AM$12)*1</f>
        <v>111.74556842703541</v>
      </c>
      <c r="AA66" s="4"/>
      <c r="AB66" s="4">
        <f t="shared" ref="AB66:AB129" si="8">(J66-K66)*V66</f>
        <v>0</v>
      </c>
      <c r="AC66" s="4">
        <f t="shared" ref="AC66:AC97" si="9">(L66-M66)*W66+(N66-O66)*X66</f>
        <v>40339.004939999999</v>
      </c>
      <c r="AD66" s="4">
        <f t="shared" ref="AD66:AD129" si="10">(J66-K66)*Y66</f>
        <v>0</v>
      </c>
      <c r="AE66" s="4">
        <f t="shared" ref="AE66:AE97" ca="1" si="11">(L66-M66)*Z66+(N66-O66)*AA66</f>
        <v>55836.8021404842</v>
      </c>
      <c r="AF66" s="3" t="s">
        <v>596</v>
      </c>
    </row>
    <row r="67" spans="1:32" ht="11.25" customHeight="1" x14ac:dyDescent="0.3">
      <c r="A67" s="3" t="s">
        <v>21</v>
      </c>
      <c r="B67" s="3" t="s">
        <v>34</v>
      </c>
      <c r="C67" s="3" t="s">
        <v>38</v>
      </c>
      <c r="D67" s="3" t="s">
        <v>33</v>
      </c>
      <c r="E67" s="3" t="s">
        <v>25</v>
      </c>
      <c r="F67" s="3" t="s">
        <v>54</v>
      </c>
      <c r="G67" s="3" t="s">
        <v>25</v>
      </c>
      <c r="H67" s="3" t="s">
        <v>37</v>
      </c>
      <c r="I67" s="6">
        <v>44593</v>
      </c>
      <c r="J67" s="4">
        <v>0</v>
      </c>
      <c r="K67" s="4">
        <v>0</v>
      </c>
      <c r="L67" s="4">
        <v>418.81700000000001</v>
      </c>
      <c r="M67" s="4">
        <v>0</v>
      </c>
      <c r="N67" s="4">
        <v>0</v>
      </c>
      <c r="O67" s="4">
        <v>0</v>
      </c>
      <c r="P67" s="4">
        <v>0</v>
      </c>
      <c r="Q67" s="3" t="s">
        <v>55</v>
      </c>
      <c r="R67" s="3">
        <v>0</v>
      </c>
      <c r="S67" s="3">
        <v>0</v>
      </c>
      <c r="T67" s="3">
        <v>3</v>
      </c>
      <c r="U67" s="3">
        <v>0</v>
      </c>
      <c r="V67" s="4">
        <f>IF(ISERROR(VLOOKUP($S$67,'TAR FIN'!$A$1:$O$85,15,0)),0,VLOOKUP($S$67,'TAR FIN'!$A$1:$O$85,15,0))</f>
        <v>0</v>
      </c>
      <c r="W67" s="4">
        <f>IF(ISERROR(VLOOKUP($T$67,'TAR FIN'!$A$1:$O$85,15,0)),0,VLOOKUP($T$67,'TAR FIN'!$A$1:$O$85,15,0))</f>
        <v>80.73</v>
      </c>
      <c r="X67" s="4">
        <f>IF(ISERROR(VLOOKUP($U$67,'TAR FIN'!$A$1:$O$85,15,0)),0,VLOOKUP($U$67,'TAR FIN'!$A$1:$O$85,15,0))</f>
        <v>0</v>
      </c>
      <c r="Y67" s="4"/>
      <c r="Z67" s="4">
        <f ca="1">('TUSD BE'!$AM$12+'TUSD BF'!$AM$12+'TUSD CVA'!$AM$12)*1</f>
        <v>111.74556842703541</v>
      </c>
      <c r="AA67" s="4"/>
      <c r="AB67" s="4">
        <f t="shared" si="8"/>
        <v>0</v>
      </c>
      <c r="AC67" s="4">
        <f t="shared" si="9"/>
        <v>33811.096410000006</v>
      </c>
      <c r="AD67" s="4">
        <f t="shared" si="10"/>
        <v>0</v>
      </c>
      <c r="AE67" s="4">
        <f t="shared" ca="1" si="11"/>
        <v>46800.943731905689</v>
      </c>
      <c r="AF67" s="3" t="s">
        <v>596</v>
      </c>
    </row>
    <row r="68" spans="1:32" ht="11.25" customHeight="1" x14ac:dyDescent="0.3">
      <c r="A68" s="3" t="s">
        <v>21</v>
      </c>
      <c r="B68" s="3" t="s">
        <v>34</v>
      </c>
      <c r="C68" s="3" t="s">
        <v>38</v>
      </c>
      <c r="D68" s="3" t="s">
        <v>33</v>
      </c>
      <c r="E68" s="3" t="s">
        <v>25</v>
      </c>
      <c r="F68" s="3" t="s">
        <v>54</v>
      </c>
      <c r="G68" s="3" t="s">
        <v>25</v>
      </c>
      <c r="H68" s="3" t="s">
        <v>37</v>
      </c>
      <c r="I68" s="6">
        <v>44621</v>
      </c>
      <c r="J68" s="4">
        <v>0</v>
      </c>
      <c r="K68" s="4">
        <v>0</v>
      </c>
      <c r="L68" s="4">
        <v>501.51100000000002</v>
      </c>
      <c r="M68" s="4">
        <v>0</v>
      </c>
      <c r="N68" s="4">
        <v>0</v>
      </c>
      <c r="O68" s="4">
        <v>0</v>
      </c>
      <c r="P68" s="4">
        <v>0</v>
      </c>
      <c r="Q68" s="3" t="s">
        <v>55</v>
      </c>
      <c r="R68" s="3">
        <v>0</v>
      </c>
      <c r="S68" s="3">
        <v>0</v>
      </c>
      <c r="T68" s="3">
        <v>3</v>
      </c>
      <c r="U68" s="3">
        <v>0</v>
      </c>
      <c r="V68" s="4">
        <f>IF(ISERROR(VLOOKUP($S$68,'TAR FIN'!$A$1:$O$85,15,0)),0,VLOOKUP($S$68,'TAR FIN'!$A$1:$O$85,15,0))</f>
        <v>0</v>
      </c>
      <c r="W68" s="4">
        <f>IF(ISERROR(VLOOKUP($T$68,'TAR FIN'!$A$1:$O$85,15,0)),0,VLOOKUP($T$68,'TAR FIN'!$A$1:$O$85,15,0))</f>
        <v>80.73</v>
      </c>
      <c r="X68" s="4">
        <f>IF(ISERROR(VLOOKUP($U$68,'TAR FIN'!$A$1:$O$85,15,0)),0,VLOOKUP($U$68,'TAR FIN'!$A$1:$O$85,15,0))</f>
        <v>0</v>
      </c>
      <c r="Y68" s="4"/>
      <c r="Z68" s="4">
        <f ca="1">('TUSD BE'!$AM$12+'TUSD BF'!$AM$12+'TUSD CVA'!$AM$12)*1</f>
        <v>111.74556842703541</v>
      </c>
      <c r="AA68" s="4"/>
      <c r="AB68" s="4">
        <f t="shared" si="8"/>
        <v>0</v>
      </c>
      <c r="AC68" s="4">
        <f t="shared" si="9"/>
        <v>40486.983030000003</v>
      </c>
      <c r="AD68" s="4">
        <f t="shared" si="10"/>
        <v>0</v>
      </c>
      <c r="AE68" s="4">
        <f t="shared" ca="1" si="11"/>
        <v>56041.63176741096</v>
      </c>
      <c r="AF68" s="3" t="s">
        <v>596</v>
      </c>
    </row>
    <row r="69" spans="1:32" ht="11.25" customHeight="1" x14ac:dyDescent="0.3">
      <c r="A69" s="3" t="s">
        <v>21</v>
      </c>
      <c r="B69" s="3" t="s">
        <v>34</v>
      </c>
      <c r="C69" s="3" t="s">
        <v>38</v>
      </c>
      <c r="D69" s="3" t="s">
        <v>33</v>
      </c>
      <c r="E69" s="3" t="s">
        <v>25</v>
      </c>
      <c r="F69" s="3" t="s">
        <v>54</v>
      </c>
      <c r="G69" s="3" t="s">
        <v>25</v>
      </c>
      <c r="H69" s="3" t="s">
        <v>37</v>
      </c>
      <c r="I69" s="6">
        <v>44652</v>
      </c>
      <c r="J69" s="4">
        <v>0</v>
      </c>
      <c r="K69" s="4">
        <v>0</v>
      </c>
      <c r="L69" s="4">
        <v>396.36</v>
      </c>
      <c r="M69" s="4">
        <v>0</v>
      </c>
      <c r="N69" s="4">
        <v>0</v>
      </c>
      <c r="O69" s="4">
        <v>0</v>
      </c>
      <c r="P69" s="4">
        <v>0</v>
      </c>
      <c r="Q69" s="3" t="s">
        <v>55</v>
      </c>
      <c r="R69" s="3">
        <v>0</v>
      </c>
      <c r="S69" s="3">
        <v>0</v>
      </c>
      <c r="T69" s="3">
        <v>3</v>
      </c>
      <c r="U69" s="3">
        <v>0</v>
      </c>
      <c r="V69" s="4">
        <f>IF(ISERROR(VLOOKUP($S$69,'TAR FIN'!$A$1:$O$85,15,0)),0,VLOOKUP($S$69,'TAR FIN'!$A$1:$O$85,15,0))</f>
        <v>0</v>
      </c>
      <c r="W69" s="4">
        <f>IF(ISERROR(VLOOKUP($T$69,'TAR FIN'!$A$1:$O$85,15,0)),0,VLOOKUP($T$69,'TAR FIN'!$A$1:$O$85,15,0))</f>
        <v>80.73</v>
      </c>
      <c r="X69" s="4">
        <f>IF(ISERROR(VLOOKUP($U$69,'TAR FIN'!$A$1:$O$85,15,0)),0,VLOOKUP($U$69,'TAR FIN'!$A$1:$O$85,15,0))</f>
        <v>0</v>
      </c>
      <c r="Y69" s="4"/>
      <c r="Z69" s="4">
        <f ca="1">('TUSD BE'!$AM$12+'TUSD BF'!$AM$12+'TUSD CVA'!$AM$12)*1</f>
        <v>111.74556842703541</v>
      </c>
      <c r="AA69" s="4"/>
      <c r="AB69" s="4">
        <f t="shared" si="8"/>
        <v>0</v>
      </c>
      <c r="AC69" s="4">
        <f t="shared" si="9"/>
        <v>31998.142800000001</v>
      </c>
      <c r="AD69" s="4">
        <f t="shared" si="10"/>
        <v>0</v>
      </c>
      <c r="AE69" s="4">
        <f t="shared" ca="1" si="11"/>
        <v>44291.473501739754</v>
      </c>
      <c r="AF69" s="3" t="s">
        <v>596</v>
      </c>
    </row>
    <row r="70" spans="1:32" ht="11.25" customHeight="1" x14ac:dyDescent="0.3">
      <c r="A70" s="3" t="s">
        <v>21</v>
      </c>
      <c r="B70" s="3" t="s">
        <v>34</v>
      </c>
      <c r="C70" s="3" t="s">
        <v>38</v>
      </c>
      <c r="D70" s="3" t="s">
        <v>33</v>
      </c>
      <c r="E70" s="3" t="s">
        <v>25</v>
      </c>
      <c r="F70" s="3" t="s">
        <v>54</v>
      </c>
      <c r="G70" s="3" t="s">
        <v>25</v>
      </c>
      <c r="H70" s="3" t="s">
        <v>37</v>
      </c>
      <c r="I70" s="6">
        <v>44682</v>
      </c>
      <c r="J70" s="4">
        <v>0</v>
      </c>
      <c r="K70" s="4">
        <v>0</v>
      </c>
      <c r="L70" s="4">
        <v>381.33199999999999</v>
      </c>
      <c r="M70" s="4">
        <v>0</v>
      </c>
      <c r="N70" s="4">
        <v>0</v>
      </c>
      <c r="O70" s="4">
        <v>0</v>
      </c>
      <c r="P70" s="4">
        <v>0</v>
      </c>
      <c r="Q70" s="3" t="s">
        <v>55</v>
      </c>
      <c r="R70" s="3">
        <v>0</v>
      </c>
      <c r="S70" s="3">
        <v>0</v>
      </c>
      <c r="T70" s="3">
        <v>3</v>
      </c>
      <c r="U70" s="3">
        <v>0</v>
      </c>
      <c r="V70" s="4">
        <f>IF(ISERROR(VLOOKUP($S$70,'TAR FIN'!$A$1:$O$85,15,0)),0,VLOOKUP($S$70,'TAR FIN'!$A$1:$O$85,15,0))</f>
        <v>0</v>
      </c>
      <c r="W70" s="4">
        <f>IF(ISERROR(VLOOKUP($T$70,'TAR FIN'!$A$1:$O$85,15,0)),0,VLOOKUP($T$70,'TAR FIN'!$A$1:$O$85,15,0))</f>
        <v>80.73</v>
      </c>
      <c r="X70" s="4">
        <f>IF(ISERROR(VLOOKUP($U$70,'TAR FIN'!$A$1:$O$85,15,0)),0,VLOOKUP($U$70,'TAR FIN'!$A$1:$O$85,15,0))</f>
        <v>0</v>
      </c>
      <c r="Y70" s="4"/>
      <c r="Z70" s="4">
        <f ca="1">('TUSD BE'!$AM$12+'TUSD BF'!$AM$12+'TUSD CVA'!$AM$12)*1</f>
        <v>111.74556842703541</v>
      </c>
      <c r="AA70" s="4"/>
      <c r="AB70" s="4">
        <f t="shared" si="8"/>
        <v>0</v>
      </c>
      <c r="AC70" s="4">
        <f t="shared" si="9"/>
        <v>30784.932360000003</v>
      </c>
      <c r="AD70" s="4">
        <f t="shared" si="10"/>
        <v>0</v>
      </c>
      <c r="AE70" s="4">
        <f t="shared" ca="1" si="11"/>
        <v>42612.161099418263</v>
      </c>
      <c r="AF70" s="3" t="s">
        <v>596</v>
      </c>
    </row>
    <row r="71" spans="1:32" ht="11.25" customHeight="1" x14ac:dyDescent="0.3">
      <c r="A71" s="3" t="s">
        <v>21</v>
      </c>
      <c r="B71" s="3" t="s">
        <v>34</v>
      </c>
      <c r="C71" s="3" t="s">
        <v>38</v>
      </c>
      <c r="D71" s="3" t="s">
        <v>33</v>
      </c>
      <c r="E71" s="3" t="s">
        <v>25</v>
      </c>
      <c r="F71" s="3" t="s">
        <v>54</v>
      </c>
      <c r="G71" s="3" t="s">
        <v>25</v>
      </c>
      <c r="H71" s="3" t="s">
        <v>37</v>
      </c>
      <c r="I71" s="6">
        <v>44713</v>
      </c>
      <c r="J71" s="4">
        <v>0</v>
      </c>
      <c r="K71" s="4">
        <v>0</v>
      </c>
      <c r="L71" s="4">
        <v>352.99900000000002</v>
      </c>
      <c r="M71" s="4">
        <v>0</v>
      </c>
      <c r="N71" s="4">
        <v>0</v>
      </c>
      <c r="O71" s="4">
        <v>0</v>
      </c>
      <c r="P71" s="4">
        <v>0</v>
      </c>
      <c r="Q71" s="3" t="s">
        <v>55</v>
      </c>
      <c r="R71" s="3">
        <v>0</v>
      </c>
      <c r="S71" s="3">
        <v>0</v>
      </c>
      <c r="T71" s="3">
        <v>3</v>
      </c>
      <c r="U71" s="3">
        <v>0</v>
      </c>
      <c r="V71" s="4">
        <f>IF(ISERROR(VLOOKUP($S$71,'TAR FIN'!$A$1:$O$85,15,0)),0,VLOOKUP($S$71,'TAR FIN'!$A$1:$O$85,15,0))</f>
        <v>0</v>
      </c>
      <c r="W71" s="4">
        <f>IF(ISERROR(VLOOKUP($T$71,'TAR FIN'!$A$1:$O$85,15,0)),0,VLOOKUP($T$71,'TAR FIN'!$A$1:$O$85,15,0))</f>
        <v>80.73</v>
      </c>
      <c r="X71" s="4">
        <f>IF(ISERROR(VLOOKUP($U$71,'TAR FIN'!$A$1:$O$85,15,0)),0,VLOOKUP($U$71,'TAR FIN'!$A$1:$O$85,15,0))</f>
        <v>0</v>
      </c>
      <c r="Y71" s="4"/>
      <c r="Z71" s="4">
        <f ca="1">('TUSD BE'!$AM$12+'TUSD BF'!$AM$12+'TUSD CVA'!$AM$12)*1</f>
        <v>111.74556842703541</v>
      </c>
      <c r="AA71" s="4"/>
      <c r="AB71" s="4">
        <f t="shared" si="8"/>
        <v>0</v>
      </c>
      <c r="AC71" s="4">
        <f t="shared" si="9"/>
        <v>28497.609270000004</v>
      </c>
      <c r="AD71" s="4">
        <f t="shared" si="10"/>
        <v>0</v>
      </c>
      <c r="AE71" s="4">
        <f t="shared" ca="1" si="11"/>
        <v>39446.073909175073</v>
      </c>
      <c r="AF71" s="3" t="s">
        <v>596</v>
      </c>
    </row>
    <row r="72" spans="1:32" ht="11.25" customHeight="1" x14ac:dyDescent="0.3">
      <c r="A72" s="3" t="s">
        <v>21</v>
      </c>
      <c r="B72" s="3" t="s">
        <v>34</v>
      </c>
      <c r="C72" s="3" t="s">
        <v>38</v>
      </c>
      <c r="D72" s="3" t="s">
        <v>33</v>
      </c>
      <c r="E72" s="3" t="s">
        <v>25</v>
      </c>
      <c r="F72" s="3" t="s">
        <v>54</v>
      </c>
      <c r="G72" s="3" t="s">
        <v>25</v>
      </c>
      <c r="H72" s="3" t="s">
        <v>37</v>
      </c>
      <c r="I72" s="6">
        <v>44743</v>
      </c>
      <c r="J72" s="4">
        <v>0</v>
      </c>
      <c r="K72" s="4">
        <v>0</v>
      </c>
      <c r="L72" s="4">
        <v>494.959</v>
      </c>
      <c r="M72" s="4">
        <v>0</v>
      </c>
      <c r="N72" s="4">
        <v>0</v>
      </c>
      <c r="O72" s="4">
        <v>0</v>
      </c>
      <c r="P72" s="4">
        <v>0</v>
      </c>
      <c r="Q72" s="3" t="s">
        <v>55</v>
      </c>
      <c r="R72" s="3">
        <v>0</v>
      </c>
      <c r="S72" s="3">
        <v>0</v>
      </c>
      <c r="T72" s="3">
        <v>3</v>
      </c>
      <c r="U72" s="3">
        <v>0</v>
      </c>
      <c r="V72" s="4">
        <f>IF(ISERROR(VLOOKUP($S$72,'TAR FIN'!$A$1:$O$85,15,0)),0,VLOOKUP($S$72,'TAR FIN'!$A$1:$O$85,15,0))</f>
        <v>0</v>
      </c>
      <c r="W72" s="4">
        <f>IF(ISERROR(VLOOKUP($T$72,'TAR FIN'!$A$1:$O$85,15,0)),0,VLOOKUP($T$72,'TAR FIN'!$A$1:$O$85,15,0))</f>
        <v>80.73</v>
      </c>
      <c r="X72" s="4">
        <f>IF(ISERROR(VLOOKUP($U$72,'TAR FIN'!$A$1:$O$85,15,0)),0,VLOOKUP($U$72,'TAR FIN'!$A$1:$O$85,15,0))</f>
        <v>0</v>
      </c>
      <c r="Y72" s="4"/>
      <c r="Z72" s="4">
        <f ca="1">('TUSD BE'!$AM$12+'TUSD BF'!$AM$12+'TUSD CVA'!$AM$12)*1</f>
        <v>111.74556842703541</v>
      </c>
      <c r="AA72" s="4"/>
      <c r="AB72" s="4">
        <f t="shared" si="8"/>
        <v>0</v>
      </c>
      <c r="AC72" s="4">
        <f t="shared" si="9"/>
        <v>39958.040070000003</v>
      </c>
      <c r="AD72" s="4">
        <f t="shared" si="10"/>
        <v>0</v>
      </c>
      <c r="AE72" s="4">
        <f t="shared" ca="1" si="11"/>
        <v>55309.474803077021</v>
      </c>
      <c r="AF72" s="3" t="s">
        <v>596</v>
      </c>
    </row>
    <row r="73" spans="1:32" ht="11.25" customHeight="1" x14ac:dyDescent="0.3">
      <c r="A73" s="3" t="s">
        <v>53</v>
      </c>
      <c r="B73" s="3" t="s">
        <v>34</v>
      </c>
      <c r="C73" s="3" t="s">
        <v>38</v>
      </c>
      <c r="D73" s="3" t="s">
        <v>33</v>
      </c>
      <c r="E73" s="3" t="s">
        <v>25</v>
      </c>
      <c r="F73" s="3" t="s">
        <v>54</v>
      </c>
      <c r="G73" s="3" t="s">
        <v>25</v>
      </c>
      <c r="H73" s="3" t="s">
        <v>37</v>
      </c>
      <c r="I73" s="6">
        <v>44774</v>
      </c>
      <c r="J73" s="4">
        <v>0</v>
      </c>
      <c r="K73" s="4">
        <v>0</v>
      </c>
      <c r="L73" s="4">
        <v>494.959</v>
      </c>
      <c r="M73" s="4">
        <v>0</v>
      </c>
      <c r="N73" s="4">
        <v>0</v>
      </c>
      <c r="O73" s="4">
        <v>0</v>
      </c>
      <c r="P73" s="4">
        <v>0</v>
      </c>
      <c r="Q73" s="3" t="s">
        <v>55</v>
      </c>
      <c r="R73" s="3">
        <v>0</v>
      </c>
      <c r="S73" s="3">
        <v>0</v>
      </c>
      <c r="T73" s="3">
        <v>3</v>
      </c>
      <c r="U73" s="3">
        <v>0</v>
      </c>
      <c r="V73" s="4">
        <f>IF(ISERROR(VLOOKUP($S$73,'TAR FIN'!$A$1:$O$85,15,0)),0,VLOOKUP($S$73,'TAR FIN'!$A$1:$O$85,15,0))</f>
        <v>0</v>
      </c>
      <c r="W73" s="4">
        <f>IF(ISERROR(VLOOKUP($T$73,'TAR FIN'!$A$1:$O$85,15,0)),0,VLOOKUP($T$73,'TAR FIN'!$A$1:$O$85,15,0))</f>
        <v>80.73</v>
      </c>
      <c r="X73" s="4">
        <f>IF(ISERROR(VLOOKUP($U$73,'TAR FIN'!$A$1:$O$85,15,0)),0,VLOOKUP($U$73,'TAR FIN'!$A$1:$O$85,15,0))</f>
        <v>0</v>
      </c>
      <c r="Y73" s="4"/>
      <c r="Z73" s="4">
        <f ca="1">('TUSD BE'!$AM$12+'TUSD BF'!$AM$12+'TUSD CVA'!$AM$12)*1</f>
        <v>111.74556842703541</v>
      </c>
      <c r="AA73" s="4"/>
      <c r="AB73" s="4">
        <f t="shared" si="8"/>
        <v>0</v>
      </c>
      <c r="AC73" s="4">
        <f t="shared" si="9"/>
        <v>39958.040070000003</v>
      </c>
      <c r="AD73" s="4">
        <f t="shared" si="10"/>
        <v>0</v>
      </c>
      <c r="AE73" s="4">
        <f t="shared" ca="1" si="11"/>
        <v>55309.474803077021</v>
      </c>
      <c r="AF73" s="3" t="s">
        <v>596</v>
      </c>
    </row>
    <row r="74" spans="1:32" ht="11.25" customHeight="1" x14ac:dyDescent="0.3">
      <c r="A74" s="3" t="s">
        <v>21</v>
      </c>
      <c r="B74" s="3" t="s">
        <v>34</v>
      </c>
      <c r="C74" s="3" t="s">
        <v>38</v>
      </c>
      <c r="D74" s="3" t="s">
        <v>33</v>
      </c>
      <c r="E74" s="3" t="s">
        <v>25</v>
      </c>
      <c r="F74" s="3" t="s">
        <v>54</v>
      </c>
      <c r="G74" s="3" t="s">
        <v>25</v>
      </c>
      <c r="H74" s="3" t="s">
        <v>25</v>
      </c>
      <c r="I74" s="6">
        <v>44440</v>
      </c>
      <c r="J74" s="4">
        <v>1446</v>
      </c>
      <c r="K74" s="4">
        <v>320.05078595999998</v>
      </c>
      <c r="L74" s="4">
        <v>0</v>
      </c>
      <c r="M74" s="4">
        <v>0</v>
      </c>
      <c r="N74" s="4">
        <v>0</v>
      </c>
      <c r="O74" s="4">
        <v>0</v>
      </c>
      <c r="P74" s="4">
        <v>2</v>
      </c>
      <c r="Q74" s="3" t="s">
        <v>55</v>
      </c>
      <c r="R74" s="3">
        <v>0</v>
      </c>
      <c r="S74" s="3">
        <v>5</v>
      </c>
      <c r="T74" s="3">
        <v>0</v>
      </c>
      <c r="U74" s="3">
        <v>0</v>
      </c>
      <c r="V74" s="4">
        <f>IF(ISERROR(VLOOKUP($S$74,'TAR FIN'!$A$1:$O$85,15,0)),0,VLOOKUP($S$74,'TAR FIN'!$A$1:$O$85,15,0))</f>
        <v>20.34</v>
      </c>
      <c r="W74" s="4">
        <f>IF(ISERROR(VLOOKUP($T$74,'TAR FIN'!$A$1:$O$85,15,0)),0,VLOOKUP($T$74,'TAR FIN'!$A$1:$O$85,15,0))</f>
        <v>0</v>
      </c>
      <c r="X74" s="4">
        <f>IF(ISERROR(VLOOKUP($U$74,'TAR FIN'!$A$1:$O$85,15,0)),0,VLOOKUP($U$74,'TAR FIN'!$A$1:$O$85,15,0))</f>
        <v>0</v>
      </c>
      <c r="Y74" s="4">
        <f ca="1">('TUSD BE'!$AM$10+'TUSD BF'!$AM$10+'TUSD CVA'!$AM$10)*1</f>
        <v>23.236586763614469</v>
      </c>
      <c r="Z74" s="4"/>
      <c r="AA74" s="4"/>
      <c r="AB74" s="4">
        <f t="shared" si="8"/>
        <v>22901.807013573602</v>
      </c>
      <c r="AC74" s="4">
        <f t="shared" si="9"/>
        <v>0</v>
      </c>
      <c r="AD74" s="4">
        <f t="shared" ca="1" si="10"/>
        <v>26163.216603463978</v>
      </c>
      <c r="AE74" s="4">
        <f t="shared" si="11"/>
        <v>0</v>
      </c>
      <c r="AF74" s="3" t="s">
        <v>596</v>
      </c>
    </row>
    <row r="75" spans="1:32" ht="11.25" customHeight="1" x14ac:dyDescent="0.3">
      <c r="A75" s="3" t="s">
        <v>21</v>
      </c>
      <c r="B75" s="3" t="s">
        <v>34</v>
      </c>
      <c r="C75" s="3" t="s">
        <v>38</v>
      </c>
      <c r="D75" s="3" t="s">
        <v>33</v>
      </c>
      <c r="E75" s="3" t="s">
        <v>25</v>
      </c>
      <c r="F75" s="3" t="s">
        <v>54</v>
      </c>
      <c r="G75" s="3" t="s">
        <v>25</v>
      </c>
      <c r="H75" s="3" t="s">
        <v>25</v>
      </c>
      <c r="I75" s="6">
        <v>44470</v>
      </c>
      <c r="J75" s="4">
        <v>1460</v>
      </c>
      <c r="K75" s="4">
        <v>329.7212462</v>
      </c>
      <c r="L75" s="4">
        <v>0</v>
      </c>
      <c r="M75" s="4">
        <v>0</v>
      </c>
      <c r="N75" s="4">
        <v>0</v>
      </c>
      <c r="O75" s="4">
        <v>0</v>
      </c>
      <c r="P75" s="4">
        <v>2</v>
      </c>
      <c r="Q75" s="3" t="s">
        <v>55</v>
      </c>
      <c r="R75" s="3">
        <v>0</v>
      </c>
      <c r="S75" s="3">
        <v>5</v>
      </c>
      <c r="T75" s="3">
        <v>0</v>
      </c>
      <c r="U75" s="3">
        <v>0</v>
      </c>
      <c r="V75" s="4">
        <f>IF(ISERROR(VLOOKUP($S$75,'TAR FIN'!$A$1:$O$85,15,0)),0,VLOOKUP($S$75,'TAR FIN'!$A$1:$O$85,15,0))</f>
        <v>20.34</v>
      </c>
      <c r="W75" s="4">
        <f>IF(ISERROR(VLOOKUP($T$75,'TAR FIN'!$A$1:$O$85,15,0)),0,VLOOKUP($T$75,'TAR FIN'!$A$1:$O$85,15,0))</f>
        <v>0</v>
      </c>
      <c r="X75" s="4">
        <f>IF(ISERROR(VLOOKUP($U$75,'TAR FIN'!$A$1:$O$85,15,0)),0,VLOOKUP($U$75,'TAR FIN'!$A$1:$O$85,15,0))</f>
        <v>0</v>
      </c>
      <c r="Y75" s="4">
        <f ca="1">('TUSD BE'!$AM$10+'TUSD BF'!$AM$10+'TUSD CVA'!$AM$10)*1</f>
        <v>23.236586763614469</v>
      </c>
      <c r="Z75" s="4"/>
      <c r="AA75" s="4"/>
      <c r="AB75" s="4">
        <f t="shared" si="8"/>
        <v>22989.869852291999</v>
      </c>
      <c r="AC75" s="4">
        <f t="shared" si="9"/>
        <v>0</v>
      </c>
      <c r="AD75" s="4">
        <f t="shared" ca="1" si="10"/>
        <v>26263.820329743736</v>
      </c>
      <c r="AE75" s="4">
        <f t="shared" si="11"/>
        <v>0</v>
      </c>
      <c r="AF75" s="3" t="s">
        <v>596</v>
      </c>
    </row>
    <row r="76" spans="1:32" ht="11.25" customHeight="1" x14ac:dyDescent="0.3">
      <c r="A76" s="3" t="s">
        <v>21</v>
      </c>
      <c r="B76" s="3" t="s">
        <v>34</v>
      </c>
      <c r="C76" s="3" t="s">
        <v>38</v>
      </c>
      <c r="D76" s="3" t="s">
        <v>33</v>
      </c>
      <c r="E76" s="3" t="s">
        <v>25</v>
      </c>
      <c r="F76" s="3" t="s">
        <v>54</v>
      </c>
      <c r="G76" s="3" t="s">
        <v>25</v>
      </c>
      <c r="H76" s="3" t="s">
        <v>25</v>
      </c>
      <c r="I76" s="6">
        <v>44501</v>
      </c>
      <c r="J76" s="4">
        <v>1661</v>
      </c>
      <c r="K76" s="4">
        <v>398.42132935000001</v>
      </c>
      <c r="L76" s="4">
        <v>0</v>
      </c>
      <c r="M76" s="4">
        <v>0</v>
      </c>
      <c r="N76" s="4">
        <v>0</v>
      </c>
      <c r="O76" s="4">
        <v>0</v>
      </c>
      <c r="P76" s="4">
        <v>2</v>
      </c>
      <c r="Q76" s="3" t="s">
        <v>55</v>
      </c>
      <c r="R76" s="3">
        <v>0</v>
      </c>
      <c r="S76" s="3">
        <v>5</v>
      </c>
      <c r="T76" s="3">
        <v>0</v>
      </c>
      <c r="U76" s="3">
        <v>0</v>
      </c>
      <c r="V76" s="4">
        <f>IF(ISERROR(VLOOKUP($S$76,'TAR FIN'!$A$1:$O$85,15,0)),0,VLOOKUP($S$76,'TAR FIN'!$A$1:$O$85,15,0))</f>
        <v>20.34</v>
      </c>
      <c r="W76" s="4">
        <f>IF(ISERROR(VLOOKUP($T$76,'TAR FIN'!$A$1:$O$85,15,0)),0,VLOOKUP($T$76,'TAR FIN'!$A$1:$O$85,15,0))</f>
        <v>0</v>
      </c>
      <c r="X76" s="4">
        <f>IF(ISERROR(VLOOKUP($U$76,'TAR FIN'!$A$1:$O$85,15,0)),0,VLOOKUP($U$76,'TAR FIN'!$A$1:$O$85,15,0))</f>
        <v>0</v>
      </c>
      <c r="Y76" s="4">
        <f ca="1">('TUSD BE'!$AM$10+'TUSD BF'!$AM$10+'TUSD CVA'!$AM$10)*1</f>
        <v>23.236586763614469</v>
      </c>
      <c r="Z76" s="4"/>
      <c r="AA76" s="4"/>
      <c r="AB76" s="4">
        <f t="shared" si="8"/>
        <v>25680.850161021001</v>
      </c>
      <c r="AC76" s="4">
        <f t="shared" si="9"/>
        <v>0</v>
      </c>
      <c r="AD76" s="4">
        <f t="shared" ca="1" si="10"/>
        <v>29338.018826447744</v>
      </c>
      <c r="AE76" s="4">
        <f t="shared" si="11"/>
        <v>0</v>
      </c>
      <c r="AF76" s="3" t="s">
        <v>596</v>
      </c>
    </row>
    <row r="77" spans="1:32" ht="11.25" customHeight="1" x14ac:dyDescent="0.3">
      <c r="A77" s="3" t="s">
        <v>21</v>
      </c>
      <c r="B77" s="3" t="s">
        <v>34</v>
      </c>
      <c r="C77" s="3" t="s">
        <v>38</v>
      </c>
      <c r="D77" s="3" t="s">
        <v>33</v>
      </c>
      <c r="E77" s="3" t="s">
        <v>25</v>
      </c>
      <c r="F77" s="3" t="s">
        <v>54</v>
      </c>
      <c r="G77" s="3" t="s">
        <v>25</v>
      </c>
      <c r="H77" s="3" t="s">
        <v>25</v>
      </c>
      <c r="I77" s="6">
        <v>44531</v>
      </c>
      <c r="J77" s="4">
        <v>1729</v>
      </c>
      <c r="K77" s="4">
        <v>417.51523723000003</v>
      </c>
      <c r="L77" s="4">
        <v>0</v>
      </c>
      <c r="M77" s="4">
        <v>0</v>
      </c>
      <c r="N77" s="4">
        <v>0</v>
      </c>
      <c r="O77" s="4">
        <v>0</v>
      </c>
      <c r="P77" s="4">
        <v>2</v>
      </c>
      <c r="Q77" s="3" t="s">
        <v>55</v>
      </c>
      <c r="R77" s="3">
        <v>0</v>
      </c>
      <c r="S77" s="3">
        <v>5</v>
      </c>
      <c r="T77" s="3">
        <v>0</v>
      </c>
      <c r="U77" s="3">
        <v>0</v>
      </c>
      <c r="V77" s="4">
        <f>IF(ISERROR(VLOOKUP($S$77,'TAR FIN'!$A$1:$O$85,15,0)),0,VLOOKUP($S$77,'TAR FIN'!$A$1:$O$85,15,0))</f>
        <v>20.34</v>
      </c>
      <c r="W77" s="4">
        <f>IF(ISERROR(VLOOKUP($T$77,'TAR FIN'!$A$1:$O$85,15,0)),0,VLOOKUP($T$77,'TAR FIN'!$A$1:$O$85,15,0))</f>
        <v>0</v>
      </c>
      <c r="X77" s="4">
        <f>IF(ISERROR(VLOOKUP($U$77,'TAR FIN'!$A$1:$O$85,15,0)),0,VLOOKUP($U$77,'TAR FIN'!$A$1:$O$85,15,0))</f>
        <v>0</v>
      </c>
      <c r="Y77" s="4">
        <f ca="1">('TUSD BE'!$AM$10+'TUSD BF'!$AM$10+'TUSD CVA'!$AM$10)*1</f>
        <v>23.236586763614469</v>
      </c>
      <c r="Z77" s="4"/>
      <c r="AA77" s="4"/>
      <c r="AB77" s="4">
        <f t="shared" si="8"/>
        <v>26675.6000747418</v>
      </c>
      <c r="AC77" s="4">
        <f t="shared" si="9"/>
        <v>0</v>
      </c>
      <c r="AD77" s="4">
        <f t="shared" ca="1" si="10"/>
        <v>30474.429479263446</v>
      </c>
      <c r="AE77" s="4">
        <f t="shared" si="11"/>
        <v>0</v>
      </c>
      <c r="AF77" s="3" t="s">
        <v>596</v>
      </c>
    </row>
    <row r="78" spans="1:32" ht="11.25" customHeight="1" x14ac:dyDescent="0.3">
      <c r="A78" s="3" t="s">
        <v>21</v>
      </c>
      <c r="B78" s="3" t="s">
        <v>34</v>
      </c>
      <c r="C78" s="3" t="s">
        <v>38</v>
      </c>
      <c r="D78" s="3" t="s">
        <v>33</v>
      </c>
      <c r="E78" s="3" t="s">
        <v>25</v>
      </c>
      <c r="F78" s="3" t="s">
        <v>54</v>
      </c>
      <c r="G78" s="3" t="s">
        <v>25</v>
      </c>
      <c r="H78" s="3" t="s">
        <v>25</v>
      </c>
      <c r="I78" s="6">
        <v>44562</v>
      </c>
      <c r="J78" s="4">
        <v>1708</v>
      </c>
      <c r="K78" s="4">
        <v>1253.8952868399999</v>
      </c>
      <c r="L78" s="4">
        <v>0</v>
      </c>
      <c r="M78" s="4">
        <v>0</v>
      </c>
      <c r="N78" s="4">
        <v>0</v>
      </c>
      <c r="O78" s="4">
        <v>0</v>
      </c>
      <c r="P78" s="4">
        <v>2</v>
      </c>
      <c r="Q78" s="3" t="s">
        <v>55</v>
      </c>
      <c r="R78" s="3">
        <v>0</v>
      </c>
      <c r="S78" s="3">
        <v>5</v>
      </c>
      <c r="T78" s="3">
        <v>0</v>
      </c>
      <c r="U78" s="3">
        <v>0</v>
      </c>
      <c r="V78" s="4">
        <f>IF(ISERROR(VLOOKUP($S$78,'TAR FIN'!$A$1:$O$85,15,0)),0,VLOOKUP($S$78,'TAR FIN'!$A$1:$O$85,15,0))</f>
        <v>20.34</v>
      </c>
      <c r="W78" s="4">
        <f>IF(ISERROR(VLOOKUP($T$78,'TAR FIN'!$A$1:$O$85,15,0)),0,VLOOKUP($T$78,'TAR FIN'!$A$1:$O$85,15,0))</f>
        <v>0</v>
      </c>
      <c r="X78" s="4">
        <f>IF(ISERROR(VLOOKUP($U$78,'TAR FIN'!$A$1:$O$85,15,0)),0,VLOOKUP($U$78,'TAR FIN'!$A$1:$O$85,15,0))</f>
        <v>0</v>
      </c>
      <c r="Y78" s="4">
        <f ca="1">('TUSD BE'!$AM$10+'TUSD BF'!$AM$10+'TUSD CVA'!$AM$10)*1</f>
        <v>23.236586763614469</v>
      </c>
      <c r="Z78" s="4"/>
      <c r="AA78" s="4"/>
      <c r="AB78" s="4">
        <f t="shared" si="8"/>
        <v>9236.4898656744008</v>
      </c>
      <c r="AC78" s="4">
        <f t="shared" si="9"/>
        <v>0</v>
      </c>
      <c r="AD78" s="4">
        <f t="shared" ca="1" si="10"/>
        <v>10551.843567108603</v>
      </c>
      <c r="AE78" s="4">
        <f t="shared" si="11"/>
        <v>0</v>
      </c>
      <c r="AF78" s="3" t="s">
        <v>596</v>
      </c>
    </row>
    <row r="79" spans="1:32" ht="11.25" customHeight="1" x14ac:dyDescent="0.3">
      <c r="A79" s="3" t="s">
        <v>21</v>
      </c>
      <c r="B79" s="3" t="s">
        <v>34</v>
      </c>
      <c r="C79" s="3" t="s">
        <v>38</v>
      </c>
      <c r="D79" s="3" t="s">
        <v>33</v>
      </c>
      <c r="E79" s="3" t="s">
        <v>25</v>
      </c>
      <c r="F79" s="3" t="s">
        <v>54</v>
      </c>
      <c r="G79" s="3" t="s">
        <v>25</v>
      </c>
      <c r="H79" s="3" t="s">
        <v>25</v>
      </c>
      <c r="I79" s="6">
        <v>44593</v>
      </c>
      <c r="J79" s="4">
        <v>1732</v>
      </c>
      <c r="K79" s="4">
        <v>1732</v>
      </c>
      <c r="L79" s="4">
        <v>0</v>
      </c>
      <c r="M79" s="4">
        <v>0</v>
      </c>
      <c r="N79" s="4">
        <v>0</v>
      </c>
      <c r="O79" s="4">
        <v>0</v>
      </c>
      <c r="P79" s="4">
        <v>2</v>
      </c>
      <c r="Q79" s="3" t="s">
        <v>55</v>
      </c>
      <c r="R79" s="3">
        <v>0</v>
      </c>
      <c r="S79" s="3">
        <v>5</v>
      </c>
      <c r="T79" s="3">
        <v>0</v>
      </c>
      <c r="U79" s="3">
        <v>0</v>
      </c>
      <c r="V79" s="4">
        <f>IF(ISERROR(VLOOKUP($S$79,'TAR FIN'!$A$1:$O$85,15,0)),0,VLOOKUP($S$79,'TAR FIN'!$A$1:$O$85,15,0))</f>
        <v>20.34</v>
      </c>
      <c r="W79" s="4">
        <f>IF(ISERROR(VLOOKUP($T$79,'TAR FIN'!$A$1:$O$85,15,0)),0,VLOOKUP($T$79,'TAR FIN'!$A$1:$O$85,15,0))</f>
        <v>0</v>
      </c>
      <c r="X79" s="4">
        <f>IF(ISERROR(VLOOKUP($U$79,'TAR FIN'!$A$1:$O$85,15,0)),0,VLOOKUP($U$79,'TAR FIN'!$A$1:$O$85,15,0))</f>
        <v>0</v>
      </c>
      <c r="Y79" s="4">
        <f ca="1">('TUSD BE'!$AM$10+'TUSD BF'!$AM$10+'TUSD CVA'!$AM$10)*1</f>
        <v>23.236586763614469</v>
      </c>
      <c r="Z79" s="4"/>
      <c r="AA79" s="4"/>
      <c r="AB79" s="4">
        <f t="shared" si="8"/>
        <v>0</v>
      </c>
      <c r="AC79" s="4">
        <f t="shared" si="9"/>
        <v>0</v>
      </c>
      <c r="AD79" s="4">
        <f t="shared" ca="1" si="10"/>
        <v>0</v>
      </c>
      <c r="AE79" s="4">
        <f t="shared" si="11"/>
        <v>0</v>
      </c>
      <c r="AF79" s="3" t="s">
        <v>596</v>
      </c>
    </row>
    <row r="80" spans="1:32" ht="11.25" customHeight="1" x14ac:dyDescent="0.3">
      <c r="A80" s="3" t="s">
        <v>21</v>
      </c>
      <c r="B80" s="3" t="s">
        <v>34</v>
      </c>
      <c r="C80" s="3" t="s">
        <v>38</v>
      </c>
      <c r="D80" s="3" t="s">
        <v>33</v>
      </c>
      <c r="E80" s="3" t="s">
        <v>25</v>
      </c>
      <c r="F80" s="3" t="s">
        <v>54</v>
      </c>
      <c r="G80" s="3" t="s">
        <v>25</v>
      </c>
      <c r="H80" s="3" t="s">
        <v>25</v>
      </c>
      <c r="I80" s="6">
        <v>44621</v>
      </c>
      <c r="J80" s="4">
        <v>1732</v>
      </c>
      <c r="K80" s="4">
        <v>1331.8529916800001</v>
      </c>
      <c r="L80" s="4">
        <v>0</v>
      </c>
      <c r="M80" s="4">
        <v>0</v>
      </c>
      <c r="N80" s="4">
        <v>0</v>
      </c>
      <c r="O80" s="4">
        <v>0</v>
      </c>
      <c r="P80" s="4">
        <v>2</v>
      </c>
      <c r="Q80" s="3" t="s">
        <v>55</v>
      </c>
      <c r="R80" s="3">
        <v>0</v>
      </c>
      <c r="S80" s="3">
        <v>5</v>
      </c>
      <c r="T80" s="3">
        <v>0</v>
      </c>
      <c r="U80" s="3">
        <v>0</v>
      </c>
      <c r="V80" s="4">
        <f>IF(ISERROR(VLOOKUP($S$80,'TAR FIN'!$A$1:$O$85,15,0)),0,VLOOKUP($S$80,'TAR FIN'!$A$1:$O$85,15,0))</f>
        <v>20.34</v>
      </c>
      <c r="W80" s="4">
        <f>IF(ISERROR(VLOOKUP($T$80,'TAR FIN'!$A$1:$O$85,15,0)),0,VLOOKUP($T$80,'TAR FIN'!$A$1:$O$85,15,0))</f>
        <v>0</v>
      </c>
      <c r="X80" s="4">
        <f>IF(ISERROR(VLOOKUP($U$80,'TAR FIN'!$A$1:$O$85,15,0)),0,VLOOKUP($U$80,'TAR FIN'!$A$1:$O$85,15,0))</f>
        <v>0</v>
      </c>
      <c r="Y80" s="4">
        <f ca="1">('TUSD BE'!$AM$10+'TUSD BF'!$AM$10+'TUSD CVA'!$AM$10)*1</f>
        <v>23.236586763614469</v>
      </c>
      <c r="Z80" s="4"/>
      <c r="AA80" s="4"/>
      <c r="AB80" s="4">
        <f t="shared" si="8"/>
        <v>8138.9901492287991</v>
      </c>
      <c r="AC80" s="4">
        <f t="shared" si="9"/>
        <v>0</v>
      </c>
      <c r="AD80" s="4">
        <f t="shared" ca="1" si="10"/>
        <v>9298.0506770284392</v>
      </c>
      <c r="AE80" s="4">
        <f t="shared" si="11"/>
        <v>0</v>
      </c>
      <c r="AF80" s="3" t="s">
        <v>596</v>
      </c>
    </row>
    <row r="81" spans="1:32" ht="11.25" customHeight="1" x14ac:dyDescent="0.3">
      <c r="A81" s="3" t="s">
        <v>21</v>
      </c>
      <c r="B81" s="3" t="s">
        <v>34</v>
      </c>
      <c r="C81" s="3" t="s">
        <v>38</v>
      </c>
      <c r="D81" s="3" t="s">
        <v>33</v>
      </c>
      <c r="E81" s="3" t="s">
        <v>25</v>
      </c>
      <c r="F81" s="3" t="s">
        <v>54</v>
      </c>
      <c r="G81" s="3" t="s">
        <v>25</v>
      </c>
      <c r="H81" s="3" t="s">
        <v>25</v>
      </c>
      <c r="I81" s="6">
        <v>44652</v>
      </c>
      <c r="J81" s="4">
        <v>1695</v>
      </c>
      <c r="K81" s="4">
        <v>-273.01080239999999</v>
      </c>
      <c r="L81" s="4">
        <v>0</v>
      </c>
      <c r="M81" s="4">
        <v>0</v>
      </c>
      <c r="N81" s="4">
        <v>0</v>
      </c>
      <c r="O81" s="4">
        <v>0</v>
      </c>
      <c r="P81" s="4">
        <v>2</v>
      </c>
      <c r="Q81" s="3" t="s">
        <v>55</v>
      </c>
      <c r="R81" s="3">
        <v>0</v>
      </c>
      <c r="S81" s="3">
        <v>5</v>
      </c>
      <c r="T81" s="3">
        <v>0</v>
      </c>
      <c r="U81" s="3">
        <v>0</v>
      </c>
      <c r="V81" s="4">
        <f>IF(ISERROR(VLOOKUP($S$81,'TAR FIN'!$A$1:$O$85,15,0)),0,VLOOKUP($S$81,'TAR FIN'!$A$1:$O$85,15,0))</f>
        <v>20.34</v>
      </c>
      <c r="W81" s="4">
        <f>IF(ISERROR(VLOOKUP($T$81,'TAR FIN'!$A$1:$O$85,15,0)),0,VLOOKUP($T$81,'TAR FIN'!$A$1:$O$85,15,0))</f>
        <v>0</v>
      </c>
      <c r="X81" s="4">
        <f>IF(ISERROR(VLOOKUP($U$81,'TAR FIN'!$A$1:$O$85,15,0)),0,VLOOKUP($U$81,'TAR FIN'!$A$1:$O$85,15,0))</f>
        <v>0</v>
      </c>
      <c r="Y81" s="4">
        <f ca="1">('TUSD BE'!$AM$10+'TUSD BF'!$AM$10+'TUSD CVA'!$AM$10)*1</f>
        <v>23.236586763614469</v>
      </c>
      <c r="Z81" s="4"/>
      <c r="AA81" s="4"/>
      <c r="AB81" s="4">
        <f t="shared" si="8"/>
        <v>40029.339720816002</v>
      </c>
      <c r="AC81" s="4">
        <f t="shared" si="9"/>
        <v>0</v>
      </c>
      <c r="AD81" s="4">
        <f t="shared" ca="1" si="10"/>
        <v>45729.853761698134</v>
      </c>
      <c r="AE81" s="4">
        <f t="shared" si="11"/>
        <v>0</v>
      </c>
      <c r="AF81" s="3" t="s">
        <v>596</v>
      </c>
    </row>
    <row r="82" spans="1:32" ht="11.25" customHeight="1" x14ac:dyDescent="0.3">
      <c r="A82" s="3" t="s">
        <v>21</v>
      </c>
      <c r="B82" s="3" t="s">
        <v>34</v>
      </c>
      <c r="C82" s="3" t="s">
        <v>38</v>
      </c>
      <c r="D82" s="3" t="s">
        <v>33</v>
      </c>
      <c r="E82" s="3" t="s">
        <v>25</v>
      </c>
      <c r="F82" s="3" t="s">
        <v>54</v>
      </c>
      <c r="G82" s="3" t="s">
        <v>25</v>
      </c>
      <c r="H82" s="3" t="s">
        <v>25</v>
      </c>
      <c r="I82" s="6">
        <v>44682</v>
      </c>
      <c r="J82" s="4">
        <v>1695</v>
      </c>
      <c r="K82" s="4">
        <v>848.18978025000001</v>
      </c>
      <c r="L82" s="4">
        <v>0</v>
      </c>
      <c r="M82" s="4">
        <v>0</v>
      </c>
      <c r="N82" s="4">
        <v>0</v>
      </c>
      <c r="O82" s="4">
        <v>0</v>
      </c>
      <c r="P82" s="4">
        <v>2</v>
      </c>
      <c r="Q82" s="3" t="s">
        <v>55</v>
      </c>
      <c r="R82" s="3">
        <v>0</v>
      </c>
      <c r="S82" s="3">
        <v>5</v>
      </c>
      <c r="T82" s="3">
        <v>0</v>
      </c>
      <c r="U82" s="3">
        <v>0</v>
      </c>
      <c r="V82" s="4">
        <f>IF(ISERROR(VLOOKUP($S$82,'TAR FIN'!$A$1:$O$85,15,0)),0,VLOOKUP($S$82,'TAR FIN'!$A$1:$O$85,15,0))</f>
        <v>20.34</v>
      </c>
      <c r="W82" s="4">
        <f>IF(ISERROR(VLOOKUP($T$82,'TAR FIN'!$A$1:$O$85,15,0)),0,VLOOKUP($T$82,'TAR FIN'!$A$1:$O$85,15,0))</f>
        <v>0</v>
      </c>
      <c r="X82" s="4">
        <f>IF(ISERROR(VLOOKUP($U$82,'TAR FIN'!$A$1:$O$85,15,0)),0,VLOOKUP($U$82,'TAR FIN'!$A$1:$O$85,15,0))</f>
        <v>0</v>
      </c>
      <c r="Y82" s="4">
        <f ca="1">('TUSD BE'!$AM$10+'TUSD BF'!$AM$10+'TUSD CVA'!$AM$10)*1</f>
        <v>23.236586763614469</v>
      </c>
      <c r="Z82" s="4"/>
      <c r="AA82" s="4"/>
      <c r="AB82" s="4">
        <f t="shared" si="8"/>
        <v>17224.119869714999</v>
      </c>
      <c r="AC82" s="4">
        <f t="shared" si="9"/>
        <v>0</v>
      </c>
      <c r="AD82" s="4">
        <f t="shared" ca="1" si="10"/>
        <v>19676.979143536308</v>
      </c>
      <c r="AE82" s="4">
        <f t="shared" si="11"/>
        <v>0</v>
      </c>
      <c r="AF82" s="3" t="s">
        <v>596</v>
      </c>
    </row>
    <row r="83" spans="1:32" ht="11.25" customHeight="1" x14ac:dyDescent="0.3">
      <c r="A83" s="3" t="s">
        <v>21</v>
      </c>
      <c r="B83" s="3" t="s">
        <v>34</v>
      </c>
      <c r="C83" s="3" t="s">
        <v>38</v>
      </c>
      <c r="D83" s="3" t="s">
        <v>33</v>
      </c>
      <c r="E83" s="3" t="s">
        <v>25</v>
      </c>
      <c r="F83" s="3" t="s">
        <v>54</v>
      </c>
      <c r="G83" s="3" t="s">
        <v>25</v>
      </c>
      <c r="H83" s="3" t="s">
        <v>25</v>
      </c>
      <c r="I83" s="6">
        <v>44713</v>
      </c>
      <c r="J83" s="4">
        <v>1695</v>
      </c>
      <c r="K83" s="4">
        <v>849.64356480000004</v>
      </c>
      <c r="L83" s="4">
        <v>0</v>
      </c>
      <c r="M83" s="4">
        <v>0</v>
      </c>
      <c r="N83" s="4">
        <v>0</v>
      </c>
      <c r="O83" s="4">
        <v>0</v>
      </c>
      <c r="P83" s="4">
        <v>2</v>
      </c>
      <c r="Q83" s="3" t="s">
        <v>55</v>
      </c>
      <c r="R83" s="3">
        <v>0</v>
      </c>
      <c r="S83" s="3">
        <v>5</v>
      </c>
      <c r="T83" s="3">
        <v>0</v>
      </c>
      <c r="U83" s="3">
        <v>0</v>
      </c>
      <c r="V83" s="4">
        <f>IF(ISERROR(VLOOKUP($S$83,'TAR FIN'!$A$1:$O$85,15,0)),0,VLOOKUP($S$83,'TAR FIN'!$A$1:$O$85,15,0))</f>
        <v>20.34</v>
      </c>
      <c r="W83" s="4">
        <f>IF(ISERROR(VLOOKUP($T$83,'TAR FIN'!$A$1:$O$85,15,0)),0,VLOOKUP($T$83,'TAR FIN'!$A$1:$O$85,15,0))</f>
        <v>0</v>
      </c>
      <c r="X83" s="4">
        <f>IF(ISERROR(VLOOKUP($U$83,'TAR FIN'!$A$1:$O$85,15,0)),0,VLOOKUP($U$83,'TAR FIN'!$A$1:$O$85,15,0))</f>
        <v>0</v>
      </c>
      <c r="Y83" s="4">
        <f ca="1">('TUSD BE'!$AM$10+'TUSD BF'!$AM$10+'TUSD CVA'!$AM$10)*1</f>
        <v>23.236586763614469</v>
      </c>
      <c r="Z83" s="4"/>
      <c r="AA83" s="4"/>
      <c r="AB83" s="4">
        <f t="shared" si="8"/>
        <v>17194.549891967999</v>
      </c>
      <c r="AC83" s="4">
        <f t="shared" si="9"/>
        <v>0</v>
      </c>
      <c r="AD83" s="4">
        <f t="shared" ca="1" si="10"/>
        <v>19643.19815270463</v>
      </c>
      <c r="AE83" s="4">
        <f t="shared" si="11"/>
        <v>0</v>
      </c>
      <c r="AF83" s="3" t="s">
        <v>596</v>
      </c>
    </row>
    <row r="84" spans="1:32" ht="11.25" customHeight="1" x14ac:dyDescent="0.3">
      <c r="A84" s="3" t="s">
        <v>21</v>
      </c>
      <c r="B84" s="3" t="s">
        <v>34</v>
      </c>
      <c r="C84" s="3" t="s">
        <v>38</v>
      </c>
      <c r="D84" s="3" t="s">
        <v>33</v>
      </c>
      <c r="E84" s="3" t="s">
        <v>25</v>
      </c>
      <c r="F84" s="3" t="s">
        <v>54</v>
      </c>
      <c r="G84" s="3" t="s">
        <v>25</v>
      </c>
      <c r="H84" s="3" t="s">
        <v>25</v>
      </c>
      <c r="I84" s="6">
        <v>44743</v>
      </c>
      <c r="J84" s="4">
        <v>2195</v>
      </c>
      <c r="K84" s="4">
        <v>1097.4921419</v>
      </c>
      <c r="L84" s="4">
        <v>0</v>
      </c>
      <c r="M84" s="4">
        <v>0</v>
      </c>
      <c r="N84" s="4">
        <v>0</v>
      </c>
      <c r="O84" s="4">
        <v>0</v>
      </c>
      <c r="P84" s="4">
        <v>3</v>
      </c>
      <c r="Q84" s="3" t="s">
        <v>55</v>
      </c>
      <c r="R84" s="3">
        <v>0</v>
      </c>
      <c r="S84" s="3">
        <v>5</v>
      </c>
      <c r="T84" s="3">
        <v>0</v>
      </c>
      <c r="U84" s="3">
        <v>0</v>
      </c>
      <c r="V84" s="4">
        <f>IF(ISERROR(VLOOKUP($S$84,'TAR FIN'!$A$1:$O$85,15,0)),0,VLOOKUP($S$84,'TAR FIN'!$A$1:$O$85,15,0))</f>
        <v>20.34</v>
      </c>
      <c r="W84" s="4">
        <f>IF(ISERROR(VLOOKUP($T$84,'TAR FIN'!$A$1:$O$85,15,0)),0,VLOOKUP($T$84,'TAR FIN'!$A$1:$O$85,15,0))</f>
        <v>0</v>
      </c>
      <c r="X84" s="4">
        <f>IF(ISERROR(VLOOKUP($U$84,'TAR FIN'!$A$1:$O$85,15,0)),0,VLOOKUP($U$84,'TAR FIN'!$A$1:$O$85,15,0))</f>
        <v>0</v>
      </c>
      <c r="Y84" s="4">
        <f ca="1">('TUSD BE'!$AM$10+'TUSD BF'!$AM$10+'TUSD CVA'!$AM$10)*1</f>
        <v>23.236586763614469</v>
      </c>
      <c r="Z84" s="4"/>
      <c r="AA84" s="4"/>
      <c r="AB84" s="4">
        <f t="shared" si="8"/>
        <v>22323.309833754</v>
      </c>
      <c r="AC84" s="4">
        <f t="shared" si="9"/>
        <v>0</v>
      </c>
      <c r="AD84" s="4">
        <f t="shared" ca="1" si="10"/>
        <v>25502.336568489325</v>
      </c>
      <c r="AE84" s="4">
        <f t="shared" si="11"/>
        <v>0</v>
      </c>
      <c r="AF84" s="3" t="s">
        <v>596</v>
      </c>
    </row>
    <row r="85" spans="1:32" ht="11.25" customHeight="1" x14ac:dyDescent="0.3">
      <c r="A85" s="3" t="s">
        <v>53</v>
      </c>
      <c r="B85" s="3" t="s">
        <v>34</v>
      </c>
      <c r="C85" s="3" t="s">
        <v>38</v>
      </c>
      <c r="D85" s="3" t="s">
        <v>33</v>
      </c>
      <c r="E85" s="3" t="s">
        <v>25</v>
      </c>
      <c r="F85" s="3" t="s">
        <v>54</v>
      </c>
      <c r="G85" s="3" t="s">
        <v>25</v>
      </c>
      <c r="H85" s="3" t="s">
        <v>25</v>
      </c>
      <c r="I85" s="6">
        <v>44774</v>
      </c>
      <c r="J85" s="4">
        <v>2195</v>
      </c>
      <c r="K85" s="4">
        <v>1097.4921419</v>
      </c>
      <c r="L85" s="4">
        <v>0</v>
      </c>
      <c r="M85" s="4">
        <v>0</v>
      </c>
      <c r="N85" s="4">
        <v>0</v>
      </c>
      <c r="O85" s="4">
        <v>0</v>
      </c>
      <c r="P85" s="4">
        <v>3</v>
      </c>
      <c r="Q85" s="3" t="s">
        <v>55</v>
      </c>
      <c r="R85" s="3">
        <v>0</v>
      </c>
      <c r="S85" s="3">
        <v>5</v>
      </c>
      <c r="T85" s="3">
        <v>0</v>
      </c>
      <c r="U85" s="3">
        <v>0</v>
      </c>
      <c r="V85" s="4">
        <f>IF(ISERROR(VLOOKUP($S$85,'TAR FIN'!$A$1:$O$85,15,0)),0,VLOOKUP($S$85,'TAR FIN'!$A$1:$O$85,15,0))</f>
        <v>20.34</v>
      </c>
      <c r="W85" s="4">
        <f>IF(ISERROR(VLOOKUP($T$85,'TAR FIN'!$A$1:$O$85,15,0)),0,VLOOKUP($T$85,'TAR FIN'!$A$1:$O$85,15,0))</f>
        <v>0</v>
      </c>
      <c r="X85" s="4">
        <f>IF(ISERROR(VLOOKUP($U$85,'TAR FIN'!$A$1:$O$85,15,0)),0,VLOOKUP($U$85,'TAR FIN'!$A$1:$O$85,15,0))</f>
        <v>0</v>
      </c>
      <c r="Y85" s="4">
        <f ca="1">('TUSD BE'!$AM$10+'TUSD BF'!$AM$10+'TUSD CVA'!$AM$10)*1</f>
        <v>23.236586763614469</v>
      </c>
      <c r="Z85" s="4"/>
      <c r="AA85" s="4"/>
      <c r="AB85" s="4">
        <f t="shared" si="8"/>
        <v>22323.309833754</v>
      </c>
      <c r="AC85" s="4">
        <f t="shared" si="9"/>
        <v>0</v>
      </c>
      <c r="AD85" s="4">
        <f t="shared" ca="1" si="10"/>
        <v>25502.336568489325</v>
      </c>
      <c r="AE85" s="4">
        <f t="shared" si="11"/>
        <v>0</v>
      </c>
      <c r="AF85" s="3" t="s">
        <v>596</v>
      </c>
    </row>
    <row r="86" spans="1:32" ht="11.25" customHeight="1" x14ac:dyDescent="0.3">
      <c r="A86" s="3" t="s">
        <v>21</v>
      </c>
      <c r="B86" s="3" t="s">
        <v>34</v>
      </c>
      <c r="C86" s="3" t="s">
        <v>38</v>
      </c>
      <c r="D86" s="3" t="s">
        <v>33</v>
      </c>
      <c r="E86" s="3" t="s">
        <v>25</v>
      </c>
      <c r="F86" s="3" t="s">
        <v>54</v>
      </c>
      <c r="G86" s="3" t="s">
        <v>25</v>
      </c>
      <c r="H86" s="3" t="s">
        <v>36</v>
      </c>
      <c r="I86" s="6">
        <v>44440</v>
      </c>
      <c r="J86" s="4">
        <v>0</v>
      </c>
      <c r="K86" s="4">
        <v>0</v>
      </c>
      <c r="L86" s="4">
        <v>37.640999999999998</v>
      </c>
      <c r="M86" s="4">
        <v>10.969638713129999</v>
      </c>
      <c r="N86" s="4">
        <v>0</v>
      </c>
      <c r="O86" s="4">
        <v>0</v>
      </c>
      <c r="P86" s="4">
        <v>0</v>
      </c>
      <c r="Q86" s="3" t="s">
        <v>55</v>
      </c>
      <c r="R86" s="3">
        <v>0</v>
      </c>
      <c r="S86" s="3">
        <v>0</v>
      </c>
      <c r="T86" s="3">
        <v>13</v>
      </c>
      <c r="U86" s="3">
        <v>0</v>
      </c>
      <c r="V86" s="4">
        <f>IF(ISERROR(VLOOKUP($S$86,'TAR FIN'!$A$1:$O$85,15,0)),0,VLOOKUP($S$86,'TAR FIN'!$A$1:$O$85,15,0))</f>
        <v>0</v>
      </c>
      <c r="W86" s="4">
        <f>IF(ISERROR(VLOOKUP($T$86,'TAR FIN'!$A$1:$O$85,15,0)),0,VLOOKUP($T$86,'TAR FIN'!$A$1:$O$85,15,0))</f>
        <v>1624.27</v>
      </c>
      <c r="X86" s="4">
        <f>IF(ISERROR(VLOOKUP($U$86,'TAR FIN'!$A$1:$O$85,15,0)),0,VLOOKUP($U$86,'TAR FIN'!$A$1:$O$85,15,0))</f>
        <v>0</v>
      </c>
      <c r="Y86" s="4"/>
      <c r="Z86" s="4">
        <f ca="1">('TUSD BE'!$AM$11+'TUSD BF'!$AM$11+'TUSD CVA'!$AM$11)*1</f>
        <v>1640.7086985348694</v>
      </c>
      <c r="AA86" s="4"/>
      <c r="AB86" s="4">
        <f t="shared" si="8"/>
        <v>0</v>
      </c>
      <c r="AC86" s="4">
        <f t="shared" si="9"/>
        <v>43321.491997424331</v>
      </c>
      <c r="AD86" s="4">
        <f t="shared" si="10"/>
        <v>0</v>
      </c>
      <c r="AE86" s="4">
        <f t="shared" ca="1" si="11"/>
        <v>43759.934465133774</v>
      </c>
      <c r="AF86" s="3" t="s">
        <v>596</v>
      </c>
    </row>
    <row r="87" spans="1:32" ht="11.25" customHeight="1" x14ac:dyDescent="0.3">
      <c r="A87" s="3" t="s">
        <v>21</v>
      </c>
      <c r="B87" s="3" t="s">
        <v>34</v>
      </c>
      <c r="C87" s="3" t="s">
        <v>38</v>
      </c>
      <c r="D87" s="3" t="s">
        <v>33</v>
      </c>
      <c r="E87" s="3" t="s">
        <v>25</v>
      </c>
      <c r="F87" s="3" t="s">
        <v>54</v>
      </c>
      <c r="G87" s="3" t="s">
        <v>25</v>
      </c>
      <c r="H87" s="3" t="s">
        <v>36</v>
      </c>
      <c r="I87" s="6">
        <v>44470</v>
      </c>
      <c r="J87" s="4">
        <v>0</v>
      </c>
      <c r="K87" s="4">
        <v>0</v>
      </c>
      <c r="L87" s="4">
        <v>39.328000000000003</v>
      </c>
      <c r="M87" s="4">
        <v>10.8741566048</v>
      </c>
      <c r="N87" s="4">
        <v>0</v>
      </c>
      <c r="O87" s="4">
        <v>0</v>
      </c>
      <c r="P87" s="4">
        <v>0</v>
      </c>
      <c r="Q87" s="3" t="s">
        <v>55</v>
      </c>
      <c r="R87" s="3">
        <v>0</v>
      </c>
      <c r="S87" s="3">
        <v>0</v>
      </c>
      <c r="T87" s="3">
        <v>13</v>
      </c>
      <c r="U87" s="3">
        <v>0</v>
      </c>
      <c r="V87" s="4">
        <f>IF(ISERROR(VLOOKUP($S$87,'TAR FIN'!$A$1:$O$85,15,0)),0,VLOOKUP($S$87,'TAR FIN'!$A$1:$O$85,15,0))</f>
        <v>0</v>
      </c>
      <c r="W87" s="4">
        <f>IF(ISERROR(VLOOKUP($T$87,'TAR FIN'!$A$1:$O$85,15,0)),0,VLOOKUP($T$87,'TAR FIN'!$A$1:$O$85,15,0))</f>
        <v>1624.27</v>
      </c>
      <c r="X87" s="4">
        <f>IF(ISERROR(VLOOKUP($U$87,'TAR FIN'!$A$1:$O$85,15,0)),0,VLOOKUP($U$87,'TAR FIN'!$A$1:$O$85,15,0))</f>
        <v>0</v>
      </c>
      <c r="Y87" s="4"/>
      <c r="Z87" s="4">
        <f ca="1">('TUSD BE'!$AM$11+'TUSD BF'!$AM$11+'TUSD CVA'!$AM$11)*1</f>
        <v>1640.7086985348694</v>
      </c>
      <c r="AA87" s="4"/>
      <c r="AB87" s="4">
        <f t="shared" si="8"/>
        <v>0</v>
      </c>
      <c r="AC87" s="4">
        <f t="shared" si="9"/>
        <v>46216.724211521512</v>
      </c>
      <c r="AD87" s="4">
        <f t="shared" si="10"/>
        <v>0</v>
      </c>
      <c r="AE87" s="4">
        <f t="shared" ca="1" si="11"/>
        <v>46684.46836525359</v>
      </c>
      <c r="AF87" s="3" t="s">
        <v>596</v>
      </c>
    </row>
    <row r="88" spans="1:32" ht="11.25" customHeight="1" x14ac:dyDescent="0.3">
      <c r="A88" s="3" t="s">
        <v>21</v>
      </c>
      <c r="B88" s="3" t="s">
        <v>34</v>
      </c>
      <c r="C88" s="3" t="s">
        <v>38</v>
      </c>
      <c r="D88" s="3" t="s">
        <v>33</v>
      </c>
      <c r="E88" s="3" t="s">
        <v>25</v>
      </c>
      <c r="F88" s="3" t="s">
        <v>54</v>
      </c>
      <c r="G88" s="3" t="s">
        <v>25</v>
      </c>
      <c r="H88" s="3" t="s">
        <v>36</v>
      </c>
      <c r="I88" s="6">
        <v>44501</v>
      </c>
      <c r="J88" s="4">
        <v>0</v>
      </c>
      <c r="K88" s="4">
        <v>0</v>
      </c>
      <c r="L88" s="4">
        <v>44.271000000000001</v>
      </c>
      <c r="M88" s="4">
        <v>12.4289017389</v>
      </c>
      <c r="N88" s="4">
        <v>0</v>
      </c>
      <c r="O88" s="4">
        <v>0</v>
      </c>
      <c r="P88" s="4">
        <v>0</v>
      </c>
      <c r="Q88" s="3" t="s">
        <v>55</v>
      </c>
      <c r="R88" s="3">
        <v>0</v>
      </c>
      <c r="S88" s="3">
        <v>0</v>
      </c>
      <c r="T88" s="3">
        <v>13</v>
      </c>
      <c r="U88" s="3">
        <v>0</v>
      </c>
      <c r="V88" s="4">
        <f>IF(ISERROR(VLOOKUP($S$88,'TAR FIN'!$A$1:$O$85,15,0)),0,VLOOKUP($S$88,'TAR FIN'!$A$1:$O$85,15,0))</f>
        <v>0</v>
      </c>
      <c r="W88" s="4">
        <f>IF(ISERROR(VLOOKUP($T$88,'TAR FIN'!$A$1:$O$85,15,0)),0,VLOOKUP($T$88,'TAR FIN'!$A$1:$O$85,15,0))</f>
        <v>1624.27</v>
      </c>
      <c r="X88" s="4">
        <f>IF(ISERROR(VLOOKUP($U$88,'TAR FIN'!$A$1:$O$85,15,0)),0,VLOOKUP($U$88,'TAR FIN'!$A$1:$O$85,15,0))</f>
        <v>0</v>
      </c>
      <c r="Y88" s="4"/>
      <c r="Z88" s="4">
        <f ca="1">('TUSD BE'!$AM$11+'TUSD BF'!$AM$11+'TUSD CVA'!$AM$11)*1</f>
        <v>1640.7086985348694</v>
      </c>
      <c r="AA88" s="4"/>
      <c r="AB88" s="4">
        <f t="shared" si="8"/>
        <v>0</v>
      </c>
      <c r="AC88" s="4">
        <f t="shared" si="9"/>
        <v>51720.164942556898</v>
      </c>
      <c r="AD88" s="4">
        <f t="shared" si="10"/>
        <v>0</v>
      </c>
      <c r="AE88" s="4">
        <f t="shared" ca="1" si="11"/>
        <v>52243.607596588809</v>
      </c>
      <c r="AF88" s="3" t="s">
        <v>596</v>
      </c>
    </row>
    <row r="89" spans="1:32" ht="11.25" customHeight="1" x14ac:dyDescent="0.3">
      <c r="A89" s="3" t="s">
        <v>21</v>
      </c>
      <c r="B89" s="3" t="s">
        <v>34</v>
      </c>
      <c r="C89" s="3" t="s">
        <v>38</v>
      </c>
      <c r="D89" s="3" t="s">
        <v>33</v>
      </c>
      <c r="E89" s="3" t="s">
        <v>25</v>
      </c>
      <c r="F89" s="3" t="s">
        <v>54</v>
      </c>
      <c r="G89" s="3" t="s">
        <v>25</v>
      </c>
      <c r="H89" s="3" t="s">
        <v>36</v>
      </c>
      <c r="I89" s="6">
        <v>44531</v>
      </c>
      <c r="J89" s="4">
        <v>0</v>
      </c>
      <c r="K89" s="4">
        <v>0</v>
      </c>
      <c r="L89" s="4">
        <v>54.564</v>
      </c>
      <c r="M89" s="4">
        <v>16.19927242608</v>
      </c>
      <c r="N89" s="4">
        <v>0</v>
      </c>
      <c r="O89" s="4">
        <v>0</v>
      </c>
      <c r="P89" s="4">
        <v>0</v>
      </c>
      <c r="Q89" s="3" t="s">
        <v>55</v>
      </c>
      <c r="R89" s="3">
        <v>0</v>
      </c>
      <c r="S89" s="3">
        <v>0</v>
      </c>
      <c r="T89" s="3">
        <v>13</v>
      </c>
      <c r="U89" s="3">
        <v>0</v>
      </c>
      <c r="V89" s="4">
        <f>IF(ISERROR(VLOOKUP($S$89,'TAR FIN'!$A$1:$O$85,15,0)),0,VLOOKUP($S$89,'TAR FIN'!$A$1:$O$85,15,0))</f>
        <v>0</v>
      </c>
      <c r="W89" s="4">
        <f>IF(ISERROR(VLOOKUP($T$89,'TAR FIN'!$A$1:$O$85,15,0)),0,VLOOKUP($T$89,'TAR FIN'!$A$1:$O$85,15,0))</f>
        <v>1624.27</v>
      </c>
      <c r="X89" s="4">
        <f>IF(ISERROR(VLOOKUP($U$89,'TAR FIN'!$A$1:$O$85,15,0)),0,VLOOKUP($U$89,'TAR FIN'!$A$1:$O$85,15,0))</f>
        <v>0</v>
      </c>
      <c r="Y89" s="4"/>
      <c r="Z89" s="4">
        <f ca="1">('TUSD BE'!$AM$11+'TUSD BF'!$AM$11+'TUSD CVA'!$AM$11)*1</f>
        <v>1640.7086985348694</v>
      </c>
      <c r="AA89" s="4"/>
      <c r="AB89" s="4">
        <f t="shared" si="8"/>
        <v>0</v>
      </c>
      <c r="AC89" s="4">
        <f t="shared" si="9"/>
        <v>62314.676056491036</v>
      </c>
      <c r="AD89" s="4">
        <f t="shared" si="10"/>
        <v>0</v>
      </c>
      <c r="AE89" s="4">
        <f t="shared" ca="1" si="11"/>
        <v>62945.342247451103</v>
      </c>
      <c r="AF89" s="3" t="s">
        <v>596</v>
      </c>
    </row>
    <row r="90" spans="1:32" ht="11.25" customHeight="1" x14ac:dyDescent="0.3">
      <c r="A90" s="3" t="s">
        <v>21</v>
      </c>
      <c r="B90" s="3" t="s">
        <v>34</v>
      </c>
      <c r="C90" s="3" t="s">
        <v>38</v>
      </c>
      <c r="D90" s="3" t="s">
        <v>33</v>
      </c>
      <c r="E90" s="3" t="s">
        <v>25</v>
      </c>
      <c r="F90" s="3" t="s">
        <v>54</v>
      </c>
      <c r="G90" s="3" t="s">
        <v>25</v>
      </c>
      <c r="H90" s="3" t="s">
        <v>36</v>
      </c>
      <c r="I90" s="6">
        <v>44562</v>
      </c>
      <c r="J90" s="4">
        <v>0</v>
      </c>
      <c r="K90" s="4">
        <v>0</v>
      </c>
      <c r="L90" s="4">
        <v>53.856999999999999</v>
      </c>
      <c r="M90" s="4">
        <v>36.89355622742</v>
      </c>
      <c r="N90" s="4">
        <v>0</v>
      </c>
      <c r="O90" s="4">
        <v>0</v>
      </c>
      <c r="P90" s="4">
        <v>0</v>
      </c>
      <c r="Q90" s="3" t="s">
        <v>55</v>
      </c>
      <c r="R90" s="3">
        <v>0</v>
      </c>
      <c r="S90" s="3">
        <v>0</v>
      </c>
      <c r="T90" s="3">
        <v>13</v>
      </c>
      <c r="U90" s="3">
        <v>0</v>
      </c>
      <c r="V90" s="4">
        <f>IF(ISERROR(VLOOKUP($S$90,'TAR FIN'!$A$1:$O$85,15,0)),0,VLOOKUP($S$90,'TAR FIN'!$A$1:$O$85,15,0))</f>
        <v>0</v>
      </c>
      <c r="W90" s="4">
        <f>IF(ISERROR(VLOOKUP($T$90,'TAR FIN'!$A$1:$O$85,15,0)),0,VLOOKUP($T$90,'TAR FIN'!$A$1:$O$85,15,0))</f>
        <v>1624.27</v>
      </c>
      <c r="X90" s="4">
        <f>IF(ISERROR(VLOOKUP($U$90,'TAR FIN'!$A$1:$O$85,15,0)),0,VLOOKUP($U$90,'TAR FIN'!$A$1:$O$85,15,0))</f>
        <v>0</v>
      </c>
      <c r="Y90" s="4"/>
      <c r="Z90" s="4">
        <f ca="1">('TUSD BE'!$AM$11+'TUSD BF'!$AM$11+'TUSD CVA'!$AM$11)*1</f>
        <v>1640.7086985348694</v>
      </c>
      <c r="AA90" s="4"/>
      <c r="AB90" s="4">
        <f t="shared" si="8"/>
        <v>0</v>
      </c>
      <c r="AC90" s="4">
        <f t="shared" si="9"/>
        <v>27553.212816488514</v>
      </c>
      <c r="AD90" s="4">
        <f t="shared" si="10"/>
        <v>0</v>
      </c>
      <c r="AE90" s="4">
        <f t="shared" ca="1" si="11"/>
        <v>27832.069754779168</v>
      </c>
      <c r="AF90" s="3" t="s">
        <v>596</v>
      </c>
    </row>
    <row r="91" spans="1:32" ht="11.25" customHeight="1" x14ac:dyDescent="0.3">
      <c r="A91" s="3" t="s">
        <v>21</v>
      </c>
      <c r="B91" s="3" t="s">
        <v>34</v>
      </c>
      <c r="C91" s="3" t="s">
        <v>38</v>
      </c>
      <c r="D91" s="3" t="s">
        <v>33</v>
      </c>
      <c r="E91" s="3" t="s">
        <v>25</v>
      </c>
      <c r="F91" s="3" t="s">
        <v>54</v>
      </c>
      <c r="G91" s="3" t="s">
        <v>25</v>
      </c>
      <c r="H91" s="3" t="s">
        <v>36</v>
      </c>
      <c r="I91" s="6">
        <v>44593</v>
      </c>
      <c r="J91" s="4">
        <v>0</v>
      </c>
      <c r="K91" s="4">
        <v>0</v>
      </c>
      <c r="L91" s="4">
        <v>49.462000000000003</v>
      </c>
      <c r="M91" s="4">
        <v>49.462000000000003</v>
      </c>
      <c r="N91" s="4">
        <v>0</v>
      </c>
      <c r="O91" s="4">
        <v>0</v>
      </c>
      <c r="P91" s="4">
        <v>0</v>
      </c>
      <c r="Q91" s="3" t="s">
        <v>55</v>
      </c>
      <c r="R91" s="3">
        <v>0</v>
      </c>
      <c r="S91" s="3">
        <v>0</v>
      </c>
      <c r="T91" s="3">
        <v>13</v>
      </c>
      <c r="U91" s="3">
        <v>0</v>
      </c>
      <c r="V91" s="4">
        <f>IF(ISERROR(VLOOKUP($S$91,'TAR FIN'!$A$1:$O$85,15,0)),0,VLOOKUP($S$91,'TAR FIN'!$A$1:$O$85,15,0))</f>
        <v>0</v>
      </c>
      <c r="W91" s="4">
        <f>IF(ISERROR(VLOOKUP($T$91,'TAR FIN'!$A$1:$O$85,15,0)),0,VLOOKUP($T$91,'TAR FIN'!$A$1:$O$85,15,0))</f>
        <v>1624.27</v>
      </c>
      <c r="X91" s="4">
        <f>IF(ISERROR(VLOOKUP($U$91,'TAR FIN'!$A$1:$O$85,15,0)),0,VLOOKUP($U$91,'TAR FIN'!$A$1:$O$85,15,0))</f>
        <v>0</v>
      </c>
      <c r="Y91" s="4"/>
      <c r="Z91" s="4">
        <f ca="1">('TUSD BE'!$AM$11+'TUSD BF'!$AM$11+'TUSD CVA'!$AM$11)*1</f>
        <v>1640.7086985348694</v>
      </c>
      <c r="AA91" s="4"/>
      <c r="AB91" s="4">
        <f t="shared" si="8"/>
        <v>0</v>
      </c>
      <c r="AC91" s="4">
        <f t="shared" si="9"/>
        <v>0</v>
      </c>
      <c r="AD91" s="4">
        <f t="shared" si="10"/>
        <v>0</v>
      </c>
      <c r="AE91" s="4">
        <f t="shared" ca="1" si="11"/>
        <v>0</v>
      </c>
      <c r="AF91" s="3" t="s">
        <v>596</v>
      </c>
    </row>
    <row r="92" spans="1:32" ht="11.25" customHeight="1" x14ac:dyDescent="0.3">
      <c r="A92" s="3" t="s">
        <v>21</v>
      </c>
      <c r="B92" s="3" t="s">
        <v>34</v>
      </c>
      <c r="C92" s="3" t="s">
        <v>38</v>
      </c>
      <c r="D92" s="3" t="s">
        <v>33</v>
      </c>
      <c r="E92" s="3" t="s">
        <v>25</v>
      </c>
      <c r="F92" s="3" t="s">
        <v>54</v>
      </c>
      <c r="G92" s="3" t="s">
        <v>25</v>
      </c>
      <c r="H92" s="3" t="s">
        <v>36</v>
      </c>
      <c r="I92" s="6">
        <v>44621</v>
      </c>
      <c r="J92" s="4">
        <v>0</v>
      </c>
      <c r="K92" s="4">
        <v>0</v>
      </c>
      <c r="L92" s="4">
        <v>53.892000000000003</v>
      </c>
      <c r="M92" s="4">
        <v>40.514922909719999</v>
      </c>
      <c r="N92" s="4">
        <v>0</v>
      </c>
      <c r="O92" s="4">
        <v>0</v>
      </c>
      <c r="P92" s="4">
        <v>0</v>
      </c>
      <c r="Q92" s="3" t="s">
        <v>55</v>
      </c>
      <c r="R92" s="3">
        <v>0</v>
      </c>
      <c r="S92" s="3">
        <v>0</v>
      </c>
      <c r="T92" s="3">
        <v>13</v>
      </c>
      <c r="U92" s="3">
        <v>0</v>
      </c>
      <c r="V92" s="4">
        <f>IF(ISERROR(VLOOKUP($S$92,'TAR FIN'!$A$1:$O$85,15,0)),0,VLOOKUP($S$92,'TAR FIN'!$A$1:$O$85,15,0))</f>
        <v>0</v>
      </c>
      <c r="W92" s="4">
        <f>IF(ISERROR(VLOOKUP($T$92,'TAR FIN'!$A$1:$O$85,15,0)),0,VLOOKUP($T$92,'TAR FIN'!$A$1:$O$85,15,0))</f>
        <v>1624.27</v>
      </c>
      <c r="X92" s="4">
        <f>IF(ISERROR(VLOOKUP($U$92,'TAR FIN'!$A$1:$O$85,15,0)),0,VLOOKUP($U$92,'TAR FIN'!$A$1:$O$85,15,0))</f>
        <v>0</v>
      </c>
      <c r="Y92" s="4"/>
      <c r="Z92" s="4">
        <f ca="1">('TUSD BE'!$AM$11+'TUSD BF'!$AM$11+'TUSD CVA'!$AM$11)*1</f>
        <v>1640.7086985348694</v>
      </c>
      <c r="AA92" s="4"/>
      <c r="AB92" s="4">
        <f t="shared" si="8"/>
        <v>0</v>
      </c>
      <c r="AC92" s="4">
        <f t="shared" si="9"/>
        <v>21727.985005429102</v>
      </c>
      <c r="AD92" s="4">
        <f t="shared" si="10"/>
        <v>0</v>
      </c>
      <c r="AE92" s="4">
        <f t="shared" ca="1" si="11"/>
        <v>21947.886742993924</v>
      </c>
      <c r="AF92" s="3" t="s">
        <v>596</v>
      </c>
    </row>
    <row r="93" spans="1:32" ht="11.25" customHeight="1" x14ac:dyDescent="0.3">
      <c r="A93" s="3" t="s">
        <v>21</v>
      </c>
      <c r="B93" s="3" t="s">
        <v>34</v>
      </c>
      <c r="C93" s="3" t="s">
        <v>38</v>
      </c>
      <c r="D93" s="3" t="s">
        <v>33</v>
      </c>
      <c r="E93" s="3" t="s">
        <v>25</v>
      </c>
      <c r="F93" s="3" t="s">
        <v>54</v>
      </c>
      <c r="G93" s="3" t="s">
        <v>25</v>
      </c>
      <c r="H93" s="3" t="s">
        <v>36</v>
      </c>
      <c r="I93" s="6">
        <v>44652</v>
      </c>
      <c r="J93" s="4">
        <v>0</v>
      </c>
      <c r="K93" s="4">
        <v>0</v>
      </c>
      <c r="L93" s="4">
        <v>32.723999999999997</v>
      </c>
      <c r="M93" s="4">
        <v>-8.8316064601199997</v>
      </c>
      <c r="N93" s="4">
        <v>0</v>
      </c>
      <c r="O93" s="4">
        <v>0</v>
      </c>
      <c r="P93" s="4">
        <v>0</v>
      </c>
      <c r="Q93" s="3" t="s">
        <v>55</v>
      </c>
      <c r="R93" s="3">
        <v>0</v>
      </c>
      <c r="S93" s="3">
        <v>0</v>
      </c>
      <c r="T93" s="3">
        <v>13</v>
      </c>
      <c r="U93" s="3">
        <v>0</v>
      </c>
      <c r="V93" s="4">
        <f>IF(ISERROR(VLOOKUP($S$93,'TAR FIN'!$A$1:$O$85,15,0)),0,VLOOKUP($S$93,'TAR FIN'!$A$1:$O$85,15,0))</f>
        <v>0</v>
      </c>
      <c r="W93" s="4">
        <f>IF(ISERROR(VLOOKUP($T$93,'TAR FIN'!$A$1:$O$85,15,0)),0,VLOOKUP($T$93,'TAR FIN'!$A$1:$O$85,15,0))</f>
        <v>1624.27</v>
      </c>
      <c r="X93" s="4">
        <f>IF(ISERROR(VLOOKUP($U$93,'TAR FIN'!$A$1:$O$85,15,0)),0,VLOOKUP($U$93,'TAR FIN'!$A$1:$O$85,15,0))</f>
        <v>0</v>
      </c>
      <c r="Y93" s="4"/>
      <c r="Z93" s="4">
        <f ca="1">('TUSD BE'!$AM$11+'TUSD BF'!$AM$11+'TUSD CVA'!$AM$11)*1</f>
        <v>1640.7086985348694</v>
      </c>
      <c r="AA93" s="4"/>
      <c r="AB93" s="4">
        <f t="shared" si="8"/>
        <v>0</v>
      </c>
      <c r="AC93" s="4">
        <f t="shared" si="9"/>
        <v>67497.524904979102</v>
      </c>
      <c r="AD93" s="4">
        <f t="shared" si="10"/>
        <v>0</v>
      </c>
      <c r="AE93" s="4">
        <f t="shared" ca="1" si="11"/>
        <v>68180.644992010697</v>
      </c>
      <c r="AF93" s="3" t="s">
        <v>596</v>
      </c>
    </row>
    <row r="94" spans="1:32" ht="11.25" customHeight="1" x14ac:dyDescent="0.3">
      <c r="A94" s="3" t="s">
        <v>21</v>
      </c>
      <c r="B94" s="3" t="s">
        <v>34</v>
      </c>
      <c r="C94" s="3" t="s">
        <v>38</v>
      </c>
      <c r="D94" s="3" t="s">
        <v>33</v>
      </c>
      <c r="E94" s="3" t="s">
        <v>25</v>
      </c>
      <c r="F94" s="3" t="s">
        <v>54</v>
      </c>
      <c r="G94" s="3" t="s">
        <v>25</v>
      </c>
      <c r="H94" s="3" t="s">
        <v>36</v>
      </c>
      <c r="I94" s="6">
        <v>44682</v>
      </c>
      <c r="J94" s="4">
        <v>0</v>
      </c>
      <c r="K94" s="4">
        <v>0</v>
      </c>
      <c r="L94" s="4">
        <v>26.404</v>
      </c>
      <c r="M94" s="4">
        <v>13.89390018548</v>
      </c>
      <c r="N94" s="4">
        <v>0</v>
      </c>
      <c r="O94" s="4">
        <v>0</v>
      </c>
      <c r="P94" s="4">
        <v>0</v>
      </c>
      <c r="Q94" s="3" t="s">
        <v>55</v>
      </c>
      <c r="R94" s="3">
        <v>0</v>
      </c>
      <c r="S94" s="3">
        <v>0</v>
      </c>
      <c r="T94" s="3">
        <v>13</v>
      </c>
      <c r="U94" s="3">
        <v>0</v>
      </c>
      <c r="V94" s="4">
        <f>IF(ISERROR(VLOOKUP($S$94,'TAR FIN'!$A$1:$O$85,15,0)),0,VLOOKUP($S$94,'TAR FIN'!$A$1:$O$85,15,0))</f>
        <v>0</v>
      </c>
      <c r="W94" s="4">
        <f>IF(ISERROR(VLOOKUP($T$94,'TAR FIN'!$A$1:$O$85,15,0)),0,VLOOKUP($T$94,'TAR FIN'!$A$1:$O$85,15,0))</f>
        <v>1624.27</v>
      </c>
      <c r="X94" s="4">
        <f>IF(ISERROR(VLOOKUP($U$94,'TAR FIN'!$A$1:$O$85,15,0)),0,VLOOKUP($U$94,'TAR FIN'!$A$1:$O$85,15,0))</f>
        <v>0</v>
      </c>
      <c r="Y94" s="4"/>
      <c r="Z94" s="4">
        <f ca="1">('TUSD BE'!$AM$11+'TUSD BF'!$AM$11+'TUSD CVA'!$AM$11)*1</f>
        <v>1640.7086985348694</v>
      </c>
      <c r="AA94" s="4"/>
      <c r="AB94" s="4">
        <f t="shared" si="8"/>
        <v>0</v>
      </c>
      <c r="AC94" s="4">
        <f t="shared" si="9"/>
        <v>20319.779825730402</v>
      </c>
      <c r="AD94" s="4">
        <f t="shared" si="10"/>
        <v>0</v>
      </c>
      <c r="AE94" s="4">
        <f t="shared" ca="1" si="11"/>
        <v>20525.42958522242</v>
      </c>
      <c r="AF94" s="3" t="s">
        <v>596</v>
      </c>
    </row>
    <row r="95" spans="1:32" ht="11.25" customHeight="1" x14ac:dyDescent="0.3">
      <c r="A95" s="3" t="s">
        <v>21</v>
      </c>
      <c r="B95" s="3" t="s">
        <v>34</v>
      </c>
      <c r="C95" s="3" t="s">
        <v>38</v>
      </c>
      <c r="D95" s="3" t="s">
        <v>33</v>
      </c>
      <c r="E95" s="3" t="s">
        <v>25</v>
      </c>
      <c r="F95" s="3" t="s">
        <v>54</v>
      </c>
      <c r="G95" s="3" t="s">
        <v>25</v>
      </c>
      <c r="H95" s="3" t="s">
        <v>36</v>
      </c>
      <c r="I95" s="6">
        <v>44713</v>
      </c>
      <c r="J95" s="4">
        <v>0</v>
      </c>
      <c r="K95" s="4">
        <v>0</v>
      </c>
      <c r="L95" s="4">
        <v>23.417999999999999</v>
      </c>
      <c r="M95" s="4">
        <v>12.31977609864</v>
      </c>
      <c r="N95" s="4">
        <v>0</v>
      </c>
      <c r="O95" s="4">
        <v>0</v>
      </c>
      <c r="P95" s="4">
        <v>0</v>
      </c>
      <c r="Q95" s="3" t="s">
        <v>55</v>
      </c>
      <c r="R95" s="3">
        <v>0</v>
      </c>
      <c r="S95" s="3">
        <v>0</v>
      </c>
      <c r="T95" s="3">
        <v>13</v>
      </c>
      <c r="U95" s="3">
        <v>0</v>
      </c>
      <c r="V95" s="4">
        <f>IF(ISERROR(VLOOKUP($S$95,'TAR FIN'!$A$1:$O$85,15,0)),0,VLOOKUP($S$95,'TAR FIN'!$A$1:$O$85,15,0))</f>
        <v>0</v>
      </c>
      <c r="W95" s="4">
        <f>IF(ISERROR(VLOOKUP($T$95,'TAR FIN'!$A$1:$O$85,15,0)),0,VLOOKUP($T$95,'TAR FIN'!$A$1:$O$85,15,0))</f>
        <v>1624.27</v>
      </c>
      <c r="X95" s="4">
        <f>IF(ISERROR(VLOOKUP($U$95,'TAR FIN'!$A$1:$O$85,15,0)),0,VLOOKUP($U$95,'TAR FIN'!$A$1:$O$85,15,0))</f>
        <v>0</v>
      </c>
      <c r="Y95" s="4"/>
      <c r="Z95" s="4">
        <f ca="1">('TUSD BE'!$AM$11+'TUSD BF'!$AM$11+'TUSD CVA'!$AM$11)*1</f>
        <v>1640.7086985348694</v>
      </c>
      <c r="AA95" s="4"/>
      <c r="AB95" s="4">
        <f t="shared" si="8"/>
        <v>0</v>
      </c>
      <c r="AC95" s="4">
        <f t="shared" si="9"/>
        <v>18026.512136262005</v>
      </c>
      <c r="AD95" s="4">
        <f t="shared" si="10"/>
        <v>0</v>
      </c>
      <c r="AE95" s="4">
        <f t="shared" ca="1" si="11"/>
        <v>18208.952493248944</v>
      </c>
      <c r="AF95" s="3" t="s">
        <v>596</v>
      </c>
    </row>
    <row r="96" spans="1:32" ht="11.25" customHeight="1" x14ac:dyDescent="0.3">
      <c r="A96" s="3" t="s">
        <v>21</v>
      </c>
      <c r="B96" s="3" t="s">
        <v>34</v>
      </c>
      <c r="C96" s="3" t="s">
        <v>38</v>
      </c>
      <c r="D96" s="3" t="s">
        <v>33</v>
      </c>
      <c r="E96" s="3" t="s">
        <v>25</v>
      </c>
      <c r="F96" s="3" t="s">
        <v>54</v>
      </c>
      <c r="G96" s="3" t="s">
        <v>25</v>
      </c>
      <c r="H96" s="3" t="s">
        <v>36</v>
      </c>
      <c r="I96" s="6">
        <v>44743</v>
      </c>
      <c r="J96" s="4">
        <v>0</v>
      </c>
      <c r="K96" s="4">
        <v>0</v>
      </c>
      <c r="L96" s="4">
        <v>34.978999999999999</v>
      </c>
      <c r="M96" s="4">
        <v>18.35343897541</v>
      </c>
      <c r="N96" s="4">
        <v>0</v>
      </c>
      <c r="O96" s="4">
        <v>0</v>
      </c>
      <c r="P96" s="4">
        <v>0</v>
      </c>
      <c r="Q96" s="3" t="s">
        <v>55</v>
      </c>
      <c r="R96" s="3">
        <v>0</v>
      </c>
      <c r="S96" s="3">
        <v>0</v>
      </c>
      <c r="T96" s="3">
        <v>13</v>
      </c>
      <c r="U96" s="3">
        <v>0</v>
      </c>
      <c r="V96" s="4">
        <f>IF(ISERROR(VLOOKUP($S$96,'TAR FIN'!$A$1:$O$85,15,0)),0,VLOOKUP($S$96,'TAR FIN'!$A$1:$O$85,15,0))</f>
        <v>0</v>
      </c>
      <c r="W96" s="4">
        <f>IF(ISERROR(VLOOKUP($T$96,'TAR FIN'!$A$1:$O$85,15,0)),0,VLOOKUP($T$96,'TAR FIN'!$A$1:$O$85,15,0))</f>
        <v>1624.27</v>
      </c>
      <c r="X96" s="4">
        <f>IF(ISERROR(VLOOKUP($U$96,'TAR FIN'!$A$1:$O$85,15,0)),0,VLOOKUP($U$96,'TAR FIN'!$A$1:$O$85,15,0))</f>
        <v>0</v>
      </c>
      <c r="Y96" s="4"/>
      <c r="Z96" s="4">
        <f ca="1">('TUSD BE'!$AM$11+'TUSD BF'!$AM$11+'TUSD CVA'!$AM$11)*1</f>
        <v>1640.7086985348694</v>
      </c>
      <c r="AA96" s="4"/>
      <c r="AB96" s="4">
        <f t="shared" si="8"/>
        <v>0</v>
      </c>
      <c r="AC96" s="4">
        <f t="shared" si="9"/>
        <v>27004.400005410796</v>
      </c>
      <c r="AD96" s="4">
        <f t="shared" si="10"/>
        <v>0</v>
      </c>
      <c r="AE96" s="4">
        <f t="shared" ca="1" si="11"/>
        <v>27277.702591067107</v>
      </c>
      <c r="AF96" s="3" t="s">
        <v>596</v>
      </c>
    </row>
    <row r="97" spans="1:32" ht="11.25" customHeight="1" x14ac:dyDescent="0.3">
      <c r="A97" s="3" t="s">
        <v>53</v>
      </c>
      <c r="B97" s="3" t="s">
        <v>34</v>
      </c>
      <c r="C97" s="3" t="s">
        <v>38</v>
      </c>
      <c r="D97" s="3" t="s">
        <v>33</v>
      </c>
      <c r="E97" s="3" t="s">
        <v>25</v>
      </c>
      <c r="F97" s="3" t="s">
        <v>54</v>
      </c>
      <c r="G97" s="3" t="s">
        <v>25</v>
      </c>
      <c r="H97" s="3" t="s">
        <v>36</v>
      </c>
      <c r="I97" s="6">
        <v>44774</v>
      </c>
      <c r="J97" s="4">
        <v>0</v>
      </c>
      <c r="K97" s="4">
        <v>0</v>
      </c>
      <c r="L97" s="4">
        <v>34.978999999999999</v>
      </c>
      <c r="M97" s="4">
        <v>18.35343897541</v>
      </c>
      <c r="N97" s="4">
        <v>0</v>
      </c>
      <c r="O97" s="4">
        <v>0</v>
      </c>
      <c r="P97" s="4">
        <v>0</v>
      </c>
      <c r="Q97" s="3" t="s">
        <v>55</v>
      </c>
      <c r="R97" s="3">
        <v>0</v>
      </c>
      <c r="S97" s="3">
        <v>0</v>
      </c>
      <c r="T97" s="3">
        <v>13</v>
      </c>
      <c r="U97" s="3">
        <v>0</v>
      </c>
      <c r="V97" s="4">
        <f>IF(ISERROR(VLOOKUP($S$97,'TAR FIN'!$A$1:$O$85,15,0)),0,VLOOKUP($S$97,'TAR FIN'!$A$1:$O$85,15,0))</f>
        <v>0</v>
      </c>
      <c r="W97" s="4">
        <f>IF(ISERROR(VLOOKUP($T$97,'TAR FIN'!$A$1:$O$85,15,0)),0,VLOOKUP($T$97,'TAR FIN'!$A$1:$O$85,15,0))</f>
        <v>1624.27</v>
      </c>
      <c r="X97" s="4">
        <f>IF(ISERROR(VLOOKUP($U$97,'TAR FIN'!$A$1:$O$85,15,0)),0,VLOOKUP($U$97,'TAR FIN'!$A$1:$O$85,15,0))</f>
        <v>0</v>
      </c>
      <c r="Y97" s="4"/>
      <c r="Z97" s="4">
        <f ca="1">('TUSD BE'!$AM$11+'TUSD BF'!$AM$11+'TUSD CVA'!$AM$11)*1</f>
        <v>1640.7086985348694</v>
      </c>
      <c r="AA97" s="4"/>
      <c r="AB97" s="4">
        <f t="shared" si="8"/>
        <v>0</v>
      </c>
      <c r="AC97" s="4">
        <f t="shared" si="9"/>
        <v>27004.400005410796</v>
      </c>
      <c r="AD97" s="4">
        <f t="shared" si="10"/>
        <v>0</v>
      </c>
      <c r="AE97" s="4">
        <f t="shared" ca="1" si="11"/>
        <v>27277.702591067107</v>
      </c>
      <c r="AF97" s="3" t="s">
        <v>596</v>
      </c>
    </row>
    <row r="98" spans="1:32" ht="11.25" customHeight="1" x14ac:dyDescent="0.3">
      <c r="A98" s="3" t="s">
        <v>27</v>
      </c>
      <c r="B98" s="3" t="s">
        <v>34</v>
      </c>
      <c r="C98" s="3" t="s">
        <v>38</v>
      </c>
      <c r="D98" s="3" t="s">
        <v>41</v>
      </c>
      <c r="E98" s="3" t="s">
        <v>25</v>
      </c>
      <c r="F98" s="3" t="s">
        <v>25</v>
      </c>
      <c r="G98" s="3" t="s">
        <v>25</v>
      </c>
      <c r="H98" s="3" t="s">
        <v>37</v>
      </c>
      <c r="I98" s="6">
        <v>44501</v>
      </c>
      <c r="J98" s="4">
        <v>0</v>
      </c>
      <c r="K98" s="52">
        <v>0</v>
      </c>
      <c r="L98" s="4">
        <v>2.306</v>
      </c>
      <c r="M98" s="52">
        <v>2.306</v>
      </c>
      <c r="N98" s="4">
        <v>2.306</v>
      </c>
      <c r="O98" s="52">
        <v>2.306</v>
      </c>
      <c r="P98" s="4">
        <v>0</v>
      </c>
      <c r="Q98" s="3" t="s">
        <v>26</v>
      </c>
      <c r="R98" s="3">
        <v>0</v>
      </c>
      <c r="S98" s="3">
        <v>0</v>
      </c>
      <c r="T98" s="3">
        <v>3</v>
      </c>
      <c r="U98" s="3">
        <v>62</v>
      </c>
      <c r="V98" s="52">
        <f>IF(ISERROR(VLOOKUP($S$98,'TAR FIN'!$A$1:$O$85,15,0)),0,VLOOKUP($S$98,'TAR FIN'!$A$1:$O$85,15,0))</f>
        <v>0</v>
      </c>
      <c r="W98" s="52">
        <f>IF(ISERROR(VLOOKUP($T$98,'TAR FIN'!$A$1:$O$85,15,0)),0,VLOOKUP($T$98,'TAR FIN'!$A$1:$O$85,15,0))*(1-0.04)</f>
        <v>77.500799999999998</v>
      </c>
      <c r="X98" s="52">
        <f>IF(ISERROR(VLOOKUP($U$98,'TAR FIN'!$A$1:$O$85,15,0)),0,VLOOKUP($U$98,'TAR FIN'!$A$1:$O$85,15,0))*(1-0.04)</f>
        <v>280.17599999999999</v>
      </c>
      <c r="Y98" s="52"/>
      <c r="Z98" s="52">
        <f ca="1">('TUSD BE'!$AM$12+'TUSD BF'!$AM$12+'TUSD CVA'!$AM$12)*1*(1-0.02)</f>
        <v>109.5106570584947</v>
      </c>
      <c r="AA98" s="52">
        <f>('TE BE'!$AB$6+'TE BF'!$AB$6+'TE CVA'!$AB$6)*1*(1-0.02)</f>
        <v>209.49782607246507</v>
      </c>
      <c r="AB98" s="52">
        <f>(SUBSIDIO!$J$98*SUBSIDIO!$V$98)*(0.04)/(1-0.04)</f>
        <v>0</v>
      </c>
      <c r="AC98" s="52">
        <f>((SUBSIDIO!$L$98*SUBSIDIO!$W$98)+(SUBSIDIO!$N$98*SUBSIDIO!$X$98))*(0.04)/(1-0.04)</f>
        <v>34.366779200000003</v>
      </c>
      <c r="AD98" s="52">
        <f>(SUBSIDIO!$J$98*SUBSIDIO!$Y$98)*(0.02)/(1-0.02)</f>
        <v>0</v>
      </c>
      <c r="AE98" s="52">
        <f ca="1">((SUBSIDIO!$L$98*SUBSIDIO!$Z$98)+(SUBSIDIO!$N$98*SUBSIDIO!$AA$98))*(0.02)/(1-0.02)</f>
        <v>15.012929838775374</v>
      </c>
      <c r="AF98" s="3" t="s">
        <v>597</v>
      </c>
    </row>
    <row r="99" spans="1:32" ht="11.25" customHeight="1" x14ac:dyDescent="0.3">
      <c r="A99" s="3" t="s">
        <v>27</v>
      </c>
      <c r="B99" s="3" t="s">
        <v>34</v>
      </c>
      <c r="C99" s="3" t="s">
        <v>38</v>
      </c>
      <c r="D99" s="3" t="s">
        <v>41</v>
      </c>
      <c r="E99" s="3" t="s">
        <v>25</v>
      </c>
      <c r="F99" s="3" t="s">
        <v>25</v>
      </c>
      <c r="G99" s="3" t="s">
        <v>25</v>
      </c>
      <c r="H99" s="3" t="s">
        <v>37</v>
      </c>
      <c r="I99" s="6">
        <v>44531</v>
      </c>
      <c r="J99" s="4">
        <v>0</v>
      </c>
      <c r="K99" s="52">
        <v>0</v>
      </c>
      <c r="L99" s="4">
        <v>7.25</v>
      </c>
      <c r="M99" s="52">
        <v>7.25</v>
      </c>
      <c r="N99" s="4">
        <v>7.25</v>
      </c>
      <c r="O99" s="52">
        <v>7.25</v>
      </c>
      <c r="P99" s="4">
        <v>0</v>
      </c>
      <c r="Q99" s="3" t="s">
        <v>26</v>
      </c>
      <c r="R99" s="3">
        <v>0</v>
      </c>
      <c r="S99" s="3">
        <v>0</v>
      </c>
      <c r="T99" s="3">
        <v>3</v>
      </c>
      <c r="U99" s="3">
        <v>62</v>
      </c>
      <c r="V99" s="52">
        <f>IF(ISERROR(VLOOKUP($S$99,'TAR FIN'!$A$1:$O$85,15,0)),0,VLOOKUP($S$99,'TAR FIN'!$A$1:$O$85,15,0))</f>
        <v>0</v>
      </c>
      <c r="W99" s="52">
        <f>IF(ISERROR(VLOOKUP($T$99,'TAR FIN'!$A$1:$O$85,15,0)),0,VLOOKUP($T$99,'TAR FIN'!$A$1:$O$85,15,0))*(1-0.04)</f>
        <v>77.500799999999998</v>
      </c>
      <c r="X99" s="52">
        <f>IF(ISERROR(VLOOKUP($U$99,'TAR FIN'!$A$1:$O$85,15,0)),0,VLOOKUP($U$99,'TAR FIN'!$A$1:$O$85,15,0))*(1-0.04)</f>
        <v>280.17599999999999</v>
      </c>
      <c r="Y99" s="52"/>
      <c r="Z99" s="52">
        <f ca="1">('TUSD BE'!$AM$12+'TUSD BF'!$AM$12+'TUSD CVA'!$AM$12)*1*(1-0.02)</f>
        <v>109.5106570584947</v>
      </c>
      <c r="AA99" s="52">
        <f>('TE BE'!$AB$6+'TE BF'!$AB$6+'TE CVA'!$AB$6)*1*(1-0.02)</f>
        <v>209.49782607246507</v>
      </c>
      <c r="AB99" s="52">
        <f>(SUBSIDIO!$J$99*SUBSIDIO!$V$99)*(0.04)/(1-0.04)</f>
        <v>0</v>
      </c>
      <c r="AC99" s="52">
        <f>((SUBSIDIO!$L$99*SUBSIDIO!$W$99)+(SUBSIDIO!$N$99*SUBSIDIO!$X$99))*(0.04)/(1-0.04)</f>
        <v>108.04819999999999</v>
      </c>
      <c r="AD99" s="52">
        <f>(SUBSIDIO!$J$99*SUBSIDIO!$Y$99)*(0.02)/(1-0.02)</f>
        <v>0</v>
      </c>
      <c r="AE99" s="52">
        <f ca="1">((SUBSIDIO!$L$99*SUBSIDIO!$Z$99)+(SUBSIDIO!$N$99*SUBSIDIO!$AA$99))*(0.02)/(1-0.02)</f>
        <v>47.200234748968533</v>
      </c>
      <c r="AF99" s="3" t="s">
        <v>597</v>
      </c>
    </row>
    <row r="100" spans="1:32" ht="11.25" customHeight="1" x14ac:dyDescent="0.3">
      <c r="A100" s="3" t="s">
        <v>27</v>
      </c>
      <c r="B100" s="3" t="s">
        <v>34</v>
      </c>
      <c r="C100" s="3" t="s">
        <v>38</v>
      </c>
      <c r="D100" s="3" t="s">
        <v>41</v>
      </c>
      <c r="E100" s="3" t="s">
        <v>25</v>
      </c>
      <c r="F100" s="3" t="s">
        <v>25</v>
      </c>
      <c r="G100" s="3" t="s">
        <v>25</v>
      </c>
      <c r="H100" s="3" t="s">
        <v>37</v>
      </c>
      <c r="I100" s="6">
        <v>44562</v>
      </c>
      <c r="J100" s="4">
        <v>0</v>
      </c>
      <c r="K100" s="52">
        <v>0</v>
      </c>
      <c r="L100" s="4">
        <v>12.491</v>
      </c>
      <c r="M100" s="52">
        <v>12.491</v>
      </c>
      <c r="N100" s="4">
        <v>12.491</v>
      </c>
      <c r="O100" s="52">
        <v>12.491</v>
      </c>
      <c r="P100" s="4">
        <v>0</v>
      </c>
      <c r="Q100" s="3" t="s">
        <v>26</v>
      </c>
      <c r="R100" s="3">
        <v>0</v>
      </c>
      <c r="S100" s="3">
        <v>0</v>
      </c>
      <c r="T100" s="3">
        <v>3</v>
      </c>
      <c r="U100" s="3">
        <v>62</v>
      </c>
      <c r="V100" s="52">
        <f>IF(ISERROR(VLOOKUP($S$100,'TAR FIN'!$A$1:$O$85,15,0)),0,VLOOKUP($S$100,'TAR FIN'!$A$1:$O$85,15,0))</f>
        <v>0</v>
      </c>
      <c r="W100" s="52">
        <f>IF(ISERROR(VLOOKUP($T$100,'TAR FIN'!$A$1:$O$85,15,0)),0,VLOOKUP($T$100,'TAR FIN'!$A$1:$O$85,15,0))*(1-0.04)</f>
        <v>77.500799999999998</v>
      </c>
      <c r="X100" s="52">
        <f>IF(ISERROR(VLOOKUP($U$100,'TAR FIN'!$A$1:$O$85,15,0)),0,VLOOKUP($U$100,'TAR FIN'!$A$1:$O$85,15,0))*(1-0.04)</f>
        <v>280.17599999999999</v>
      </c>
      <c r="Y100" s="52"/>
      <c r="Z100" s="52">
        <f ca="1">('TUSD BE'!$AM$12+'TUSD BF'!$AM$12+'TUSD CVA'!$AM$12)*1*(1-0.02)</f>
        <v>109.5106570584947</v>
      </c>
      <c r="AA100" s="52">
        <f>('TE BE'!$AB$6+'TE BF'!$AB$6+'TE CVA'!$AB$6)*1*(1-0.02)</f>
        <v>209.49782607246507</v>
      </c>
      <c r="AB100" s="52">
        <f>(SUBSIDIO!$J$100*SUBSIDIO!$V$100)*(0.04)/(1-0.04)</f>
        <v>0</v>
      </c>
      <c r="AC100" s="52">
        <f>((SUBSIDIO!$L$100*SUBSIDIO!$W$100)+(SUBSIDIO!$N$100*SUBSIDIO!$X$100))*(0.04)/(1-0.04)</f>
        <v>186.15587120000001</v>
      </c>
      <c r="AD100" s="52">
        <f>(SUBSIDIO!$J$100*SUBSIDIO!$Y$100)*(0.02)/(1-0.02)</f>
        <v>0</v>
      </c>
      <c r="AE100" s="52">
        <f ca="1">((SUBSIDIO!$L$100*SUBSIDIO!$Z$100)+(SUBSIDIO!$N$100*SUBSIDIO!$AA$100))*(0.02)/(1-0.02)</f>
        <v>81.321121689567747</v>
      </c>
      <c r="AF100" s="3" t="s">
        <v>597</v>
      </c>
    </row>
    <row r="101" spans="1:32" ht="11.25" customHeight="1" x14ac:dyDescent="0.3">
      <c r="A101" s="3" t="s">
        <v>27</v>
      </c>
      <c r="B101" s="3" t="s">
        <v>34</v>
      </c>
      <c r="C101" s="3" t="s">
        <v>38</v>
      </c>
      <c r="D101" s="3" t="s">
        <v>41</v>
      </c>
      <c r="E101" s="3" t="s">
        <v>25</v>
      </c>
      <c r="F101" s="3" t="s">
        <v>25</v>
      </c>
      <c r="G101" s="3" t="s">
        <v>25</v>
      </c>
      <c r="H101" s="3" t="s">
        <v>37</v>
      </c>
      <c r="I101" s="6">
        <v>44593</v>
      </c>
      <c r="J101" s="4">
        <v>0</v>
      </c>
      <c r="K101" s="52">
        <v>0</v>
      </c>
      <c r="L101" s="4">
        <v>8.8330000000000002</v>
      </c>
      <c r="M101" s="52">
        <v>8.8330000000000002</v>
      </c>
      <c r="N101" s="4">
        <v>8.8330000000000002</v>
      </c>
      <c r="O101" s="52">
        <v>8.8330000000000002</v>
      </c>
      <c r="P101" s="4">
        <v>0</v>
      </c>
      <c r="Q101" s="3" t="s">
        <v>26</v>
      </c>
      <c r="R101" s="3">
        <v>0</v>
      </c>
      <c r="S101" s="3">
        <v>0</v>
      </c>
      <c r="T101" s="3">
        <v>3</v>
      </c>
      <c r="U101" s="3">
        <v>62</v>
      </c>
      <c r="V101" s="52">
        <f>IF(ISERROR(VLOOKUP($S$101,'TAR FIN'!$A$1:$O$85,15,0)),0,VLOOKUP($S$101,'TAR FIN'!$A$1:$O$85,15,0))</f>
        <v>0</v>
      </c>
      <c r="W101" s="52">
        <f>IF(ISERROR(VLOOKUP($T$101,'TAR FIN'!$A$1:$O$85,15,0)),0,VLOOKUP($T$101,'TAR FIN'!$A$1:$O$85,15,0))*(1-0.04)</f>
        <v>77.500799999999998</v>
      </c>
      <c r="X101" s="52">
        <f>IF(ISERROR(VLOOKUP($U$101,'TAR FIN'!$A$1:$O$85,15,0)),0,VLOOKUP($U$101,'TAR FIN'!$A$1:$O$85,15,0))*(1-0.04)</f>
        <v>280.17599999999999</v>
      </c>
      <c r="Y101" s="52"/>
      <c r="Z101" s="52">
        <f ca="1">('TUSD BE'!$AM$12+'TUSD BF'!$AM$12+'TUSD CVA'!$AM$12)*1*(1-0.02)</f>
        <v>109.5106570584947</v>
      </c>
      <c r="AA101" s="52">
        <f>('TE BE'!$AB$6+'TE BF'!$AB$6+'TE CVA'!$AB$6)*1*(1-0.02)</f>
        <v>209.49782607246507</v>
      </c>
      <c r="AB101" s="52">
        <f>(SUBSIDIO!$J$101*SUBSIDIO!$V$101)*(0.04)/(1-0.04)</f>
        <v>0</v>
      </c>
      <c r="AC101" s="52">
        <f>((SUBSIDIO!$L$101*SUBSIDIO!$W$101)+(SUBSIDIO!$N$101*SUBSIDIO!$X$101))*(0.04)/(1-0.04)</f>
        <v>131.63996560000001</v>
      </c>
      <c r="AD101" s="52">
        <f>(SUBSIDIO!$J$101*SUBSIDIO!$Y$101)*(0.02)/(1-0.02)</f>
        <v>0</v>
      </c>
      <c r="AE101" s="52">
        <f ca="1">((SUBSIDIO!$L$101*SUBSIDIO!$Z$101)+(SUBSIDIO!$N$101*SUBSIDIO!$AA$101))*(0.02)/(1-0.02)</f>
        <v>57.506161867260573</v>
      </c>
      <c r="AF101" s="3" t="s">
        <v>597</v>
      </c>
    </row>
    <row r="102" spans="1:32" ht="11.25" customHeight="1" x14ac:dyDescent="0.3">
      <c r="A102" s="3" t="s">
        <v>27</v>
      </c>
      <c r="B102" s="3" t="s">
        <v>34</v>
      </c>
      <c r="C102" s="3" t="s">
        <v>38</v>
      </c>
      <c r="D102" s="3" t="s">
        <v>41</v>
      </c>
      <c r="E102" s="3" t="s">
        <v>25</v>
      </c>
      <c r="F102" s="3" t="s">
        <v>25</v>
      </c>
      <c r="G102" s="3" t="s">
        <v>25</v>
      </c>
      <c r="H102" s="3" t="s">
        <v>37</v>
      </c>
      <c r="I102" s="6">
        <v>44621</v>
      </c>
      <c r="J102" s="4">
        <v>0</v>
      </c>
      <c r="K102" s="52">
        <v>0</v>
      </c>
      <c r="L102" s="4">
        <v>12.132999999999999</v>
      </c>
      <c r="M102" s="52">
        <v>12.132999999999999</v>
      </c>
      <c r="N102" s="4">
        <v>12.132999999999999</v>
      </c>
      <c r="O102" s="52">
        <v>12.132999999999999</v>
      </c>
      <c r="P102" s="4">
        <v>0</v>
      </c>
      <c r="Q102" s="3" t="s">
        <v>26</v>
      </c>
      <c r="R102" s="3">
        <v>0</v>
      </c>
      <c r="S102" s="3">
        <v>0</v>
      </c>
      <c r="T102" s="3">
        <v>3</v>
      </c>
      <c r="U102" s="3">
        <v>62</v>
      </c>
      <c r="V102" s="52">
        <f>IF(ISERROR(VLOOKUP($S$102,'TAR FIN'!$A$1:$O$85,15,0)),0,VLOOKUP($S$102,'TAR FIN'!$A$1:$O$85,15,0))</f>
        <v>0</v>
      </c>
      <c r="W102" s="52">
        <f>IF(ISERROR(VLOOKUP($T$102,'TAR FIN'!$A$1:$O$85,15,0)),0,VLOOKUP($T$102,'TAR FIN'!$A$1:$O$85,15,0))*(1-0.04)</f>
        <v>77.500799999999998</v>
      </c>
      <c r="X102" s="52">
        <f>IF(ISERROR(VLOOKUP($U$102,'TAR FIN'!$A$1:$O$85,15,0)),0,VLOOKUP($U$102,'TAR FIN'!$A$1:$O$85,15,0))*(1-0.04)</f>
        <v>280.17599999999999</v>
      </c>
      <c r="Y102" s="52"/>
      <c r="Z102" s="52">
        <f ca="1">('TUSD BE'!$AM$12+'TUSD BF'!$AM$12+'TUSD CVA'!$AM$12)*1*(1-0.02)</f>
        <v>109.5106570584947</v>
      </c>
      <c r="AA102" s="52">
        <f>('TE BE'!$AB$6+'TE BF'!$AB$6+'TE CVA'!$AB$6)*1*(1-0.02)</f>
        <v>209.49782607246507</v>
      </c>
      <c r="AB102" s="52">
        <f>(SUBSIDIO!$J$102*SUBSIDIO!$V$102)*(0.04)/(1-0.04)</f>
        <v>0</v>
      </c>
      <c r="AC102" s="52">
        <f>((SUBSIDIO!$L$102*SUBSIDIO!$W$102)+(SUBSIDIO!$N$102*SUBSIDIO!$X$102))*(0.04)/(1-0.04)</f>
        <v>180.82052559999997</v>
      </c>
      <c r="AD102" s="52">
        <f>(SUBSIDIO!$J$102*SUBSIDIO!$Y$102)*(0.02)/(1-0.02)</f>
        <v>0</v>
      </c>
      <c r="AE102" s="52">
        <f ca="1">((SUBSIDIO!$L$102*SUBSIDIO!$Z$102)+(SUBSIDIO!$N$102*SUBSIDIO!$AA$102))*(0.02)/(1-0.02)</f>
        <v>78.990406649549683</v>
      </c>
      <c r="AF102" s="3" t="s">
        <v>597</v>
      </c>
    </row>
    <row r="103" spans="1:32" ht="11.25" customHeight="1" x14ac:dyDescent="0.3">
      <c r="A103" s="3" t="s">
        <v>27</v>
      </c>
      <c r="B103" s="3" t="s">
        <v>34</v>
      </c>
      <c r="C103" s="3" t="s">
        <v>38</v>
      </c>
      <c r="D103" s="3" t="s">
        <v>41</v>
      </c>
      <c r="E103" s="3" t="s">
        <v>25</v>
      </c>
      <c r="F103" s="3" t="s">
        <v>25</v>
      </c>
      <c r="G103" s="3" t="s">
        <v>25</v>
      </c>
      <c r="H103" s="3" t="s">
        <v>37</v>
      </c>
      <c r="I103" s="6">
        <v>44652</v>
      </c>
      <c r="J103" s="4">
        <v>0</v>
      </c>
      <c r="K103" s="52">
        <v>0</v>
      </c>
      <c r="L103" s="4">
        <v>9.8719999999999999</v>
      </c>
      <c r="M103" s="52">
        <v>9.8719999999999999</v>
      </c>
      <c r="N103" s="4">
        <v>9.8719999999999999</v>
      </c>
      <c r="O103" s="52">
        <v>9.8719999999999999</v>
      </c>
      <c r="P103" s="4">
        <v>0</v>
      </c>
      <c r="Q103" s="3" t="s">
        <v>26</v>
      </c>
      <c r="R103" s="3">
        <v>0</v>
      </c>
      <c r="S103" s="3">
        <v>0</v>
      </c>
      <c r="T103" s="3">
        <v>3</v>
      </c>
      <c r="U103" s="3">
        <v>62</v>
      </c>
      <c r="V103" s="52">
        <f>IF(ISERROR(VLOOKUP($S$103,'TAR FIN'!$A$1:$O$85,15,0)),0,VLOOKUP($S$103,'TAR FIN'!$A$1:$O$85,15,0))</f>
        <v>0</v>
      </c>
      <c r="W103" s="52">
        <f>IF(ISERROR(VLOOKUP($T$103,'TAR FIN'!$A$1:$O$85,15,0)),0,VLOOKUP($T$103,'TAR FIN'!$A$1:$O$85,15,0))*(1-0.04)</f>
        <v>77.500799999999998</v>
      </c>
      <c r="X103" s="52">
        <f>IF(ISERROR(VLOOKUP($U$103,'TAR FIN'!$A$1:$O$85,15,0)),0,VLOOKUP($U$103,'TAR FIN'!$A$1:$O$85,15,0))*(1-0.04)</f>
        <v>280.17599999999999</v>
      </c>
      <c r="Y103" s="52"/>
      <c r="Z103" s="52">
        <f ca="1">('TUSD BE'!$AM$12+'TUSD BF'!$AM$12+'TUSD CVA'!$AM$12)*1*(1-0.02)</f>
        <v>109.5106570584947</v>
      </c>
      <c r="AA103" s="52">
        <f>('TE BE'!$AB$6+'TE BF'!$AB$6+'TE CVA'!$AB$6)*1*(1-0.02)</f>
        <v>209.49782607246507</v>
      </c>
      <c r="AB103" s="52">
        <f>(SUBSIDIO!$J$103*SUBSIDIO!$V$103)*(0.04)/(1-0.04)</f>
        <v>0</v>
      </c>
      <c r="AC103" s="52">
        <f>((SUBSIDIO!$L$103*SUBSIDIO!$W$103)+(SUBSIDIO!$N$103*SUBSIDIO!$X$103))*(0.04)/(1-0.04)</f>
        <v>147.12439039999998</v>
      </c>
      <c r="AD103" s="52">
        <f>(SUBSIDIO!$J$103*SUBSIDIO!$Y$103)*(0.02)/(1-0.02)</f>
        <v>0</v>
      </c>
      <c r="AE103" s="52">
        <f ca="1">((SUBSIDIO!$L$103*SUBSIDIO!$Z$103)+(SUBSIDIO!$N$103*SUBSIDIO!$AA$103))*(0.02)/(1-0.02)</f>
        <v>64.270443785078271</v>
      </c>
      <c r="AF103" s="3" t="s">
        <v>597</v>
      </c>
    </row>
    <row r="104" spans="1:32" ht="11.25" customHeight="1" x14ac:dyDescent="0.3">
      <c r="A104" s="3" t="s">
        <v>27</v>
      </c>
      <c r="B104" s="3" t="s">
        <v>34</v>
      </c>
      <c r="C104" s="3" t="s">
        <v>38</v>
      </c>
      <c r="D104" s="3" t="s">
        <v>41</v>
      </c>
      <c r="E104" s="3" t="s">
        <v>25</v>
      </c>
      <c r="F104" s="3" t="s">
        <v>25</v>
      </c>
      <c r="G104" s="3" t="s">
        <v>25</v>
      </c>
      <c r="H104" s="3" t="s">
        <v>37</v>
      </c>
      <c r="I104" s="6">
        <v>44682</v>
      </c>
      <c r="J104" s="4">
        <v>0</v>
      </c>
      <c r="K104" s="52">
        <v>0</v>
      </c>
      <c r="L104" s="4">
        <v>7.1609999999999996</v>
      </c>
      <c r="M104" s="52">
        <v>7.1609999999999996</v>
      </c>
      <c r="N104" s="4">
        <v>7.1609999999999996</v>
      </c>
      <c r="O104" s="52">
        <v>7.1609999999999996</v>
      </c>
      <c r="P104" s="4">
        <v>0</v>
      </c>
      <c r="Q104" s="3" t="s">
        <v>26</v>
      </c>
      <c r="R104" s="3">
        <v>0</v>
      </c>
      <c r="S104" s="3">
        <v>0</v>
      </c>
      <c r="T104" s="3">
        <v>3</v>
      </c>
      <c r="U104" s="3">
        <v>62</v>
      </c>
      <c r="V104" s="52">
        <f>IF(ISERROR(VLOOKUP($S$104,'TAR FIN'!$A$1:$O$85,15,0)),0,VLOOKUP($S$104,'TAR FIN'!$A$1:$O$85,15,0))</f>
        <v>0</v>
      </c>
      <c r="W104" s="52">
        <f>IF(ISERROR(VLOOKUP($T$104,'TAR FIN'!$A$1:$O$85,15,0)),0,VLOOKUP($T$104,'TAR FIN'!$A$1:$O$85,15,0))*(1-0.04)</f>
        <v>77.500799999999998</v>
      </c>
      <c r="X104" s="52">
        <f>IF(ISERROR(VLOOKUP($U$104,'TAR FIN'!$A$1:$O$85,15,0)),0,VLOOKUP($U$104,'TAR FIN'!$A$1:$O$85,15,0))*(1-0.04)</f>
        <v>280.17599999999999</v>
      </c>
      <c r="Y104" s="52"/>
      <c r="Z104" s="52">
        <f ca="1">('TUSD BE'!$AM$12+'TUSD BF'!$AM$12+'TUSD CVA'!$AM$12)*1*(1-0.02)</f>
        <v>109.5106570584947</v>
      </c>
      <c r="AA104" s="52">
        <f>('TE BE'!$AB$6+'TE BF'!$AB$6+'TE CVA'!$AB$6)*1*(1-0.02)</f>
        <v>209.49782607246507</v>
      </c>
      <c r="AB104" s="52">
        <f>(SUBSIDIO!$J$104*SUBSIDIO!$V$104)*(0.04)/(1-0.04)</f>
        <v>0</v>
      </c>
      <c r="AC104" s="52">
        <f>((SUBSIDIO!$L$104*SUBSIDIO!$W$104)+(SUBSIDIO!$N$104*SUBSIDIO!$X$104))*(0.04)/(1-0.04)</f>
        <v>106.72181520000001</v>
      </c>
      <c r="AD104" s="52">
        <f>(SUBSIDIO!$J$104*SUBSIDIO!$Y$104)*(0.02)/(1-0.02)</f>
        <v>0</v>
      </c>
      <c r="AE104" s="52">
        <f ca="1">((SUBSIDIO!$L$104*SUBSIDIO!$Z$104)+(SUBSIDIO!$N$104*SUBSIDIO!$AA$104))*(0.02)/(1-0.02)</f>
        <v>46.620811177567411</v>
      </c>
      <c r="AF104" s="3" t="s">
        <v>597</v>
      </c>
    </row>
    <row r="105" spans="1:32" ht="11.25" customHeight="1" x14ac:dyDescent="0.3">
      <c r="A105" s="3" t="s">
        <v>27</v>
      </c>
      <c r="B105" s="3" t="s">
        <v>34</v>
      </c>
      <c r="C105" s="3" t="s">
        <v>38</v>
      </c>
      <c r="D105" s="3" t="s">
        <v>41</v>
      </c>
      <c r="E105" s="3" t="s">
        <v>25</v>
      </c>
      <c r="F105" s="3" t="s">
        <v>25</v>
      </c>
      <c r="G105" s="3" t="s">
        <v>25</v>
      </c>
      <c r="H105" s="3" t="s">
        <v>37</v>
      </c>
      <c r="I105" s="6">
        <v>44713</v>
      </c>
      <c r="J105" s="4">
        <v>0</v>
      </c>
      <c r="K105" s="52">
        <v>0</v>
      </c>
      <c r="L105" s="4">
        <v>7.3840000000000003</v>
      </c>
      <c r="M105" s="52">
        <v>7.3840000000000003</v>
      </c>
      <c r="N105" s="4">
        <v>7.3840000000000003</v>
      </c>
      <c r="O105" s="52">
        <v>7.3840000000000003</v>
      </c>
      <c r="P105" s="4">
        <v>0</v>
      </c>
      <c r="Q105" s="3" t="s">
        <v>26</v>
      </c>
      <c r="R105" s="3">
        <v>0</v>
      </c>
      <c r="S105" s="3">
        <v>0</v>
      </c>
      <c r="T105" s="3">
        <v>3</v>
      </c>
      <c r="U105" s="3">
        <v>62</v>
      </c>
      <c r="V105" s="52">
        <f>IF(ISERROR(VLOOKUP($S$105,'TAR FIN'!$A$1:$O$85,15,0)),0,VLOOKUP($S$105,'TAR FIN'!$A$1:$O$85,15,0))</f>
        <v>0</v>
      </c>
      <c r="W105" s="52">
        <f>IF(ISERROR(VLOOKUP($T$105,'TAR FIN'!$A$1:$O$85,15,0)),0,VLOOKUP($T$105,'TAR FIN'!$A$1:$O$85,15,0))*(1-0.04)</f>
        <v>77.500799999999998</v>
      </c>
      <c r="X105" s="52">
        <f>IF(ISERROR(VLOOKUP($U$105,'TAR FIN'!$A$1:$O$85,15,0)),0,VLOOKUP($U$105,'TAR FIN'!$A$1:$O$85,15,0))*(1-0.04)</f>
        <v>280.17599999999999</v>
      </c>
      <c r="Y105" s="52"/>
      <c r="Z105" s="52">
        <f ca="1">('TUSD BE'!$AM$12+'TUSD BF'!$AM$12+'TUSD CVA'!$AM$12)*1*(1-0.02)</f>
        <v>109.5106570584947</v>
      </c>
      <c r="AA105" s="52">
        <f>('TE BE'!$AB$6+'TE BF'!$AB$6+'TE CVA'!$AB$6)*1*(1-0.02)</f>
        <v>209.49782607246507</v>
      </c>
      <c r="AB105" s="52">
        <f>(SUBSIDIO!$J$105*SUBSIDIO!$V$105)*(0.04)/(1-0.04)</f>
        <v>0</v>
      </c>
      <c r="AC105" s="52">
        <f>((SUBSIDIO!$L$105*SUBSIDIO!$W$105)+(SUBSIDIO!$N$105*SUBSIDIO!$X$105))*(0.04)/(1-0.04)</f>
        <v>110.0452288</v>
      </c>
      <c r="AD105" s="52">
        <f>(SUBSIDIO!$J$105*SUBSIDIO!$Y$105)*(0.02)/(1-0.02)</f>
        <v>0</v>
      </c>
      <c r="AE105" s="52">
        <f ca="1">((SUBSIDIO!$L$105*SUBSIDIO!$Z$105)+(SUBSIDIO!$N$105*SUBSIDIO!$AA$105))*(0.02)/(1-0.02)</f>
        <v>48.072625294673621</v>
      </c>
      <c r="AF105" s="3" t="s">
        <v>597</v>
      </c>
    </row>
    <row r="106" spans="1:32" ht="11.25" customHeight="1" x14ac:dyDescent="0.3">
      <c r="A106" s="3" t="s">
        <v>27</v>
      </c>
      <c r="B106" s="3" t="s">
        <v>34</v>
      </c>
      <c r="C106" s="3" t="s">
        <v>38</v>
      </c>
      <c r="D106" s="3" t="s">
        <v>41</v>
      </c>
      <c r="E106" s="3" t="s">
        <v>25</v>
      </c>
      <c r="F106" s="3" t="s">
        <v>25</v>
      </c>
      <c r="G106" s="3" t="s">
        <v>25</v>
      </c>
      <c r="H106" s="3" t="s">
        <v>37</v>
      </c>
      <c r="I106" s="6">
        <v>44743</v>
      </c>
      <c r="J106" s="4">
        <v>0</v>
      </c>
      <c r="K106" s="52">
        <v>0</v>
      </c>
      <c r="L106" s="4">
        <v>8.0359999999999996</v>
      </c>
      <c r="M106" s="52">
        <v>8.0359999999999996</v>
      </c>
      <c r="N106" s="4">
        <v>8.0359999999999996</v>
      </c>
      <c r="O106" s="52">
        <v>8.0359999999999996</v>
      </c>
      <c r="P106" s="4">
        <v>0</v>
      </c>
      <c r="Q106" s="3" t="s">
        <v>26</v>
      </c>
      <c r="R106" s="3">
        <v>0</v>
      </c>
      <c r="S106" s="3">
        <v>0</v>
      </c>
      <c r="T106" s="3">
        <v>3</v>
      </c>
      <c r="U106" s="3">
        <v>62</v>
      </c>
      <c r="V106" s="52">
        <f>IF(ISERROR(VLOOKUP($S$106,'TAR FIN'!$A$1:$O$85,15,0)),0,VLOOKUP($S$106,'TAR FIN'!$A$1:$O$85,15,0))</f>
        <v>0</v>
      </c>
      <c r="W106" s="52">
        <f>IF(ISERROR(VLOOKUP($T$106,'TAR FIN'!$A$1:$O$85,15,0)),0,VLOOKUP($T$106,'TAR FIN'!$A$1:$O$85,15,0))*(1-0.04)</f>
        <v>77.500799999999998</v>
      </c>
      <c r="X106" s="52">
        <f>IF(ISERROR(VLOOKUP($U$106,'TAR FIN'!$A$1:$O$85,15,0)),0,VLOOKUP($U$106,'TAR FIN'!$A$1:$O$85,15,0))*(1-0.04)</f>
        <v>280.17599999999999</v>
      </c>
      <c r="Y106" s="52"/>
      <c r="Z106" s="52">
        <f ca="1">('TUSD BE'!$AM$12+'TUSD BF'!$AM$12+'TUSD CVA'!$AM$12)*1*(1-0.02)</f>
        <v>109.5106570584947</v>
      </c>
      <c r="AA106" s="52">
        <f>('TE BE'!$AB$6+'TE BF'!$AB$6+'TE CVA'!$AB$6)*1*(1-0.02)</f>
        <v>209.49782607246507</v>
      </c>
      <c r="AB106" s="52">
        <f>(SUBSIDIO!$J$106*SUBSIDIO!$V$106)*(0.04)/(1-0.04)</f>
        <v>0</v>
      </c>
      <c r="AC106" s="52">
        <f>((SUBSIDIO!$L$106*SUBSIDIO!$W$106)+(SUBSIDIO!$N$106*SUBSIDIO!$X$106))*(0.04)/(1-0.04)</f>
        <v>119.76211519999998</v>
      </c>
      <c r="AD106" s="52">
        <f>(SUBSIDIO!$J$106*SUBSIDIO!$Y$106)*(0.02)/(1-0.02)</f>
        <v>0</v>
      </c>
      <c r="AE106" s="52">
        <f ca="1">((SUBSIDIO!$L$106*SUBSIDIO!$Z$106)+(SUBSIDIO!$N$106*SUBSIDIO!$AA$106))*(0.02)/(1-0.02)</f>
        <v>52.317391233477402</v>
      </c>
      <c r="AF106" s="3" t="s">
        <v>597</v>
      </c>
    </row>
    <row r="107" spans="1:32" ht="11.25" customHeight="1" x14ac:dyDescent="0.3">
      <c r="A107" s="3" t="s">
        <v>53</v>
      </c>
      <c r="B107" s="3" t="s">
        <v>34</v>
      </c>
      <c r="C107" s="3" t="s">
        <v>38</v>
      </c>
      <c r="D107" s="3" t="s">
        <v>41</v>
      </c>
      <c r="E107" s="3" t="s">
        <v>25</v>
      </c>
      <c r="F107" s="3" t="s">
        <v>25</v>
      </c>
      <c r="G107" s="3" t="s">
        <v>25</v>
      </c>
      <c r="H107" s="3" t="s">
        <v>37</v>
      </c>
      <c r="I107" s="6">
        <v>44774</v>
      </c>
      <c r="J107" s="4">
        <v>0</v>
      </c>
      <c r="K107" s="52">
        <v>0</v>
      </c>
      <c r="L107" s="4">
        <v>8.0359999999999996</v>
      </c>
      <c r="M107" s="52">
        <v>8.0359999999999996</v>
      </c>
      <c r="N107" s="4">
        <v>8.0359999999999996</v>
      </c>
      <c r="O107" s="52">
        <v>8.0359999999999996</v>
      </c>
      <c r="P107" s="4">
        <v>0</v>
      </c>
      <c r="Q107" s="3" t="s">
        <v>26</v>
      </c>
      <c r="R107" s="3">
        <v>0</v>
      </c>
      <c r="S107" s="3">
        <v>0</v>
      </c>
      <c r="T107" s="3">
        <v>3</v>
      </c>
      <c r="U107" s="3">
        <v>62</v>
      </c>
      <c r="V107" s="52">
        <f>IF(ISERROR(VLOOKUP($S$107,'TAR FIN'!$A$1:$O$85,15,0)),0,VLOOKUP($S$107,'TAR FIN'!$A$1:$O$85,15,0))</f>
        <v>0</v>
      </c>
      <c r="W107" s="52">
        <f>IF(ISERROR(VLOOKUP($T$107,'TAR FIN'!$A$1:$O$85,15,0)),0,VLOOKUP($T$107,'TAR FIN'!$A$1:$O$85,15,0))*(1-0.04)</f>
        <v>77.500799999999998</v>
      </c>
      <c r="X107" s="52">
        <f>IF(ISERROR(VLOOKUP($U$107,'TAR FIN'!$A$1:$O$85,15,0)),0,VLOOKUP($U$107,'TAR FIN'!$A$1:$O$85,15,0))*(1-0.04)</f>
        <v>280.17599999999999</v>
      </c>
      <c r="Y107" s="52"/>
      <c r="Z107" s="52">
        <f ca="1">('TUSD BE'!$AM$12+'TUSD BF'!$AM$12+'TUSD CVA'!$AM$12)*1*(1-0.02)</f>
        <v>109.5106570584947</v>
      </c>
      <c r="AA107" s="52">
        <f>('TE BE'!$AB$6+'TE BF'!$AB$6+'TE CVA'!$AB$6)*1*(1-0.02)</f>
        <v>209.49782607246507</v>
      </c>
      <c r="AB107" s="52">
        <f>(SUBSIDIO!$J$107*SUBSIDIO!$V$107)*(0.04)/(1-0.04)</f>
        <v>0</v>
      </c>
      <c r="AC107" s="52">
        <f>((SUBSIDIO!$L$107*SUBSIDIO!$W$107)+(SUBSIDIO!$N$107*SUBSIDIO!$X$107))*(0.04)/(1-0.04)</f>
        <v>119.76211519999998</v>
      </c>
      <c r="AD107" s="52">
        <f>(SUBSIDIO!$J$107*SUBSIDIO!$Y$107)*(0.02)/(1-0.02)</f>
        <v>0</v>
      </c>
      <c r="AE107" s="52">
        <f ca="1">((SUBSIDIO!$L$107*SUBSIDIO!$Z$107)+(SUBSIDIO!$N$107*SUBSIDIO!$AA$107))*(0.02)/(1-0.02)</f>
        <v>52.317391233477402</v>
      </c>
      <c r="AF107" s="3" t="s">
        <v>597</v>
      </c>
    </row>
    <row r="108" spans="1:32" ht="11.25" customHeight="1" x14ac:dyDescent="0.3">
      <c r="A108" s="3" t="s">
        <v>27</v>
      </c>
      <c r="B108" s="3" t="s">
        <v>34</v>
      </c>
      <c r="C108" s="3" t="s">
        <v>38</v>
      </c>
      <c r="D108" s="3" t="s">
        <v>41</v>
      </c>
      <c r="E108" s="3" t="s">
        <v>25</v>
      </c>
      <c r="F108" s="3" t="s">
        <v>25</v>
      </c>
      <c r="G108" s="3" t="s">
        <v>25</v>
      </c>
      <c r="H108" s="3" t="s">
        <v>25</v>
      </c>
      <c r="I108" s="6">
        <v>44501</v>
      </c>
      <c r="J108" s="4">
        <v>50</v>
      </c>
      <c r="K108" s="52">
        <v>50</v>
      </c>
      <c r="L108" s="4">
        <v>0</v>
      </c>
      <c r="M108" s="52">
        <v>0</v>
      </c>
      <c r="N108" s="4">
        <v>0</v>
      </c>
      <c r="O108" s="52">
        <v>0</v>
      </c>
      <c r="P108" s="4">
        <v>1</v>
      </c>
      <c r="Q108" s="3" t="s">
        <v>26</v>
      </c>
      <c r="R108" s="3">
        <v>0</v>
      </c>
      <c r="S108" s="3">
        <v>5</v>
      </c>
      <c r="T108" s="3">
        <v>0</v>
      </c>
      <c r="U108" s="3">
        <v>0</v>
      </c>
      <c r="V108" s="52">
        <f>IF(ISERROR(VLOOKUP($S$108,'TAR FIN'!$A$1:$O$85,15,0)),0,VLOOKUP($S$108,'TAR FIN'!$A$1:$O$85,15,0))*(1-0.04)</f>
        <v>19.526399999999999</v>
      </c>
      <c r="W108" s="52">
        <f>IF(ISERROR(VLOOKUP($T$108,'TAR FIN'!$A$1:$O$85,15,0)),0,VLOOKUP($T$108,'TAR FIN'!$A$1:$O$85,15,0))</f>
        <v>0</v>
      </c>
      <c r="X108" s="52">
        <f>IF(ISERROR(VLOOKUP($U$108,'TAR FIN'!$A$1:$O$85,15,0)),0,VLOOKUP($U$108,'TAR FIN'!$A$1:$O$85,15,0))</f>
        <v>0</v>
      </c>
      <c r="Y108" s="52">
        <f ca="1">('TUSD BE'!$AM$10+'TUSD BF'!$AM$10+'TUSD CVA'!$AM$10)*1*(1-0.02)</f>
        <v>22.771855028342177</v>
      </c>
      <c r="Z108" s="52"/>
      <c r="AA108" s="52"/>
      <c r="AB108" s="52">
        <f>(SUBSIDIO!$J$108*SUBSIDIO!$V$108)*(0.04)/(1-0.04)</f>
        <v>40.68</v>
      </c>
      <c r="AC108" s="52">
        <f>((SUBSIDIO!$L$108*SUBSIDIO!$W$108)+(SUBSIDIO!$N$108*SUBSIDIO!$X$108))*(0.04)/(1-0.04)</f>
        <v>0</v>
      </c>
      <c r="AD108" s="52">
        <f ca="1">(SUBSIDIO!$J$108*SUBSIDIO!$Y$108)*(0.02)/(1-0.02)</f>
        <v>23.236586763614472</v>
      </c>
      <c r="AE108" s="52">
        <f>((SUBSIDIO!$L$108*SUBSIDIO!$Z$108)+(SUBSIDIO!$N$108*SUBSIDIO!$AA$108))*(0.02)/(1-0.02)</f>
        <v>0</v>
      </c>
      <c r="AF108" s="3" t="s">
        <v>597</v>
      </c>
    </row>
    <row r="109" spans="1:32" ht="11.25" customHeight="1" x14ac:dyDescent="0.3">
      <c r="A109" s="3" t="s">
        <v>27</v>
      </c>
      <c r="B109" s="3" t="s">
        <v>34</v>
      </c>
      <c r="C109" s="3" t="s">
        <v>38</v>
      </c>
      <c r="D109" s="3" t="s">
        <v>41</v>
      </c>
      <c r="E109" s="3" t="s">
        <v>25</v>
      </c>
      <c r="F109" s="3" t="s">
        <v>25</v>
      </c>
      <c r="G109" s="3" t="s">
        <v>25</v>
      </c>
      <c r="H109" s="3" t="s">
        <v>25</v>
      </c>
      <c r="I109" s="6">
        <v>44531</v>
      </c>
      <c r="J109" s="4">
        <v>50</v>
      </c>
      <c r="K109" s="52">
        <v>50</v>
      </c>
      <c r="L109" s="4">
        <v>0</v>
      </c>
      <c r="M109" s="52">
        <v>0</v>
      </c>
      <c r="N109" s="4">
        <v>0</v>
      </c>
      <c r="O109" s="52">
        <v>0</v>
      </c>
      <c r="P109" s="4">
        <v>1</v>
      </c>
      <c r="Q109" s="3" t="s">
        <v>26</v>
      </c>
      <c r="R109" s="3">
        <v>0</v>
      </c>
      <c r="S109" s="3">
        <v>5</v>
      </c>
      <c r="T109" s="3">
        <v>0</v>
      </c>
      <c r="U109" s="3">
        <v>0</v>
      </c>
      <c r="V109" s="52">
        <f>IF(ISERROR(VLOOKUP($S$109,'TAR FIN'!$A$1:$O$85,15,0)),0,VLOOKUP($S$109,'TAR FIN'!$A$1:$O$85,15,0))*(1-0.04)</f>
        <v>19.526399999999999</v>
      </c>
      <c r="W109" s="52">
        <f>IF(ISERROR(VLOOKUP($T$109,'TAR FIN'!$A$1:$O$85,15,0)),0,VLOOKUP($T$109,'TAR FIN'!$A$1:$O$85,15,0))</f>
        <v>0</v>
      </c>
      <c r="X109" s="52">
        <f>IF(ISERROR(VLOOKUP($U$109,'TAR FIN'!$A$1:$O$85,15,0)),0,VLOOKUP($U$109,'TAR FIN'!$A$1:$O$85,15,0))</f>
        <v>0</v>
      </c>
      <c r="Y109" s="52">
        <f ca="1">('TUSD BE'!$AM$10+'TUSD BF'!$AM$10+'TUSD CVA'!$AM$10)*1*(1-0.02)</f>
        <v>22.771855028342177</v>
      </c>
      <c r="Z109" s="52"/>
      <c r="AA109" s="52"/>
      <c r="AB109" s="52">
        <f>(SUBSIDIO!$J$109*SUBSIDIO!$V$109)*(0.04)/(1-0.04)</f>
        <v>40.68</v>
      </c>
      <c r="AC109" s="52">
        <f>((SUBSIDIO!$L$109*SUBSIDIO!$W$109)+(SUBSIDIO!$N$109*SUBSIDIO!$X$109))*(0.04)/(1-0.04)</f>
        <v>0</v>
      </c>
      <c r="AD109" s="52">
        <f ca="1">(SUBSIDIO!$J$109*SUBSIDIO!$Y$109)*(0.02)/(1-0.02)</f>
        <v>23.236586763614472</v>
      </c>
      <c r="AE109" s="52">
        <f>((SUBSIDIO!$L$109*SUBSIDIO!$Z$109)+(SUBSIDIO!$N$109*SUBSIDIO!$AA$109))*(0.02)/(1-0.02)</f>
        <v>0</v>
      </c>
      <c r="AF109" s="3" t="s">
        <v>597</v>
      </c>
    </row>
    <row r="110" spans="1:32" ht="11.25" customHeight="1" x14ac:dyDescent="0.3">
      <c r="A110" s="3" t="s">
        <v>27</v>
      </c>
      <c r="B110" s="3" t="s">
        <v>34</v>
      </c>
      <c r="C110" s="3" t="s">
        <v>38</v>
      </c>
      <c r="D110" s="3" t="s">
        <v>41</v>
      </c>
      <c r="E110" s="3" t="s">
        <v>25</v>
      </c>
      <c r="F110" s="3" t="s">
        <v>25</v>
      </c>
      <c r="G110" s="3" t="s">
        <v>25</v>
      </c>
      <c r="H110" s="3" t="s">
        <v>25</v>
      </c>
      <c r="I110" s="6">
        <v>44562</v>
      </c>
      <c r="J110" s="4">
        <v>55</v>
      </c>
      <c r="K110" s="52">
        <v>55</v>
      </c>
      <c r="L110" s="4">
        <v>0</v>
      </c>
      <c r="M110" s="52">
        <v>0</v>
      </c>
      <c r="N110" s="4">
        <v>0</v>
      </c>
      <c r="O110" s="52">
        <v>0</v>
      </c>
      <c r="P110" s="4">
        <v>1</v>
      </c>
      <c r="Q110" s="3" t="s">
        <v>26</v>
      </c>
      <c r="R110" s="3">
        <v>0</v>
      </c>
      <c r="S110" s="3">
        <v>5</v>
      </c>
      <c r="T110" s="3">
        <v>0</v>
      </c>
      <c r="U110" s="3">
        <v>0</v>
      </c>
      <c r="V110" s="52">
        <f>IF(ISERROR(VLOOKUP($S$110,'TAR FIN'!$A$1:$O$85,15,0)),0,VLOOKUP($S$110,'TAR FIN'!$A$1:$O$85,15,0))*(1-0.04)</f>
        <v>19.526399999999999</v>
      </c>
      <c r="W110" s="52">
        <f>IF(ISERROR(VLOOKUP($T$110,'TAR FIN'!$A$1:$O$85,15,0)),0,VLOOKUP($T$110,'TAR FIN'!$A$1:$O$85,15,0))</f>
        <v>0</v>
      </c>
      <c r="X110" s="52">
        <f>IF(ISERROR(VLOOKUP($U$110,'TAR FIN'!$A$1:$O$85,15,0)),0,VLOOKUP($U$110,'TAR FIN'!$A$1:$O$85,15,0))</f>
        <v>0</v>
      </c>
      <c r="Y110" s="52">
        <f ca="1">('TUSD BE'!$AM$10+'TUSD BF'!$AM$10+'TUSD CVA'!$AM$10)*1*(1-0.02)</f>
        <v>22.771855028342177</v>
      </c>
      <c r="Z110" s="52"/>
      <c r="AA110" s="52"/>
      <c r="AB110" s="52">
        <f>(SUBSIDIO!$J$110*SUBSIDIO!$V$110)*(0.04)/(1-0.04)</f>
        <v>44.748000000000005</v>
      </c>
      <c r="AC110" s="52">
        <f>((SUBSIDIO!$L$110*SUBSIDIO!$W$110)+(SUBSIDIO!$N$110*SUBSIDIO!$X$110))*(0.04)/(1-0.04)</f>
        <v>0</v>
      </c>
      <c r="AD110" s="52">
        <f ca="1">(SUBSIDIO!$J$110*SUBSIDIO!$Y$110)*(0.02)/(1-0.02)</f>
        <v>25.560245439975912</v>
      </c>
      <c r="AE110" s="52">
        <f>((SUBSIDIO!$L$110*SUBSIDIO!$Z$110)+(SUBSIDIO!$N$110*SUBSIDIO!$AA$110))*(0.02)/(1-0.02)</f>
        <v>0</v>
      </c>
      <c r="AF110" s="3" t="s">
        <v>597</v>
      </c>
    </row>
    <row r="111" spans="1:32" ht="11.25" customHeight="1" x14ac:dyDescent="0.3">
      <c r="A111" s="3" t="s">
        <v>27</v>
      </c>
      <c r="B111" s="3" t="s">
        <v>34</v>
      </c>
      <c r="C111" s="3" t="s">
        <v>38</v>
      </c>
      <c r="D111" s="3" t="s">
        <v>41</v>
      </c>
      <c r="E111" s="3" t="s">
        <v>25</v>
      </c>
      <c r="F111" s="3" t="s">
        <v>25</v>
      </c>
      <c r="G111" s="3" t="s">
        <v>25</v>
      </c>
      <c r="H111" s="3" t="s">
        <v>25</v>
      </c>
      <c r="I111" s="6">
        <v>44593</v>
      </c>
      <c r="J111" s="4">
        <v>50</v>
      </c>
      <c r="K111" s="52">
        <v>50</v>
      </c>
      <c r="L111" s="4">
        <v>0</v>
      </c>
      <c r="M111" s="52">
        <v>0</v>
      </c>
      <c r="N111" s="4">
        <v>0</v>
      </c>
      <c r="O111" s="52">
        <v>0</v>
      </c>
      <c r="P111" s="4">
        <v>1</v>
      </c>
      <c r="Q111" s="3" t="s">
        <v>26</v>
      </c>
      <c r="R111" s="3">
        <v>0</v>
      </c>
      <c r="S111" s="3">
        <v>5</v>
      </c>
      <c r="T111" s="3">
        <v>0</v>
      </c>
      <c r="U111" s="3">
        <v>0</v>
      </c>
      <c r="V111" s="52">
        <f>IF(ISERROR(VLOOKUP($S$111,'TAR FIN'!$A$1:$O$85,15,0)),0,VLOOKUP($S$111,'TAR FIN'!$A$1:$O$85,15,0))*(1-0.04)</f>
        <v>19.526399999999999</v>
      </c>
      <c r="W111" s="52">
        <f>IF(ISERROR(VLOOKUP($T$111,'TAR FIN'!$A$1:$O$85,15,0)),0,VLOOKUP($T$111,'TAR FIN'!$A$1:$O$85,15,0))</f>
        <v>0</v>
      </c>
      <c r="X111" s="52">
        <f>IF(ISERROR(VLOOKUP($U$111,'TAR FIN'!$A$1:$O$85,15,0)),0,VLOOKUP($U$111,'TAR FIN'!$A$1:$O$85,15,0))</f>
        <v>0</v>
      </c>
      <c r="Y111" s="52">
        <f ca="1">('TUSD BE'!$AM$10+'TUSD BF'!$AM$10+'TUSD CVA'!$AM$10)*1*(1-0.02)</f>
        <v>22.771855028342177</v>
      </c>
      <c r="Z111" s="52"/>
      <c r="AA111" s="52"/>
      <c r="AB111" s="52">
        <f>(SUBSIDIO!$J$111*SUBSIDIO!$V$111)*(0.04)/(1-0.04)</f>
        <v>40.68</v>
      </c>
      <c r="AC111" s="52">
        <f>((SUBSIDIO!$L$111*SUBSIDIO!$W$111)+(SUBSIDIO!$N$111*SUBSIDIO!$X$111))*(0.04)/(1-0.04)</f>
        <v>0</v>
      </c>
      <c r="AD111" s="52">
        <f ca="1">(SUBSIDIO!$J$111*SUBSIDIO!$Y$111)*(0.02)/(1-0.02)</f>
        <v>23.236586763614472</v>
      </c>
      <c r="AE111" s="52">
        <f>((SUBSIDIO!$L$111*SUBSIDIO!$Z$111)+(SUBSIDIO!$N$111*SUBSIDIO!$AA$111))*(0.02)/(1-0.02)</f>
        <v>0</v>
      </c>
      <c r="AF111" s="3" t="s">
        <v>597</v>
      </c>
    </row>
    <row r="112" spans="1:32" ht="11.25" customHeight="1" x14ac:dyDescent="0.3">
      <c r="A112" s="3" t="s">
        <v>27</v>
      </c>
      <c r="B112" s="3" t="s">
        <v>34</v>
      </c>
      <c r="C112" s="3" t="s">
        <v>38</v>
      </c>
      <c r="D112" s="3" t="s">
        <v>41</v>
      </c>
      <c r="E112" s="3" t="s">
        <v>25</v>
      </c>
      <c r="F112" s="3" t="s">
        <v>25</v>
      </c>
      <c r="G112" s="3" t="s">
        <v>25</v>
      </c>
      <c r="H112" s="3" t="s">
        <v>25</v>
      </c>
      <c r="I112" s="6">
        <v>44621</v>
      </c>
      <c r="J112" s="4">
        <v>54</v>
      </c>
      <c r="K112" s="52">
        <v>54</v>
      </c>
      <c r="L112" s="4">
        <v>0</v>
      </c>
      <c r="M112" s="52">
        <v>0</v>
      </c>
      <c r="N112" s="4">
        <v>0</v>
      </c>
      <c r="O112" s="52">
        <v>0</v>
      </c>
      <c r="P112" s="4">
        <v>1</v>
      </c>
      <c r="Q112" s="3" t="s">
        <v>26</v>
      </c>
      <c r="R112" s="3">
        <v>0</v>
      </c>
      <c r="S112" s="3">
        <v>5</v>
      </c>
      <c r="T112" s="3">
        <v>0</v>
      </c>
      <c r="U112" s="3">
        <v>0</v>
      </c>
      <c r="V112" s="52">
        <f>IF(ISERROR(VLOOKUP($S$112,'TAR FIN'!$A$1:$O$85,15,0)),0,VLOOKUP($S$112,'TAR FIN'!$A$1:$O$85,15,0))*(1-0.04)</f>
        <v>19.526399999999999</v>
      </c>
      <c r="W112" s="52">
        <f>IF(ISERROR(VLOOKUP($T$112,'TAR FIN'!$A$1:$O$85,15,0)),0,VLOOKUP($T$112,'TAR FIN'!$A$1:$O$85,15,0))</f>
        <v>0</v>
      </c>
      <c r="X112" s="52">
        <f>IF(ISERROR(VLOOKUP($U$112,'TAR FIN'!$A$1:$O$85,15,0)),0,VLOOKUP($U$112,'TAR FIN'!$A$1:$O$85,15,0))</f>
        <v>0</v>
      </c>
      <c r="Y112" s="52">
        <f ca="1">('TUSD BE'!$AM$10+'TUSD BF'!$AM$10+'TUSD CVA'!$AM$10)*1*(1-0.02)</f>
        <v>22.771855028342177</v>
      </c>
      <c r="Z112" s="52"/>
      <c r="AA112" s="52"/>
      <c r="AB112" s="52">
        <f>(SUBSIDIO!$J$112*SUBSIDIO!$V$112)*(0.04)/(1-0.04)</f>
        <v>43.934400000000004</v>
      </c>
      <c r="AC112" s="52">
        <f>((SUBSIDIO!$L$112*SUBSIDIO!$W$112)+(SUBSIDIO!$N$112*SUBSIDIO!$X$112))*(0.04)/(1-0.04)</f>
        <v>0</v>
      </c>
      <c r="AD112" s="52">
        <f ca="1">(SUBSIDIO!$J$112*SUBSIDIO!$Y$112)*(0.02)/(1-0.02)</f>
        <v>25.095513704703624</v>
      </c>
      <c r="AE112" s="52">
        <f>((SUBSIDIO!$L$112*SUBSIDIO!$Z$112)+(SUBSIDIO!$N$112*SUBSIDIO!$AA$112))*(0.02)/(1-0.02)</f>
        <v>0</v>
      </c>
      <c r="AF112" s="3" t="s">
        <v>597</v>
      </c>
    </row>
    <row r="113" spans="1:32" ht="11.25" customHeight="1" x14ac:dyDescent="0.3">
      <c r="A113" s="3" t="s">
        <v>27</v>
      </c>
      <c r="B113" s="3" t="s">
        <v>34</v>
      </c>
      <c r="C113" s="3" t="s">
        <v>38</v>
      </c>
      <c r="D113" s="3" t="s">
        <v>41</v>
      </c>
      <c r="E113" s="3" t="s">
        <v>25</v>
      </c>
      <c r="F113" s="3" t="s">
        <v>25</v>
      </c>
      <c r="G113" s="3" t="s">
        <v>25</v>
      </c>
      <c r="H113" s="3" t="s">
        <v>25</v>
      </c>
      <c r="I113" s="6">
        <v>44652</v>
      </c>
      <c r="J113" s="4">
        <v>52</v>
      </c>
      <c r="K113" s="52">
        <v>52</v>
      </c>
      <c r="L113" s="4">
        <v>0</v>
      </c>
      <c r="M113" s="52">
        <v>0</v>
      </c>
      <c r="N113" s="4">
        <v>0</v>
      </c>
      <c r="O113" s="52">
        <v>0</v>
      </c>
      <c r="P113" s="4">
        <v>1</v>
      </c>
      <c r="Q113" s="3" t="s">
        <v>26</v>
      </c>
      <c r="R113" s="3">
        <v>0</v>
      </c>
      <c r="S113" s="3">
        <v>5</v>
      </c>
      <c r="T113" s="3">
        <v>0</v>
      </c>
      <c r="U113" s="3">
        <v>0</v>
      </c>
      <c r="V113" s="52">
        <f>IF(ISERROR(VLOOKUP($S$113,'TAR FIN'!$A$1:$O$85,15,0)),0,VLOOKUP($S$113,'TAR FIN'!$A$1:$O$85,15,0))*(1-0.04)</f>
        <v>19.526399999999999</v>
      </c>
      <c r="W113" s="52">
        <f>IF(ISERROR(VLOOKUP($T$113,'TAR FIN'!$A$1:$O$85,15,0)),0,VLOOKUP($T$113,'TAR FIN'!$A$1:$O$85,15,0))</f>
        <v>0</v>
      </c>
      <c r="X113" s="52">
        <f>IF(ISERROR(VLOOKUP($U$113,'TAR FIN'!$A$1:$O$85,15,0)),0,VLOOKUP($U$113,'TAR FIN'!$A$1:$O$85,15,0))</f>
        <v>0</v>
      </c>
      <c r="Y113" s="52">
        <f ca="1">('TUSD BE'!$AM$10+'TUSD BF'!$AM$10+'TUSD CVA'!$AM$10)*1*(1-0.02)</f>
        <v>22.771855028342177</v>
      </c>
      <c r="Z113" s="52"/>
      <c r="AA113" s="52"/>
      <c r="AB113" s="52">
        <f>(SUBSIDIO!$J$113*SUBSIDIO!$V$113)*(0.04)/(1-0.04)</f>
        <v>42.307200000000002</v>
      </c>
      <c r="AC113" s="52">
        <f>((SUBSIDIO!$L$113*SUBSIDIO!$W$113)+(SUBSIDIO!$N$113*SUBSIDIO!$X$113))*(0.04)/(1-0.04)</f>
        <v>0</v>
      </c>
      <c r="AD113" s="52">
        <f ca="1">(SUBSIDIO!$J$113*SUBSIDIO!$Y$113)*(0.02)/(1-0.02)</f>
        <v>24.166050234159044</v>
      </c>
      <c r="AE113" s="52">
        <f>((SUBSIDIO!$L$113*SUBSIDIO!$Z$113)+(SUBSIDIO!$N$113*SUBSIDIO!$AA$113))*(0.02)/(1-0.02)</f>
        <v>0</v>
      </c>
      <c r="AF113" s="3" t="s">
        <v>597</v>
      </c>
    </row>
    <row r="114" spans="1:32" ht="11.25" customHeight="1" x14ac:dyDescent="0.3">
      <c r="A114" s="3" t="s">
        <v>27</v>
      </c>
      <c r="B114" s="3" t="s">
        <v>34</v>
      </c>
      <c r="C114" s="3" t="s">
        <v>38</v>
      </c>
      <c r="D114" s="3" t="s">
        <v>41</v>
      </c>
      <c r="E114" s="3" t="s">
        <v>25</v>
      </c>
      <c r="F114" s="3" t="s">
        <v>25</v>
      </c>
      <c r="G114" s="3" t="s">
        <v>25</v>
      </c>
      <c r="H114" s="3" t="s">
        <v>25</v>
      </c>
      <c r="I114" s="6">
        <v>44682</v>
      </c>
      <c r="J114" s="4">
        <v>50</v>
      </c>
      <c r="K114" s="52">
        <v>50</v>
      </c>
      <c r="L114" s="4">
        <v>0</v>
      </c>
      <c r="M114" s="52">
        <v>0</v>
      </c>
      <c r="N114" s="4">
        <v>0</v>
      </c>
      <c r="O114" s="52">
        <v>0</v>
      </c>
      <c r="P114" s="4">
        <v>1</v>
      </c>
      <c r="Q114" s="3" t="s">
        <v>26</v>
      </c>
      <c r="R114" s="3">
        <v>0</v>
      </c>
      <c r="S114" s="3">
        <v>5</v>
      </c>
      <c r="T114" s="3">
        <v>0</v>
      </c>
      <c r="U114" s="3">
        <v>0</v>
      </c>
      <c r="V114" s="52">
        <f>IF(ISERROR(VLOOKUP($S$114,'TAR FIN'!$A$1:$O$85,15,0)),0,VLOOKUP($S$114,'TAR FIN'!$A$1:$O$85,15,0))*(1-0.04)</f>
        <v>19.526399999999999</v>
      </c>
      <c r="W114" s="52">
        <f>IF(ISERROR(VLOOKUP($T$114,'TAR FIN'!$A$1:$O$85,15,0)),0,VLOOKUP($T$114,'TAR FIN'!$A$1:$O$85,15,0))</f>
        <v>0</v>
      </c>
      <c r="X114" s="52">
        <f>IF(ISERROR(VLOOKUP($U$114,'TAR FIN'!$A$1:$O$85,15,0)),0,VLOOKUP($U$114,'TAR FIN'!$A$1:$O$85,15,0))</f>
        <v>0</v>
      </c>
      <c r="Y114" s="52">
        <f ca="1">('TUSD BE'!$AM$10+'TUSD BF'!$AM$10+'TUSD CVA'!$AM$10)*1*(1-0.02)</f>
        <v>22.771855028342177</v>
      </c>
      <c r="Z114" s="52"/>
      <c r="AA114" s="52"/>
      <c r="AB114" s="52">
        <f>(SUBSIDIO!$J$114*SUBSIDIO!$V$114)*(0.04)/(1-0.04)</f>
        <v>40.68</v>
      </c>
      <c r="AC114" s="52">
        <f>((SUBSIDIO!$L$114*SUBSIDIO!$W$114)+(SUBSIDIO!$N$114*SUBSIDIO!$X$114))*(0.04)/(1-0.04)</f>
        <v>0</v>
      </c>
      <c r="AD114" s="52">
        <f ca="1">(SUBSIDIO!$J$114*SUBSIDIO!$Y$114)*(0.02)/(1-0.02)</f>
        <v>23.236586763614472</v>
      </c>
      <c r="AE114" s="52">
        <f>((SUBSIDIO!$L$114*SUBSIDIO!$Z$114)+(SUBSIDIO!$N$114*SUBSIDIO!$AA$114))*(0.02)/(1-0.02)</f>
        <v>0</v>
      </c>
      <c r="AF114" s="3" t="s">
        <v>597</v>
      </c>
    </row>
    <row r="115" spans="1:32" ht="11.25" customHeight="1" x14ac:dyDescent="0.3">
      <c r="A115" s="3" t="s">
        <v>27</v>
      </c>
      <c r="B115" s="3" t="s">
        <v>34</v>
      </c>
      <c r="C115" s="3" t="s">
        <v>38</v>
      </c>
      <c r="D115" s="3" t="s">
        <v>41</v>
      </c>
      <c r="E115" s="3" t="s">
        <v>25</v>
      </c>
      <c r="F115" s="3" t="s">
        <v>25</v>
      </c>
      <c r="G115" s="3" t="s">
        <v>25</v>
      </c>
      <c r="H115" s="3" t="s">
        <v>25</v>
      </c>
      <c r="I115" s="6">
        <v>44713</v>
      </c>
      <c r="J115" s="4">
        <v>50</v>
      </c>
      <c r="K115" s="52">
        <v>50</v>
      </c>
      <c r="L115" s="4">
        <v>0</v>
      </c>
      <c r="M115" s="52">
        <v>0</v>
      </c>
      <c r="N115" s="4">
        <v>0</v>
      </c>
      <c r="O115" s="52">
        <v>0</v>
      </c>
      <c r="P115" s="4">
        <v>1</v>
      </c>
      <c r="Q115" s="3" t="s">
        <v>26</v>
      </c>
      <c r="R115" s="3">
        <v>0</v>
      </c>
      <c r="S115" s="3">
        <v>5</v>
      </c>
      <c r="T115" s="3">
        <v>0</v>
      </c>
      <c r="U115" s="3">
        <v>0</v>
      </c>
      <c r="V115" s="52">
        <f>IF(ISERROR(VLOOKUP($S$115,'TAR FIN'!$A$1:$O$85,15,0)),0,VLOOKUP($S$115,'TAR FIN'!$A$1:$O$85,15,0))*(1-0.04)</f>
        <v>19.526399999999999</v>
      </c>
      <c r="W115" s="52">
        <f>IF(ISERROR(VLOOKUP($T$115,'TAR FIN'!$A$1:$O$85,15,0)),0,VLOOKUP($T$115,'TAR FIN'!$A$1:$O$85,15,0))</f>
        <v>0</v>
      </c>
      <c r="X115" s="52">
        <f>IF(ISERROR(VLOOKUP($U$115,'TAR FIN'!$A$1:$O$85,15,0)),0,VLOOKUP($U$115,'TAR FIN'!$A$1:$O$85,15,0))</f>
        <v>0</v>
      </c>
      <c r="Y115" s="52">
        <f ca="1">('TUSD BE'!$AM$10+'TUSD BF'!$AM$10+'TUSD CVA'!$AM$10)*1*(1-0.02)</f>
        <v>22.771855028342177</v>
      </c>
      <c r="Z115" s="52"/>
      <c r="AA115" s="52"/>
      <c r="AB115" s="52">
        <f>(SUBSIDIO!$J$115*SUBSIDIO!$V$115)*(0.04)/(1-0.04)</f>
        <v>40.68</v>
      </c>
      <c r="AC115" s="52">
        <f>((SUBSIDIO!$L$115*SUBSIDIO!$W$115)+(SUBSIDIO!$N$115*SUBSIDIO!$X$115))*(0.04)/(1-0.04)</f>
        <v>0</v>
      </c>
      <c r="AD115" s="52">
        <f ca="1">(SUBSIDIO!$J$115*SUBSIDIO!$Y$115)*(0.02)/(1-0.02)</f>
        <v>23.236586763614472</v>
      </c>
      <c r="AE115" s="52">
        <f>((SUBSIDIO!$L$115*SUBSIDIO!$Z$115)+(SUBSIDIO!$N$115*SUBSIDIO!$AA$115))*(0.02)/(1-0.02)</f>
        <v>0</v>
      </c>
      <c r="AF115" s="3" t="s">
        <v>597</v>
      </c>
    </row>
    <row r="116" spans="1:32" ht="11.25" customHeight="1" x14ac:dyDescent="0.3">
      <c r="A116" s="3" t="s">
        <v>27</v>
      </c>
      <c r="B116" s="3" t="s">
        <v>34</v>
      </c>
      <c r="C116" s="3" t="s">
        <v>38</v>
      </c>
      <c r="D116" s="3" t="s">
        <v>41</v>
      </c>
      <c r="E116" s="3" t="s">
        <v>25</v>
      </c>
      <c r="F116" s="3" t="s">
        <v>25</v>
      </c>
      <c r="G116" s="3" t="s">
        <v>25</v>
      </c>
      <c r="H116" s="3" t="s">
        <v>25</v>
      </c>
      <c r="I116" s="6">
        <v>44743</v>
      </c>
      <c r="J116" s="4">
        <v>50</v>
      </c>
      <c r="K116" s="52">
        <v>50</v>
      </c>
      <c r="L116" s="4">
        <v>0</v>
      </c>
      <c r="M116" s="52">
        <v>0</v>
      </c>
      <c r="N116" s="4">
        <v>0</v>
      </c>
      <c r="O116" s="52">
        <v>0</v>
      </c>
      <c r="P116" s="4">
        <v>1</v>
      </c>
      <c r="Q116" s="3" t="s">
        <v>26</v>
      </c>
      <c r="R116" s="3">
        <v>0</v>
      </c>
      <c r="S116" s="3">
        <v>5</v>
      </c>
      <c r="T116" s="3">
        <v>0</v>
      </c>
      <c r="U116" s="3">
        <v>0</v>
      </c>
      <c r="V116" s="52">
        <f>IF(ISERROR(VLOOKUP($S$116,'TAR FIN'!$A$1:$O$85,15,0)),0,VLOOKUP($S$116,'TAR FIN'!$A$1:$O$85,15,0))*(1-0.04)</f>
        <v>19.526399999999999</v>
      </c>
      <c r="W116" s="52">
        <f>IF(ISERROR(VLOOKUP($T$116,'TAR FIN'!$A$1:$O$85,15,0)),0,VLOOKUP($T$116,'TAR FIN'!$A$1:$O$85,15,0))</f>
        <v>0</v>
      </c>
      <c r="X116" s="52">
        <f>IF(ISERROR(VLOOKUP($U$116,'TAR FIN'!$A$1:$O$85,15,0)),0,VLOOKUP($U$116,'TAR FIN'!$A$1:$O$85,15,0))</f>
        <v>0</v>
      </c>
      <c r="Y116" s="52">
        <f ca="1">('TUSD BE'!$AM$10+'TUSD BF'!$AM$10+'TUSD CVA'!$AM$10)*1*(1-0.02)</f>
        <v>22.771855028342177</v>
      </c>
      <c r="Z116" s="52"/>
      <c r="AA116" s="52"/>
      <c r="AB116" s="52">
        <f>(SUBSIDIO!$J$116*SUBSIDIO!$V$116)*(0.04)/(1-0.04)</f>
        <v>40.68</v>
      </c>
      <c r="AC116" s="52">
        <f>((SUBSIDIO!$L$116*SUBSIDIO!$W$116)+(SUBSIDIO!$N$116*SUBSIDIO!$X$116))*(0.04)/(1-0.04)</f>
        <v>0</v>
      </c>
      <c r="AD116" s="52">
        <f ca="1">(SUBSIDIO!$J$116*SUBSIDIO!$Y$116)*(0.02)/(1-0.02)</f>
        <v>23.236586763614472</v>
      </c>
      <c r="AE116" s="52">
        <f>((SUBSIDIO!$L$116*SUBSIDIO!$Z$116)+(SUBSIDIO!$N$116*SUBSIDIO!$AA$116))*(0.02)/(1-0.02)</f>
        <v>0</v>
      </c>
      <c r="AF116" s="3" t="s">
        <v>597</v>
      </c>
    </row>
    <row r="117" spans="1:32" ht="11.25" customHeight="1" x14ac:dyDescent="0.3">
      <c r="A117" s="3" t="s">
        <v>53</v>
      </c>
      <c r="B117" s="3" t="s">
        <v>34</v>
      </c>
      <c r="C117" s="3" t="s">
        <v>38</v>
      </c>
      <c r="D117" s="3" t="s">
        <v>41</v>
      </c>
      <c r="E117" s="3" t="s">
        <v>25</v>
      </c>
      <c r="F117" s="3" t="s">
        <v>25</v>
      </c>
      <c r="G117" s="3" t="s">
        <v>25</v>
      </c>
      <c r="H117" s="3" t="s">
        <v>25</v>
      </c>
      <c r="I117" s="6">
        <v>44774</v>
      </c>
      <c r="J117" s="4">
        <v>50</v>
      </c>
      <c r="K117" s="52">
        <v>50</v>
      </c>
      <c r="L117" s="4">
        <v>0</v>
      </c>
      <c r="M117" s="52">
        <v>0</v>
      </c>
      <c r="N117" s="4">
        <v>0</v>
      </c>
      <c r="O117" s="52">
        <v>0</v>
      </c>
      <c r="P117" s="4">
        <v>1</v>
      </c>
      <c r="Q117" s="3" t="s">
        <v>26</v>
      </c>
      <c r="R117" s="3">
        <v>0</v>
      </c>
      <c r="S117" s="3">
        <v>5</v>
      </c>
      <c r="T117" s="3">
        <v>0</v>
      </c>
      <c r="U117" s="3">
        <v>0</v>
      </c>
      <c r="V117" s="52">
        <f>IF(ISERROR(VLOOKUP($S$117,'TAR FIN'!$A$1:$O$85,15,0)),0,VLOOKUP($S$117,'TAR FIN'!$A$1:$O$85,15,0))*(1-0.04)</f>
        <v>19.526399999999999</v>
      </c>
      <c r="W117" s="52">
        <f>IF(ISERROR(VLOOKUP($T$117,'TAR FIN'!$A$1:$O$85,15,0)),0,VLOOKUP($T$117,'TAR FIN'!$A$1:$O$85,15,0))</f>
        <v>0</v>
      </c>
      <c r="X117" s="52">
        <f>IF(ISERROR(VLOOKUP($U$117,'TAR FIN'!$A$1:$O$85,15,0)),0,VLOOKUP($U$117,'TAR FIN'!$A$1:$O$85,15,0))</f>
        <v>0</v>
      </c>
      <c r="Y117" s="52">
        <f ca="1">('TUSD BE'!$AM$10+'TUSD BF'!$AM$10+'TUSD CVA'!$AM$10)*1*(1-0.02)</f>
        <v>22.771855028342177</v>
      </c>
      <c r="Z117" s="52"/>
      <c r="AA117" s="52"/>
      <c r="AB117" s="52">
        <f>(SUBSIDIO!$J$117*SUBSIDIO!$V$117)*(0.04)/(1-0.04)</f>
        <v>40.68</v>
      </c>
      <c r="AC117" s="52">
        <f>((SUBSIDIO!$L$117*SUBSIDIO!$W$117)+(SUBSIDIO!$N$117*SUBSIDIO!$X$117))*(0.04)/(1-0.04)</f>
        <v>0</v>
      </c>
      <c r="AD117" s="52">
        <f ca="1">(SUBSIDIO!$J$117*SUBSIDIO!$Y$117)*(0.02)/(1-0.02)</f>
        <v>23.236586763614472</v>
      </c>
      <c r="AE117" s="52">
        <f>((SUBSIDIO!$L$117*SUBSIDIO!$Z$117)+(SUBSIDIO!$N$117*SUBSIDIO!$AA$117))*(0.02)/(1-0.02)</f>
        <v>0</v>
      </c>
      <c r="AF117" s="3" t="s">
        <v>597</v>
      </c>
    </row>
    <row r="118" spans="1:32" ht="11.25" customHeight="1" x14ac:dyDescent="0.3">
      <c r="A118" s="3" t="s">
        <v>27</v>
      </c>
      <c r="B118" s="3" t="s">
        <v>34</v>
      </c>
      <c r="C118" s="3" t="s">
        <v>38</v>
      </c>
      <c r="D118" s="3" t="s">
        <v>41</v>
      </c>
      <c r="E118" s="3" t="s">
        <v>25</v>
      </c>
      <c r="F118" s="3" t="s">
        <v>25</v>
      </c>
      <c r="G118" s="3" t="s">
        <v>25</v>
      </c>
      <c r="H118" s="3" t="s">
        <v>36</v>
      </c>
      <c r="I118" s="6">
        <v>44501</v>
      </c>
      <c r="J118" s="4">
        <v>0</v>
      </c>
      <c r="K118" s="52">
        <v>0</v>
      </c>
      <c r="L118" s="4">
        <v>0.70199999999999996</v>
      </c>
      <c r="M118" s="52">
        <v>0.70199999999999996</v>
      </c>
      <c r="N118" s="4">
        <v>0.70199999999999996</v>
      </c>
      <c r="O118" s="52">
        <v>0.70199999999999996</v>
      </c>
      <c r="P118" s="4">
        <v>0</v>
      </c>
      <c r="Q118" s="3" t="s">
        <v>26</v>
      </c>
      <c r="R118" s="3">
        <v>0</v>
      </c>
      <c r="S118" s="3">
        <v>0</v>
      </c>
      <c r="T118" s="3">
        <v>13</v>
      </c>
      <c r="U118" s="3">
        <v>22</v>
      </c>
      <c r="V118" s="52">
        <f>IF(ISERROR(VLOOKUP($S$118,'TAR FIN'!$A$1:$O$85,15,0)),0,VLOOKUP($S$118,'TAR FIN'!$A$1:$O$85,15,0))</f>
        <v>0</v>
      </c>
      <c r="W118" s="52">
        <f>IF(ISERROR(VLOOKUP($T$118,'TAR FIN'!$A$1:$O$85,15,0)),0,VLOOKUP($T$118,'TAR FIN'!$A$1:$O$85,15,0))*(1-0.04)</f>
        <v>1559.2991999999999</v>
      </c>
      <c r="X118" s="52">
        <f>IF(ISERROR(VLOOKUP($U$118,'TAR FIN'!$A$1:$O$85,15,0)),0,VLOOKUP($U$118,'TAR FIN'!$A$1:$O$85,15,0))*(1-0.04)</f>
        <v>280.17599999999999</v>
      </c>
      <c r="Y118" s="52"/>
      <c r="Z118" s="52">
        <f ca="1">('TUSD BE'!$AM$11+'TUSD BF'!$AM$11+'TUSD CVA'!$AM$11)*1*(1-0.02)</f>
        <v>1607.8945245641721</v>
      </c>
      <c r="AA118" s="52">
        <f>('TE BE'!$AB$5+'TE BF'!$AB$5+'TE CVA'!$AB$5)*1*(1-0.02)</f>
        <v>209.49782607246507</v>
      </c>
      <c r="AB118" s="52">
        <f>(SUBSIDIO!$J$118*SUBSIDIO!$V$118)*(0.04)/(1-0.04)</f>
        <v>0</v>
      </c>
      <c r="AC118" s="52">
        <f>((SUBSIDIO!$L$118*SUBSIDIO!$W$118)+(SUBSIDIO!$N$118*SUBSIDIO!$X$118))*(0.04)/(1-0.04)</f>
        <v>53.804649599999998</v>
      </c>
      <c r="AD118" s="52">
        <f>(SUBSIDIO!$J$118*SUBSIDIO!$Y$118)*(0.02)/(1-0.02)</f>
        <v>0</v>
      </c>
      <c r="AE118" s="52">
        <f ca="1">((SUBSIDIO!$L$118*SUBSIDIO!$Z$118)+(SUBSIDIO!$N$118*SUBSIDIO!$AA$118))*(0.02)/(1-0.02)</f>
        <v>26.036927145855493</v>
      </c>
      <c r="AF118" s="3" t="s">
        <v>597</v>
      </c>
    </row>
    <row r="119" spans="1:32" ht="11.25" customHeight="1" x14ac:dyDescent="0.3">
      <c r="A119" s="3" t="s">
        <v>27</v>
      </c>
      <c r="B119" s="3" t="s">
        <v>34</v>
      </c>
      <c r="C119" s="3" t="s">
        <v>38</v>
      </c>
      <c r="D119" s="3" t="s">
        <v>41</v>
      </c>
      <c r="E119" s="3" t="s">
        <v>25</v>
      </c>
      <c r="F119" s="3" t="s">
        <v>25</v>
      </c>
      <c r="G119" s="3" t="s">
        <v>25</v>
      </c>
      <c r="H119" s="3" t="s">
        <v>36</v>
      </c>
      <c r="I119" s="6">
        <v>44531</v>
      </c>
      <c r="J119" s="4">
        <v>0</v>
      </c>
      <c r="K119" s="52">
        <v>0</v>
      </c>
      <c r="L119" s="4">
        <v>0.8</v>
      </c>
      <c r="M119" s="52">
        <v>0.8</v>
      </c>
      <c r="N119" s="4">
        <v>0.8</v>
      </c>
      <c r="O119" s="52">
        <v>0.8</v>
      </c>
      <c r="P119" s="4">
        <v>0</v>
      </c>
      <c r="Q119" s="3" t="s">
        <v>26</v>
      </c>
      <c r="R119" s="3">
        <v>0</v>
      </c>
      <c r="S119" s="3">
        <v>0</v>
      </c>
      <c r="T119" s="3">
        <v>13</v>
      </c>
      <c r="U119" s="3">
        <v>22</v>
      </c>
      <c r="V119" s="52">
        <f>IF(ISERROR(VLOOKUP($S$119,'TAR FIN'!$A$1:$O$85,15,0)),0,VLOOKUP($S$119,'TAR FIN'!$A$1:$O$85,15,0))</f>
        <v>0</v>
      </c>
      <c r="W119" s="52">
        <f>IF(ISERROR(VLOOKUP($T$119,'TAR FIN'!$A$1:$O$85,15,0)),0,VLOOKUP($T$119,'TAR FIN'!$A$1:$O$85,15,0))*(1-0.04)</f>
        <v>1559.2991999999999</v>
      </c>
      <c r="X119" s="52">
        <f>IF(ISERROR(VLOOKUP($U$119,'TAR FIN'!$A$1:$O$85,15,0)),0,VLOOKUP($U$119,'TAR FIN'!$A$1:$O$85,15,0))*(1-0.04)</f>
        <v>280.17599999999999</v>
      </c>
      <c r="Y119" s="52"/>
      <c r="Z119" s="52">
        <f ca="1">('TUSD BE'!$AM$11+'TUSD BF'!$AM$11+'TUSD CVA'!$AM$11)*1*(1-0.02)</f>
        <v>1607.8945245641721</v>
      </c>
      <c r="AA119" s="52">
        <f>('TE BE'!$AB$5+'TE BF'!$AB$5+'TE CVA'!$AB$5)*1*(1-0.02)</f>
        <v>209.49782607246507</v>
      </c>
      <c r="AB119" s="52">
        <f>(SUBSIDIO!$J$119*SUBSIDIO!$V$119)*(0.04)/(1-0.04)</f>
        <v>0</v>
      </c>
      <c r="AC119" s="52">
        <f>((SUBSIDIO!$L$119*SUBSIDIO!$W$119)+(SUBSIDIO!$N$119*SUBSIDIO!$X$119))*(0.04)/(1-0.04)</f>
        <v>61.315840000000009</v>
      </c>
      <c r="AD119" s="52">
        <f>(SUBSIDIO!$J$119*SUBSIDIO!$Y$119)*(0.02)/(1-0.02)</f>
        <v>0</v>
      </c>
      <c r="AE119" s="52">
        <f ca="1">((SUBSIDIO!$L$119*SUBSIDIO!$Z$119)+(SUBSIDIO!$N$119*SUBSIDIO!$AA$119))*(0.02)/(1-0.02)</f>
        <v>29.671711847128773</v>
      </c>
      <c r="AF119" s="3" t="s">
        <v>597</v>
      </c>
    </row>
    <row r="120" spans="1:32" ht="11.25" customHeight="1" x14ac:dyDescent="0.3">
      <c r="A120" s="3" t="s">
        <v>27</v>
      </c>
      <c r="B120" s="3" t="s">
        <v>34</v>
      </c>
      <c r="C120" s="3" t="s">
        <v>38</v>
      </c>
      <c r="D120" s="3" t="s">
        <v>41</v>
      </c>
      <c r="E120" s="3" t="s">
        <v>25</v>
      </c>
      <c r="F120" s="3" t="s">
        <v>25</v>
      </c>
      <c r="G120" s="3" t="s">
        <v>25</v>
      </c>
      <c r="H120" s="3" t="s">
        <v>36</v>
      </c>
      <c r="I120" s="6">
        <v>44562</v>
      </c>
      <c r="J120" s="4">
        <v>0</v>
      </c>
      <c r="K120" s="52">
        <v>0</v>
      </c>
      <c r="L120" s="4">
        <v>0.871</v>
      </c>
      <c r="M120" s="52">
        <v>0.871</v>
      </c>
      <c r="N120" s="4">
        <v>0.871</v>
      </c>
      <c r="O120" s="52">
        <v>0.871</v>
      </c>
      <c r="P120" s="4">
        <v>0</v>
      </c>
      <c r="Q120" s="3" t="s">
        <v>26</v>
      </c>
      <c r="R120" s="3">
        <v>0</v>
      </c>
      <c r="S120" s="3">
        <v>0</v>
      </c>
      <c r="T120" s="3">
        <v>13</v>
      </c>
      <c r="U120" s="3">
        <v>22</v>
      </c>
      <c r="V120" s="52">
        <f>IF(ISERROR(VLOOKUP($S$120,'TAR FIN'!$A$1:$O$85,15,0)),0,VLOOKUP($S$120,'TAR FIN'!$A$1:$O$85,15,0))</f>
        <v>0</v>
      </c>
      <c r="W120" s="52">
        <f>IF(ISERROR(VLOOKUP($T$120,'TAR FIN'!$A$1:$O$85,15,0)),0,VLOOKUP($T$120,'TAR FIN'!$A$1:$O$85,15,0))*(1-0.04)</f>
        <v>1559.2991999999999</v>
      </c>
      <c r="X120" s="52">
        <f>IF(ISERROR(VLOOKUP($U$120,'TAR FIN'!$A$1:$O$85,15,0)),0,VLOOKUP($U$120,'TAR FIN'!$A$1:$O$85,15,0))*(1-0.04)</f>
        <v>280.17599999999999</v>
      </c>
      <c r="Y120" s="52"/>
      <c r="Z120" s="52">
        <f ca="1">('TUSD BE'!$AM$11+'TUSD BF'!$AM$11+'TUSD CVA'!$AM$11)*1*(1-0.02)</f>
        <v>1607.8945245641721</v>
      </c>
      <c r="AA120" s="52">
        <f>('TE BE'!$AB$5+'TE BF'!$AB$5+'TE CVA'!$AB$5)*1*(1-0.02)</f>
        <v>209.49782607246507</v>
      </c>
      <c r="AB120" s="52">
        <f>(SUBSIDIO!$J$120*SUBSIDIO!$V$120)*(0.04)/(1-0.04)</f>
        <v>0</v>
      </c>
      <c r="AC120" s="52">
        <f>((SUBSIDIO!$L$120*SUBSIDIO!$W$120)+(SUBSIDIO!$N$120*SUBSIDIO!$X$120))*(0.04)/(1-0.04)</f>
        <v>66.757620799999998</v>
      </c>
      <c r="AD120" s="52">
        <f>(SUBSIDIO!$J$120*SUBSIDIO!$Y$120)*(0.02)/(1-0.02)</f>
        <v>0</v>
      </c>
      <c r="AE120" s="52">
        <f ca="1">((SUBSIDIO!$L$120*SUBSIDIO!$Z$120)+(SUBSIDIO!$N$120*SUBSIDIO!$AA$120))*(0.02)/(1-0.02)</f>
        <v>32.305076273561447</v>
      </c>
      <c r="AF120" s="3" t="s">
        <v>597</v>
      </c>
    </row>
    <row r="121" spans="1:32" ht="11.25" customHeight="1" x14ac:dyDescent="0.3">
      <c r="A121" s="3" t="s">
        <v>27</v>
      </c>
      <c r="B121" s="3" t="s">
        <v>34</v>
      </c>
      <c r="C121" s="3" t="s">
        <v>38</v>
      </c>
      <c r="D121" s="3" t="s">
        <v>41</v>
      </c>
      <c r="E121" s="3" t="s">
        <v>25</v>
      </c>
      <c r="F121" s="3" t="s">
        <v>25</v>
      </c>
      <c r="G121" s="3" t="s">
        <v>25</v>
      </c>
      <c r="H121" s="3" t="s">
        <v>36</v>
      </c>
      <c r="I121" s="6">
        <v>44593</v>
      </c>
      <c r="J121" s="4">
        <v>0</v>
      </c>
      <c r="K121" s="52">
        <v>0</v>
      </c>
      <c r="L121" s="4">
        <v>0.68500000000000005</v>
      </c>
      <c r="M121" s="52">
        <v>0.68500000000000005</v>
      </c>
      <c r="N121" s="4">
        <v>0.68500000000000005</v>
      </c>
      <c r="O121" s="52">
        <v>0.68500000000000005</v>
      </c>
      <c r="P121" s="4">
        <v>0</v>
      </c>
      <c r="Q121" s="3" t="s">
        <v>26</v>
      </c>
      <c r="R121" s="3">
        <v>0</v>
      </c>
      <c r="S121" s="3">
        <v>0</v>
      </c>
      <c r="T121" s="3">
        <v>13</v>
      </c>
      <c r="U121" s="3">
        <v>22</v>
      </c>
      <c r="V121" s="52">
        <f>IF(ISERROR(VLOOKUP($S$121,'TAR FIN'!$A$1:$O$85,15,0)),0,VLOOKUP($S$121,'TAR FIN'!$A$1:$O$85,15,0))</f>
        <v>0</v>
      </c>
      <c r="W121" s="52">
        <f>IF(ISERROR(VLOOKUP($T$121,'TAR FIN'!$A$1:$O$85,15,0)),0,VLOOKUP($T$121,'TAR FIN'!$A$1:$O$85,15,0))*(1-0.04)</f>
        <v>1559.2991999999999</v>
      </c>
      <c r="X121" s="52">
        <f>IF(ISERROR(VLOOKUP($U$121,'TAR FIN'!$A$1:$O$85,15,0)),0,VLOOKUP($U$121,'TAR FIN'!$A$1:$O$85,15,0))*(1-0.04)</f>
        <v>280.17599999999999</v>
      </c>
      <c r="Y121" s="52"/>
      <c r="Z121" s="52">
        <f ca="1">('TUSD BE'!$AM$11+'TUSD BF'!$AM$11+'TUSD CVA'!$AM$11)*1*(1-0.02)</f>
        <v>1607.8945245641721</v>
      </c>
      <c r="AA121" s="52">
        <f>('TE BE'!$AB$5+'TE BF'!$AB$5+'TE CVA'!$AB$5)*1*(1-0.02)</f>
        <v>209.49782607246507</v>
      </c>
      <c r="AB121" s="52">
        <f>(SUBSIDIO!$J$121*SUBSIDIO!$V$121)*(0.04)/(1-0.04)</f>
        <v>0</v>
      </c>
      <c r="AC121" s="52">
        <f>((SUBSIDIO!$L$121*SUBSIDIO!$W$121)+(SUBSIDIO!$N$121*SUBSIDIO!$X$121))*(0.04)/(1-0.04)</f>
        <v>52.501688000000009</v>
      </c>
      <c r="AD121" s="52">
        <f>(SUBSIDIO!$J$121*SUBSIDIO!$Y$121)*(0.02)/(1-0.02)</f>
        <v>0</v>
      </c>
      <c r="AE121" s="52">
        <f ca="1">((SUBSIDIO!$L$121*SUBSIDIO!$Z$121)+(SUBSIDIO!$N$121*SUBSIDIO!$AA$121))*(0.02)/(1-0.02)</f>
        <v>25.406403269104015</v>
      </c>
      <c r="AF121" s="3" t="s">
        <v>597</v>
      </c>
    </row>
    <row r="122" spans="1:32" ht="11.25" customHeight="1" x14ac:dyDescent="0.3">
      <c r="A122" s="3" t="s">
        <v>27</v>
      </c>
      <c r="B122" s="3" t="s">
        <v>34</v>
      </c>
      <c r="C122" s="3" t="s">
        <v>38</v>
      </c>
      <c r="D122" s="3" t="s">
        <v>41</v>
      </c>
      <c r="E122" s="3" t="s">
        <v>25</v>
      </c>
      <c r="F122" s="3" t="s">
        <v>25</v>
      </c>
      <c r="G122" s="3" t="s">
        <v>25</v>
      </c>
      <c r="H122" s="3" t="s">
        <v>36</v>
      </c>
      <c r="I122" s="6">
        <v>44621</v>
      </c>
      <c r="J122" s="4">
        <v>0</v>
      </c>
      <c r="K122" s="52">
        <v>0</v>
      </c>
      <c r="L122" s="4">
        <v>0.48299999999999998</v>
      </c>
      <c r="M122" s="52">
        <v>0.48299999999999998</v>
      </c>
      <c r="N122" s="4">
        <v>0.48299999999999998</v>
      </c>
      <c r="O122" s="52">
        <v>0.48299999999999998</v>
      </c>
      <c r="P122" s="4">
        <v>0</v>
      </c>
      <c r="Q122" s="3" t="s">
        <v>26</v>
      </c>
      <c r="R122" s="3">
        <v>0</v>
      </c>
      <c r="S122" s="3">
        <v>0</v>
      </c>
      <c r="T122" s="3">
        <v>13</v>
      </c>
      <c r="U122" s="3">
        <v>22</v>
      </c>
      <c r="V122" s="52">
        <f>IF(ISERROR(VLOOKUP($S$122,'TAR FIN'!$A$1:$O$85,15,0)),0,VLOOKUP($S$122,'TAR FIN'!$A$1:$O$85,15,0))</f>
        <v>0</v>
      </c>
      <c r="W122" s="52">
        <f>IF(ISERROR(VLOOKUP($T$122,'TAR FIN'!$A$1:$O$85,15,0)),0,VLOOKUP($T$122,'TAR FIN'!$A$1:$O$85,15,0))*(1-0.04)</f>
        <v>1559.2991999999999</v>
      </c>
      <c r="X122" s="52">
        <f>IF(ISERROR(VLOOKUP($U$122,'TAR FIN'!$A$1:$O$85,15,0)),0,VLOOKUP($U$122,'TAR FIN'!$A$1:$O$85,15,0))*(1-0.04)</f>
        <v>280.17599999999999</v>
      </c>
      <c r="Y122" s="52"/>
      <c r="Z122" s="52">
        <f ca="1">('TUSD BE'!$AM$11+'TUSD BF'!$AM$11+'TUSD CVA'!$AM$11)*1*(1-0.02)</f>
        <v>1607.8945245641721</v>
      </c>
      <c r="AA122" s="52">
        <f>('TE BE'!$AB$5+'TE BF'!$AB$5+'TE CVA'!$AB$5)*1*(1-0.02)</f>
        <v>209.49782607246507</v>
      </c>
      <c r="AB122" s="52">
        <f>(SUBSIDIO!$J$122*SUBSIDIO!$V$122)*(0.04)/(1-0.04)</f>
        <v>0</v>
      </c>
      <c r="AC122" s="52">
        <f>((SUBSIDIO!$L$122*SUBSIDIO!$W$122)+(SUBSIDIO!$N$122*SUBSIDIO!$X$122))*(0.04)/(1-0.04)</f>
        <v>37.019438399999999</v>
      </c>
      <c r="AD122" s="52">
        <f>(SUBSIDIO!$J$122*SUBSIDIO!$Y$122)*(0.02)/(1-0.02)</f>
        <v>0</v>
      </c>
      <c r="AE122" s="52">
        <f ca="1">((SUBSIDIO!$L$122*SUBSIDIO!$Z$122)+(SUBSIDIO!$N$122*SUBSIDIO!$AA$122))*(0.02)/(1-0.02)</f>
        <v>17.914296027703998</v>
      </c>
      <c r="AF122" s="3" t="s">
        <v>597</v>
      </c>
    </row>
    <row r="123" spans="1:32" ht="11.25" customHeight="1" x14ac:dyDescent="0.3">
      <c r="A123" s="3" t="s">
        <v>27</v>
      </c>
      <c r="B123" s="3" t="s">
        <v>34</v>
      </c>
      <c r="C123" s="3" t="s">
        <v>38</v>
      </c>
      <c r="D123" s="3" t="s">
        <v>41</v>
      </c>
      <c r="E123" s="3" t="s">
        <v>25</v>
      </c>
      <c r="F123" s="3" t="s">
        <v>25</v>
      </c>
      <c r="G123" s="3" t="s">
        <v>25</v>
      </c>
      <c r="H123" s="3" t="s">
        <v>36</v>
      </c>
      <c r="I123" s="6">
        <v>44652</v>
      </c>
      <c r="J123" s="4">
        <v>0</v>
      </c>
      <c r="K123" s="52">
        <v>0</v>
      </c>
      <c r="L123" s="4">
        <v>0.35099999999999998</v>
      </c>
      <c r="M123" s="52">
        <v>0.35099999999999998</v>
      </c>
      <c r="N123" s="4">
        <v>0.35099999999999998</v>
      </c>
      <c r="O123" s="52">
        <v>0.35099999999999998</v>
      </c>
      <c r="P123" s="4">
        <v>0</v>
      </c>
      <c r="Q123" s="3" t="s">
        <v>26</v>
      </c>
      <c r="R123" s="3">
        <v>0</v>
      </c>
      <c r="S123" s="3">
        <v>0</v>
      </c>
      <c r="T123" s="3">
        <v>13</v>
      </c>
      <c r="U123" s="3">
        <v>22</v>
      </c>
      <c r="V123" s="52">
        <f>IF(ISERROR(VLOOKUP($S$123,'TAR FIN'!$A$1:$O$85,15,0)),0,VLOOKUP($S$123,'TAR FIN'!$A$1:$O$85,15,0))</f>
        <v>0</v>
      </c>
      <c r="W123" s="52">
        <f>IF(ISERROR(VLOOKUP($T$123,'TAR FIN'!$A$1:$O$85,15,0)),0,VLOOKUP($T$123,'TAR FIN'!$A$1:$O$85,15,0))*(1-0.04)</f>
        <v>1559.2991999999999</v>
      </c>
      <c r="X123" s="52">
        <f>IF(ISERROR(VLOOKUP($U$123,'TAR FIN'!$A$1:$O$85,15,0)),0,VLOOKUP($U$123,'TAR FIN'!$A$1:$O$85,15,0))*(1-0.04)</f>
        <v>280.17599999999999</v>
      </c>
      <c r="Y123" s="52"/>
      <c r="Z123" s="52">
        <f ca="1">('TUSD BE'!$AM$11+'TUSD BF'!$AM$11+'TUSD CVA'!$AM$11)*1*(1-0.02)</f>
        <v>1607.8945245641721</v>
      </c>
      <c r="AA123" s="52">
        <f>('TE BE'!$AB$5+'TE BF'!$AB$5+'TE CVA'!$AB$5)*1*(1-0.02)</f>
        <v>209.49782607246507</v>
      </c>
      <c r="AB123" s="52">
        <f>(SUBSIDIO!$J$123*SUBSIDIO!$V$123)*(0.04)/(1-0.04)</f>
        <v>0</v>
      </c>
      <c r="AC123" s="52">
        <f>((SUBSIDIO!$L$123*SUBSIDIO!$W$123)+(SUBSIDIO!$N$123*SUBSIDIO!$X$123))*(0.04)/(1-0.04)</f>
        <v>26.902324799999999</v>
      </c>
      <c r="AD123" s="52">
        <f>(SUBSIDIO!$J$123*SUBSIDIO!$Y$123)*(0.02)/(1-0.02)</f>
        <v>0</v>
      </c>
      <c r="AE123" s="52">
        <f ca="1">((SUBSIDIO!$L$123*SUBSIDIO!$Z$123)+(SUBSIDIO!$N$123*SUBSIDIO!$AA$123))*(0.02)/(1-0.02)</f>
        <v>13.018463572927747</v>
      </c>
      <c r="AF123" s="3" t="s">
        <v>597</v>
      </c>
    </row>
    <row r="124" spans="1:32" ht="11.25" customHeight="1" x14ac:dyDescent="0.3">
      <c r="A124" s="3" t="s">
        <v>27</v>
      </c>
      <c r="B124" s="3" t="s">
        <v>34</v>
      </c>
      <c r="C124" s="3" t="s">
        <v>38</v>
      </c>
      <c r="D124" s="3" t="s">
        <v>41</v>
      </c>
      <c r="E124" s="3" t="s">
        <v>25</v>
      </c>
      <c r="F124" s="3" t="s">
        <v>25</v>
      </c>
      <c r="G124" s="3" t="s">
        <v>25</v>
      </c>
      <c r="H124" s="3" t="s">
        <v>36</v>
      </c>
      <c r="I124" s="6">
        <v>44682</v>
      </c>
      <c r="J124" s="4">
        <v>0</v>
      </c>
      <c r="K124" s="52">
        <v>0</v>
      </c>
      <c r="L124" s="4">
        <v>0.40200000000000002</v>
      </c>
      <c r="M124" s="52">
        <v>0.40200000000000002</v>
      </c>
      <c r="N124" s="4">
        <v>0.40200000000000002</v>
      </c>
      <c r="O124" s="52">
        <v>0.40200000000000002</v>
      </c>
      <c r="P124" s="4">
        <v>0</v>
      </c>
      <c r="Q124" s="3" t="s">
        <v>26</v>
      </c>
      <c r="R124" s="3">
        <v>0</v>
      </c>
      <c r="S124" s="3">
        <v>0</v>
      </c>
      <c r="T124" s="3">
        <v>13</v>
      </c>
      <c r="U124" s="3">
        <v>22</v>
      </c>
      <c r="V124" s="52">
        <f>IF(ISERROR(VLOOKUP($S$124,'TAR FIN'!$A$1:$O$85,15,0)),0,VLOOKUP($S$124,'TAR FIN'!$A$1:$O$85,15,0))</f>
        <v>0</v>
      </c>
      <c r="W124" s="52">
        <f>IF(ISERROR(VLOOKUP($T$124,'TAR FIN'!$A$1:$O$85,15,0)),0,VLOOKUP($T$124,'TAR FIN'!$A$1:$O$85,15,0))*(1-0.04)</f>
        <v>1559.2991999999999</v>
      </c>
      <c r="X124" s="52">
        <f>IF(ISERROR(VLOOKUP($U$124,'TAR FIN'!$A$1:$O$85,15,0)),0,VLOOKUP($U$124,'TAR FIN'!$A$1:$O$85,15,0))*(1-0.04)</f>
        <v>280.17599999999999</v>
      </c>
      <c r="Y124" s="52"/>
      <c r="Z124" s="52">
        <f ca="1">('TUSD BE'!$AM$11+'TUSD BF'!$AM$11+'TUSD CVA'!$AM$11)*1*(1-0.02)</f>
        <v>1607.8945245641721</v>
      </c>
      <c r="AA124" s="52">
        <f>('TE BE'!$AB$5+'TE BF'!$AB$5+'TE CVA'!$AB$5)*1*(1-0.02)</f>
        <v>209.49782607246507</v>
      </c>
      <c r="AB124" s="52">
        <f>(SUBSIDIO!$J$124*SUBSIDIO!$V$124)*(0.04)/(1-0.04)</f>
        <v>0</v>
      </c>
      <c r="AC124" s="52">
        <f>((SUBSIDIO!$L$124*SUBSIDIO!$W$124)+(SUBSIDIO!$N$124*SUBSIDIO!$X$124))*(0.04)/(1-0.04)</f>
        <v>30.811209600000005</v>
      </c>
      <c r="AD124" s="52">
        <f>(SUBSIDIO!$J$124*SUBSIDIO!$Y$124)*(0.02)/(1-0.02)</f>
        <v>0</v>
      </c>
      <c r="AE124" s="52">
        <f ca="1">((SUBSIDIO!$L$124*SUBSIDIO!$Z$124)+(SUBSIDIO!$N$124*SUBSIDIO!$AA$124))*(0.02)/(1-0.02)</f>
        <v>14.910035203182209</v>
      </c>
      <c r="AF124" s="3" t="s">
        <v>597</v>
      </c>
    </row>
    <row r="125" spans="1:32" ht="11.25" customHeight="1" x14ac:dyDescent="0.3">
      <c r="A125" s="3" t="s">
        <v>27</v>
      </c>
      <c r="B125" s="3" t="s">
        <v>34</v>
      </c>
      <c r="C125" s="3" t="s">
        <v>38</v>
      </c>
      <c r="D125" s="3" t="s">
        <v>41</v>
      </c>
      <c r="E125" s="3" t="s">
        <v>25</v>
      </c>
      <c r="F125" s="3" t="s">
        <v>25</v>
      </c>
      <c r="G125" s="3" t="s">
        <v>25</v>
      </c>
      <c r="H125" s="3" t="s">
        <v>36</v>
      </c>
      <c r="I125" s="6">
        <v>44713</v>
      </c>
      <c r="J125" s="4">
        <v>0</v>
      </c>
      <c r="K125" s="52">
        <v>0</v>
      </c>
      <c r="L125" s="4">
        <v>0.50800000000000001</v>
      </c>
      <c r="M125" s="52">
        <v>0.50800000000000001</v>
      </c>
      <c r="N125" s="4">
        <v>0.50800000000000001</v>
      </c>
      <c r="O125" s="52">
        <v>0.50800000000000001</v>
      </c>
      <c r="P125" s="4">
        <v>0</v>
      </c>
      <c r="Q125" s="3" t="s">
        <v>26</v>
      </c>
      <c r="R125" s="3">
        <v>0</v>
      </c>
      <c r="S125" s="3">
        <v>0</v>
      </c>
      <c r="T125" s="3">
        <v>13</v>
      </c>
      <c r="U125" s="3">
        <v>22</v>
      </c>
      <c r="V125" s="52">
        <f>IF(ISERROR(VLOOKUP($S$125,'TAR FIN'!$A$1:$O$85,15,0)),0,VLOOKUP($S$125,'TAR FIN'!$A$1:$O$85,15,0))</f>
        <v>0</v>
      </c>
      <c r="W125" s="52">
        <f>IF(ISERROR(VLOOKUP($T$125,'TAR FIN'!$A$1:$O$85,15,0)),0,VLOOKUP($T$125,'TAR FIN'!$A$1:$O$85,15,0))*(1-0.04)</f>
        <v>1559.2991999999999</v>
      </c>
      <c r="X125" s="52">
        <f>IF(ISERROR(VLOOKUP($U$125,'TAR FIN'!$A$1:$O$85,15,0)),0,VLOOKUP($U$125,'TAR FIN'!$A$1:$O$85,15,0))*(1-0.04)</f>
        <v>280.17599999999999</v>
      </c>
      <c r="Y125" s="52"/>
      <c r="Z125" s="52">
        <f ca="1">('TUSD BE'!$AM$11+'TUSD BF'!$AM$11+'TUSD CVA'!$AM$11)*1*(1-0.02)</f>
        <v>1607.8945245641721</v>
      </c>
      <c r="AA125" s="52">
        <f>('TE BE'!$AB$5+'TE BF'!$AB$5+'TE CVA'!$AB$5)*1*(1-0.02)</f>
        <v>209.49782607246507</v>
      </c>
      <c r="AB125" s="52">
        <f>(SUBSIDIO!$J$125*SUBSIDIO!$V$125)*(0.04)/(1-0.04)</f>
        <v>0</v>
      </c>
      <c r="AC125" s="52">
        <f>((SUBSIDIO!$L$125*SUBSIDIO!$W$125)+(SUBSIDIO!$N$125*SUBSIDIO!$X$125))*(0.04)/(1-0.04)</f>
        <v>38.935558400000005</v>
      </c>
      <c r="AD125" s="52">
        <f>(SUBSIDIO!$J$125*SUBSIDIO!$Y$125)*(0.02)/(1-0.02)</f>
        <v>0</v>
      </c>
      <c r="AE125" s="52">
        <f ca="1">((SUBSIDIO!$L$125*SUBSIDIO!$Z$125)+(SUBSIDIO!$N$125*SUBSIDIO!$AA$125))*(0.02)/(1-0.02)</f>
        <v>18.841537022926772</v>
      </c>
      <c r="AF125" s="3" t="s">
        <v>597</v>
      </c>
    </row>
    <row r="126" spans="1:32" ht="11.25" customHeight="1" x14ac:dyDescent="0.3">
      <c r="A126" s="3" t="s">
        <v>27</v>
      </c>
      <c r="B126" s="3" t="s">
        <v>34</v>
      </c>
      <c r="C126" s="3" t="s">
        <v>38</v>
      </c>
      <c r="D126" s="3" t="s">
        <v>41</v>
      </c>
      <c r="E126" s="3" t="s">
        <v>25</v>
      </c>
      <c r="F126" s="3" t="s">
        <v>25</v>
      </c>
      <c r="G126" s="3" t="s">
        <v>25</v>
      </c>
      <c r="H126" s="3" t="s">
        <v>36</v>
      </c>
      <c r="I126" s="6">
        <v>44743</v>
      </c>
      <c r="J126" s="4">
        <v>0</v>
      </c>
      <c r="K126" s="52">
        <v>0</v>
      </c>
      <c r="L126" s="4">
        <v>0.435</v>
      </c>
      <c r="M126" s="52">
        <v>0.435</v>
      </c>
      <c r="N126" s="4">
        <v>0.435</v>
      </c>
      <c r="O126" s="52">
        <v>0.435</v>
      </c>
      <c r="P126" s="4">
        <v>0</v>
      </c>
      <c r="Q126" s="3" t="s">
        <v>26</v>
      </c>
      <c r="R126" s="3">
        <v>0</v>
      </c>
      <c r="S126" s="3">
        <v>0</v>
      </c>
      <c r="T126" s="3">
        <v>13</v>
      </c>
      <c r="U126" s="3">
        <v>22</v>
      </c>
      <c r="V126" s="52">
        <f>IF(ISERROR(VLOOKUP($S$126,'TAR FIN'!$A$1:$O$85,15,0)),0,VLOOKUP($S$126,'TAR FIN'!$A$1:$O$85,15,0))</f>
        <v>0</v>
      </c>
      <c r="W126" s="52">
        <f>IF(ISERROR(VLOOKUP($T$126,'TAR FIN'!$A$1:$O$85,15,0)),0,VLOOKUP($T$126,'TAR FIN'!$A$1:$O$85,15,0))*(1-0.04)</f>
        <v>1559.2991999999999</v>
      </c>
      <c r="X126" s="52">
        <f>IF(ISERROR(VLOOKUP($U$126,'TAR FIN'!$A$1:$O$85,15,0)),0,VLOOKUP($U$126,'TAR FIN'!$A$1:$O$85,15,0))*(1-0.04)</f>
        <v>280.17599999999999</v>
      </c>
      <c r="Y126" s="52"/>
      <c r="Z126" s="52">
        <f ca="1">('TUSD BE'!$AM$11+'TUSD BF'!$AM$11+'TUSD CVA'!$AM$11)*1*(1-0.02)</f>
        <v>1607.8945245641721</v>
      </c>
      <c r="AA126" s="52">
        <f>('TE BE'!$AB$5+'TE BF'!$AB$5+'TE CVA'!$AB$5)*1*(1-0.02)</f>
        <v>209.49782607246507</v>
      </c>
      <c r="AB126" s="52">
        <f>(SUBSIDIO!$J$126*SUBSIDIO!$V$126)*(0.04)/(1-0.04)</f>
        <v>0</v>
      </c>
      <c r="AC126" s="52">
        <f>((SUBSIDIO!$L$126*SUBSIDIO!$W$126)+(SUBSIDIO!$N$126*SUBSIDIO!$X$126))*(0.04)/(1-0.04)</f>
        <v>33.340488000000001</v>
      </c>
      <c r="AD126" s="52">
        <f>(SUBSIDIO!$J$126*SUBSIDIO!$Y$126)*(0.02)/(1-0.02)</f>
        <v>0</v>
      </c>
      <c r="AE126" s="52">
        <f ca="1">((SUBSIDIO!$L$126*SUBSIDIO!$Z$126)+(SUBSIDIO!$N$126*SUBSIDIO!$AA$126))*(0.02)/(1-0.02)</f>
        <v>16.133993316876268</v>
      </c>
      <c r="AF126" s="3" t="s">
        <v>597</v>
      </c>
    </row>
    <row r="127" spans="1:32" ht="11.25" customHeight="1" x14ac:dyDescent="0.3">
      <c r="A127" s="3" t="s">
        <v>53</v>
      </c>
      <c r="B127" s="3" t="s">
        <v>34</v>
      </c>
      <c r="C127" s="3" t="s">
        <v>38</v>
      </c>
      <c r="D127" s="3" t="s">
        <v>41</v>
      </c>
      <c r="E127" s="3" t="s">
        <v>25</v>
      </c>
      <c r="F127" s="3" t="s">
        <v>25</v>
      </c>
      <c r="G127" s="3" t="s">
        <v>25</v>
      </c>
      <c r="H127" s="3" t="s">
        <v>36</v>
      </c>
      <c r="I127" s="6">
        <v>44774</v>
      </c>
      <c r="J127" s="4">
        <v>0</v>
      </c>
      <c r="K127" s="52">
        <v>0</v>
      </c>
      <c r="L127" s="4">
        <v>0.435</v>
      </c>
      <c r="M127" s="52">
        <v>0.435</v>
      </c>
      <c r="N127" s="4">
        <v>0.435</v>
      </c>
      <c r="O127" s="52">
        <v>0.435</v>
      </c>
      <c r="P127" s="4">
        <v>0</v>
      </c>
      <c r="Q127" s="3" t="s">
        <v>26</v>
      </c>
      <c r="R127" s="3">
        <v>0</v>
      </c>
      <c r="S127" s="3">
        <v>0</v>
      </c>
      <c r="T127" s="3">
        <v>13</v>
      </c>
      <c r="U127" s="3">
        <v>22</v>
      </c>
      <c r="V127" s="52">
        <f>IF(ISERROR(VLOOKUP($S$127,'TAR FIN'!$A$1:$O$85,15,0)),0,VLOOKUP($S$127,'TAR FIN'!$A$1:$O$85,15,0))</f>
        <v>0</v>
      </c>
      <c r="W127" s="52">
        <f>IF(ISERROR(VLOOKUP($T$127,'TAR FIN'!$A$1:$O$85,15,0)),0,VLOOKUP($T$127,'TAR FIN'!$A$1:$O$85,15,0))*(1-0.04)</f>
        <v>1559.2991999999999</v>
      </c>
      <c r="X127" s="52">
        <f>IF(ISERROR(VLOOKUP($U$127,'TAR FIN'!$A$1:$O$85,15,0)),0,VLOOKUP($U$127,'TAR FIN'!$A$1:$O$85,15,0))*(1-0.04)</f>
        <v>280.17599999999999</v>
      </c>
      <c r="Y127" s="52"/>
      <c r="Z127" s="52">
        <f ca="1">('TUSD BE'!$AM$11+'TUSD BF'!$AM$11+'TUSD CVA'!$AM$11)*1*(1-0.02)</f>
        <v>1607.8945245641721</v>
      </c>
      <c r="AA127" s="52">
        <f>('TE BE'!$AB$5+'TE BF'!$AB$5+'TE CVA'!$AB$5)*1*(1-0.02)</f>
        <v>209.49782607246507</v>
      </c>
      <c r="AB127" s="52">
        <f>(SUBSIDIO!$J$127*SUBSIDIO!$V$127)*(0.04)/(1-0.04)</f>
        <v>0</v>
      </c>
      <c r="AC127" s="52">
        <f>((SUBSIDIO!$L$127*SUBSIDIO!$W$127)+(SUBSIDIO!$N$127*SUBSIDIO!$X$127))*(0.04)/(1-0.04)</f>
        <v>33.340488000000001</v>
      </c>
      <c r="AD127" s="52">
        <f>(SUBSIDIO!$J$127*SUBSIDIO!$Y$127)*(0.02)/(1-0.02)</f>
        <v>0</v>
      </c>
      <c r="AE127" s="52">
        <f ca="1">((SUBSIDIO!$L$127*SUBSIDIO!$Z$127)+(SUBSIDIO!$N$127*SUBSIDIO!$AA$127))*(0.02)/(1-0.02)</f>
        <v>16.133993316876268</v>
      </c>
      <c r="AF127" s="3" t="s">
        <v>597</v>
      </c>
    </row>
    <row r="128" spans="1:32" ht="11.25" customHeight="1" x14ac:dyDescent="0.3">
      <c r="A128" s="3" t="s">
        <v>21</v>
      </c>
      <c r="B128" s="3" t="s">
        <v>22</v>
      </c>
      <c r="C128" s="3" t="s">
        <v>23</v>
      </c>
      <c r="D128" s="3" t="s">
        <v>24</v>
      </c>
      <c r="E128" s="3" t="s">
        <v>24</v>
      </c>
      <c r="F128" s="3" t="s">
        <v>25</v>
      </c>
      <c r="G128" s="3" t="s">
        <v>25</v>
      </c>
      <c r="H128" s="3" t="s">
        <v>25</v>
      </c>
      <c r="I128" s="6">
        <v>44440</v>
      </c>
      <c r="J128" s="4">
        <v>0</v>
      </c>
      <c r="K128" s="4">
        <v>0</v>
      </c>
      <c r="L128" s="4">
        <v>862.51199999999994</v>
      </c>
      <c r="M128" s="4">
        <v>862.51199999999994</v>
      </c>
      <c r="N128" s="4">
        <v>862.51199999999994</v>
      </c>
      <c r="O128" s="4">
        <v>862.51199999999994</v>
      </c>
      <c r="P128" s="4">
        <v>4573</v>
      </c>
      <c r="Q128" s="3" t="s">
        <v>26</v>
      </c>
      <c r="R128" s="3">
        <v>0</v>
      </c>
      <c r="S128" s="3">
        <v>0</v>
      </c>
      <c r="T128" s="3">
        <v>16</v>
      </c>
      <c r="U128" s="3">
        <v>53</v>
      </c>
      <c r="V128" s="4">
        <f>IF(ISERROR(VLOOKUP($S$128,'TAR FIN'!$A$1:$O$85,15,0)),0,VLOOKUP($S$128,'TAR FIN'!$A$1:$O$85,15,0))</f>
        <v>0</v>
      </c>
      <c r="W128" s="4">
        <f>IF(ISERROR(VLOOKUP($T$128,'TAR FIN'!$A$1:$O$85,15,0)),0,VLOOKUP($T$128,'TAR FIN'!$A$1:$O$85,15,0))</f>
        <v>370.66</v>
      </c>
      <c r="X128" s="4">
        <f>IF(ISERROR(VLOOKUP($U$128,'TAR FIN'!$A$1:$O$85,15,0)),0,VLOOKUP($U$128,'TAR FIN'!$A$1:$O$85,15,0))</f>
        <v>291.85000000000002</v>
      </c>
      <c r="Y128" s="4"/>
      <c r="Z128" s="4">
        <f ca="1">('TUSD BE'!$AM$20+'TUSD BF'!$AM$20+'TUSD CVA'!$AM$20)*1</f>
        <v>429.2108574011603</v>
      </c>
      <c r="AA128" s="4">
        <f>('TE BE'!$AB$11+'TE BF'!$AB$11+'TE CVA'!$AB$11)*1</f>
        <v>213.77329191067864</v>
      </c>
      <c r="AB128" s="4">
        <f t="shared" si="8"/>
        <v>0</v>
      </c>
      <c r="AC128" s="4">
        <f t="shared" ref="AC128" si="12">(L128-M128)*W128+(N128-O128)*X128</f>
        <v>0</v>
      </c>
      <c r="AD128" s="4">
        <f t="shared" si="10"/>
        <v>0</v>
      </c>
      <c r="AE128" s="4">
        <f t="shared" ref="AE128" ca="1" si="13">(L128-M128)*Z128+(N128-O128)*AA128</f>
        <v>0</v>
      </c>
    </row>
    <row r="129" spans="1:32" ht="11.25" customHeight="1" x14ac:dyDescent="0.3">
      <c r="A129" s="3" t="s">
        <v>21</v>
      </c>
      <c r="B129" s="3" t="s">
        <v>22</v>
      </c>
      <c r="C129" s="3" t="s">
        <v>23</v>
      </c>
      <c r="D129" s="3" t="s">
        <v>24</v>
      </c>
      <c r="E129" s="3" t="s">
        <v>28</v>
      </c>
      <c r="F129" s="3" t="s">
        <v>25</v>
      </c>
      <c r="G129" s="3" t="s">
        <v>25</v>
      </c>
      <c r="H129" s="3" t="s">
        <v>25</v>
      </c>
      <c r="I129" s="6">
        <v>44440</v>
      </c>
      <c r="J129" s="4">
        <v>0</v>
      </c>
      <c r="K129" s="4">
        <v>0</v>
      </c>
      <c r="L129" s="4">
        <v>5.58</v>
      </c>
      <c r="M129" s="4">
        <v>5.58</v>
      </c>
      <c r="N129" s="4">
        <v>5.58</v>
      </c>
      <c r="O129" s="4">
        <v>5.58</v>
      </c>
      <c r="P129" s="4">
        <v>7</v>
      </c>
      <c r="Q129" s="3" t="s">
        <v>26</v>
      </c>
      <c r="R129" s="3">
        <v>0</v>
      </c>
      <c r="S129" s="3">
        <v>0</v>
      </c>
      <c r="T129" s="3">
        <v>14</v>
      </c>
      <c r="U129" s="3">
        <v>52</v>
      </c>
      <c r="V129" s="4">
        <f>IF(ISERROR(VLOOKUP($S$129,'TAR FIN'!$A$1:$O$85,15,0)),0,VLOOKUP($S$129,'TAR FIN'!$A$1:$O$85,15,0))</f>
        <v>0</v>
      </c>
      <c r="W129" s="4">
        <f>IF(ISERROR(VLOOKUP($T$129,'TAR FIN'!$A$1:$O$85,15,0)),0,VLOOKUP($T$129,'TAR FIN'!$A$1:$O$85,15,0))</f>
        <v>106.78</v>
      </c>
      <c r="X129" s="4">
        <f>IF(ISERROR(VLOOKUP($U$129,'TAR FIN'!$A$1:$O$85,15,0)),0,VLOOKUP($U$129,'TAR FIN'!$A$1:$O$85,15,0))</f>
        <v>102.15</v>
      </c>
      <c r="Y129" s="4"/>
      <c r="Z129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129" s="4">
        <f>('TE BE'!$AB$12+'TE BF'!$AB$12+'TE CVA'!$AB$12)*(1-CUSTOS!$M$34)</f>
        <v>74.820652168737524</v>
      </c>
      <c r="AB129" s="4">
        <f t="shared" si="8"/>
        <v>0</v>
      </c>
      <c r="AC129" s="4">
        <f>(L129-M129)*(W129+X129)+($W$165+$X$165-$W$129-$X$129)*(L129)</f>
        <v>2165.1516000000006</v>
      </c>
      <c r="AD129" s="4">
        <f t="shared" si="10"/>
        <v>0</v>
      </c>
      <c r="AE129" s="4">
        <f ca="1">(L129-M129)*(Z129+AA129)+($Z$165+$AA$165-$Z$129-$AA$129)*(L129)</f>
        <v>1948.3958640278693</v>
      </c>
      <c r="AF129" s="3" t="s">
        <v>598</v>
      </c>
    </row>
    <row r="130" spans="1:32" ht="11.25" customHeight="1" x14ac:dyDescent="0.3">
      <c r="A130" s="3" t="s">
        <v>21</v>
      </c>
      <c r="B130" s="3" t="s">
        <v>22</v>
      </c>
      <c r="C130" s="3" t="s">
        <v>23</v>
      </c>
      <c r="D130" s="3" t="s">
        <v>24</v>
      </c>
      <c r="E130" s="3" t="s">
        <v>28</v>
      </c>
      <c r="F130" s="3" t="s">
        <v>25</v>
      </c>
      <c r="G130" s="3" t="s">
        <v>25</v>
      </c>
      <c r="H130" s="3" t="s">
        <v>25</v>
      </c>
      <c r="I130" s="6">
        <v>44470</v>
      </c>
      <c r="J130" s="4">
        <v>0</v>
      </c>
      <c r="K130" s="4">
        <v>0</v>
      </c>
      <c r="L130" s="4">
        <v>5.6550000000000002</v>
      </c>
      <c r="M130" s="4">
        <v>5.6550000000000002</v>
      </c>
      <c r="N130" s="4">
        <v>5.6550000000000002</v>
      </c>
      <c r="O130" s="4">
        <v>5.6550000000000002</v>
      </c>
      <c r="P130" s="4">
        <v>9</v>
      </c>
      <c r="Q130" s="3" t="s">
        <v>26</v>
      </c>
      <c r="R130" s="3">
        <v>0</v>
      </c>
      <c r="S130" s="3">
        <v>0</v>
      </c>
      <c r="T130" s="3">
        <v>14</v>
      </c>
      <c r="U130" s="3">
        <v>52</v>
      </c>
      <c r="V130" s="4">
        <f>IF(ISERROR(VLOOKUP($S$130,'TAR FIN'!$A$1:$O$85,15,0)),0,VLOOKUP($S$130,'TAR FIN'!$A$1:$O$85,15,0))</f>
        <v>0</v>
      </c>
      <c r="W130" s="4">
        <f>IF(ISERROR(VLOOKUP($T$130,'TAR FIN'!$A$1:$O$85,15,0)),0,VLOOKUP($T$130,'TAR FIN'!$A$1:$O$85,15,0))</f>
        <v>106.78</v>
      </c>
      <c r="X130" s="4">
        <f>IF(ISERROR(VLOOKUP($U$130,'TAR FIN'!$A$1:$O$85,15,0)),0,VLOOKUP($U$130,'TAR FIN'!$A$1:$O$85,15,0))</f>
        <v>102.15</v>
      </c>
      <c r="Y130" s="4"/>
      <c r="Z130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130" s="4">
        <f>('TE BE'!$AB$12+'TE BF'!$AB$12+'TE CVA'!$AB$12)*(1-CUSTOS!$M$34)</f>
        <v>74.820652168737524</v>
      </c>
      <c r="AB130" s="4">
        <f t="shared" ref="AB130:AB193" si="14">(J130-K130)*V130</f>
        <v>0</v>
      </c>
      <c r="AC130" s="4">
        <f>(L130-M130)*(W130+X130)+($W$165+$X$165-$W$130-$X$130)*(L130)</f>
        <v>2194.2531000000008</v>
      </c>
      <c r="AD130" s="4">
        <f t="shared" ref="AD130:AD193" si="15">(J130-K130)*Y130</f>
        <v>0</v>
      </c>
      <c r="AE130" s="4">
        <f ca="1">(L130-M130)*(Z130+AA130)+($Z$165+$AA$165-$Z$130-$AA$130)*(L130)</f>
        <v>1974.5839804798568</v>
      </c>
      <c r="AF130" s="3" t="s">
        <v>598</v>
      </c>
    </row>
    <row r="131" spans="1:32" ht="11.25" customHeight="1" x14ac:dyDescent="0.3">
      <c r="A131" s="3" t="s">
        <v>21</v>
      </c>
      <c r="B131" s="3" t="s">
        <v>22</v>
      </c>
      <c r="C131" s="3" t="s">
        <v>23</v>
      </c>
      <c r="D131" s="3" t="s">
        <v>24</v>
      </c>
      <c r="E131" s="3" t="s">
        <v>28</v>
      </c>
      <c r="F131" s="3" t="s">
        <v>25</v>
      </c>
      <c r="G131" s="3" t="s">
        <v>25</v>
      </c>
      <c r="H131" s="3" t="s">
        <v>25</v>
      </c>
      <c r="I131" s="6">
        <v>44501</v>
      </c>
      <c r="J131" s="4">
        <v>0</v>
      </c>
      <c r="K131" s="4">
        <v>0</v>
      </c>
      <c r="L131" s="4">
        <v>5.55</v>
      </c>
      <c r="M131" s="4">
        <v>5.55</v>
      </c>
      <c r="N131" s="4">
        <v>5.55</v>
      </c>
      <c r="O131" s="4">
        <v>5.55</v>
      </c>
      <c r="P131" s="4">
        <v>4</v>
      </c>
      <c r="Q131" s="3" t="s">
        <v>26</v>
      </c>
      <c r="R131" s="3">
        <v>0</v>
      </c>
      <c r="S131" s="3">
        <v>0</v>
      </c>
      <c r="T131" s="3">
        <v>14</v>
      </c>
      <c r="U131" s="3">
        <v>52</v>
      </c>
      <c r="V131" s="4">
        <f>IF(ISERROR(VLOOKUP($S$131,'TAR FIN'!$A$1:$O$85,15,0)),0,VLOOKUP($S$131,'TAR FIN'!$A$1:$O$85,15,0))</f>
        <v>0</v>
      </c>
      <c r="W131" s="4">
        <f>IF(ISERROR(VLOOKUP($T$131,'TAR FIN'!$A$1:$O$85,15,0)),0,VLOOKUP($T$131,'TAR FIN'!$A$1:$O$85,15,0))</f>
        <v>106.78</v>
      </c>
      <c r="X131" s="4">
        <f>IF(ISERROR(VLOOKUP($U$131,'TAR FIN'!$A$1:$O$85,15,0)),0,VLOOKUP($U$131,'TAR FIN'!$A$1:$O$85,15,0))</f>
        <v>102.15</v>
      </c>
      <c r="Y131" s="4"/>
      <c r="Z131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131" s="4">
        <f>('TE BE'!$AB$12+'TE BF'!$AB$12+'TE CVA'!$AB$12)*(1-CUSTOS!$M$34)</f>
        <v>74.820652168737524</v>
      </c>
      <c r="AB131" s="4">
        <f t="shared" si="14"/>
        <v>0</v>
      </c>
      <c r="AC131" s="4">
        <f>(L131-M131)*(W131+X131)+($W$165+$X$165-$W$131-$X$131)*(L131)</f>
        <v>2153.5110000000004</v>
      </c>
      <c r="AD131" s="4">
        <f t="shared" si="15"/>
        <v>0</v>
      </c>
      <c r="AE131" s="4">
        <f ca="1">(L131-M131)*(Z131+AA131)+($Z$165+$AA$165-$Z$131-$AA$131)*(L131)</f>
        <v>1937.9206174470742</v>
      </c>
      <c r="AF131" s="3" t="s">
        <v>598</v>
      </c>
    </row>
    <row r="132" spans="1:32" ht="11.25" customHeight="1" x14ac:dyDescent="0.3">
      <c r="A132" s="3" t="s">
        <v>21</v>
      </c>
      <c r="B132" s="3" t="s">
        <v>22</v>
      </c>
      <c r="C132" s="3" t="s">
        <v>23</v>
      </c>
      <c r="D132" s="3" t="s">
        <v>24</v>
      </c>
      <c r="E132" s="3" t="s">
        <v>28</v>
      </c>
      <c r="F132" s="3" t="s">
        <v>25</v>
      </c>
      <c r="G132" s="3" t="s">
        <v>25</v>
      </c>
      <c r="H132" s="3" t="s">
        <v>25</v>
      </c>
      <c r="I132" s="6">
        <v>44531</v>
      </c>
      <c r="J132" s="4">
        <v>0</v>
      </c>
      <c r="K132" s="4">
        <v>0</v>
      </c>
      <c r="L132" s="4">
        <v>5.58</v>
      </c>
      <c r="M132" s="4">
        <v>5.58</v>
      </c>
      <c r="N132" s="4">
        <v>5.58</v>
      </c>
      <c r="O132" s="4">
        <v>5.58</v>
      </c>
      <c r="P132" s="4">
        <v>8</v>
      </c>
      <c r="Q132" s="3" t="s">
        <v>26</v>
      </c>
      <c r="R132" s="3">
        <v>0</v>
      </c>
      <c r="S132" s="3">
        <v>0</v>
      </c>
      <c r="T132" s="3">
        <v>14</v>
      </c>
      <c r="U132" s="3">
        <v>52</v>
      </c>
      <c r="V132" s="4">
        <f>IF(ISERROR(VLOOKUP($S$132,'TAR FIN'!$A$1:$O$85,15,0)),0,VLOOKUP($S$132,'TAR FIN'!$A$1:$O$85,15,0))</f>
        <v>0</v>
      </c>
      <c r="W132" s="4">
        <f>IF(ISERROR(VLOOKUP($T$132,'TAR FIN'!$A$1:$O$85,15,0)),0,VLOOKUP($T$132,'TAR FIN'!$A$1:$O$85,15,0))</f>
        <v>106.78</v>
      </c>
      <c r="X132" s="4">
        <f>IF(ISERROR(VLOOKUP($U$132,'TAR FIN'!$A$1:$O$85,15,0)),0,VLOOKUP($U$132,'TAR FIN'!$A$1:$O$85,15,0))</f>
        <v>102.15</v>
      </c>
      <c r="Y132" s="4"/>
      <c r="Z132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132" s="4">
        <f>('TE BE'!$AB$12+'TE BF'!$AB$12+'TE CVA'!$AB$12)*(1-CUSTOS!$M$34)</f>
        <v>74.820652168737524</v>
      </c>
      <c r="AB132" s="4">
        <f t="shared" si="14"/>
        <v>0</v>
      </c>
      <c r="AC132" s="4">
        <f>(L132-M132)*(W132+X132)+($W$165+$X$165-$W$132-$X$132)*(L132)</f>
        <v>2165.1516000000006</v>
      </c>
      <c r="AD132" s="4">
        <f t="shared" si="15"/>
        <v>0</v>
      </c>
      <c r="AE132" s="4">
        <f ca="1">(L132-M132)*(Z132+AA132)+($Z$165+$AA$165-$Z$132-$AA$132)*(L132)</f>
        <v>1948.3958640278693</v>
      </c>
      <c r="AF132" s="3" t="s">
        <v>598</v>
      </c>
    </row>
    <row r="133" spans="1:32" ht="11.25" customHeight="1" x14ac:dyDescent="0.3">
      <c r="A133" s="3" t="s">
        <v>21</v>
      </c>
      <c r="B133" s="3" t="s">
        <v>22</v>
      </c>
      <c r="C133" s="3" t="s">
        <v>23</v>
      </c>
      <c r="D133" s="3" t="s">
        <v>24</v>
      </c>
      <c r="E133" s="3" t="s">
        <v>28</v>
      </c>
      <c r="F133" s="3" t="s">
        <v>25</v>
      </c>
      <c r="G133" s="3" t="s">
        <v>25</v>
      </c>
      <c r="H133" s="3" t="s">
        <v>25</v>
      </c>
      <c r="I133" s="6">
        <v>44562</v>
      </c>
      <c r="J133" s="4">
        <v>0</v>
      </c>
      <c r="K133" s="4">
        <v>0</v>
      </c>
      <c r="L133" s="4">
        <v>5.61</v>
      </c>
      <c r="M133" s="4">
        <v>5.61</v>
      </c>
      <c r="N133" s="4">
        <v>5.61</v>
      </c>
      <c r="O133" s="4">
        <v>5.61</v>
      </c>
      <c r="P133" s="4">
        <v>10</v>
      </c>
      <c r="Q133" s="3" t="s">
        <v>26</v>
      </c>
      <c r="R133" s="3">
        <v>0</v>
      </c>
      <c r="S133" s="3">
        <v>0</v>
      </c>
      <c r="T133" s="3">
        <v>14</v>
      </c>
      <c r="U133" s="3">
        <v>52</v>
      </c>
      <c r="V133" s="4">
        <f>IF(ISERROR(VLOOKUP($S$133,'TAR FIN'!$A$1:$O$85,15,0)),0,VLOOKUP($S$133,'TAR FIN'!$A$1:$O$85,15,0))</f>
        <v>0</v>
      </c>
      <c r="W133" s="4">
        <f>IF(ISERROR(VLOOKUP($T$133,'TAR FIN'!$A$1:$O$85,15,0)),0,VLOOKUP($T$133,'TAR FIN'!$A$1:$O$85,15,0))</f>
        <v>106.78</v>
      </c>
      <c r="X133" s="4">
        <f>IF(ISERROR(VLOOKUP($U$133,'TAR FIN'!$A$1:$O$85,15,0)),0,VLOOKUP($U$133,'TAR FIN'!$A$1:$O$85,15,0))</f>
        <v>102.15</v>
      </c>
      <c r="Y133" s="4"/>
      <c r="Z133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133" s="4">
        <f>('TE BE'!$AB$12+'TE BF'!$AB$12+'TE CVA'!$AB$12)*(1-CUSTOS!$M$34)</f>
        <v>74.820652168737524</v>
      </c>
      <c r="AB133" s="4">
        <f t="shared" si="14"/>
        <v>0</v>
      </c>
      <c r="AC133" s="4">
        <f>(L133-M133)*(W133+X133)+($W$165+$X$165-$W$133-$X$133)*(L133)</f>
        <v>2176.7922000000008</v>
      </c>
      <c r="AD133" s="4">
        <f t="shared" si="15"/>
        <v>0</v>
      </c>
      <c r="AE133" s="4">
        <f ca="1">(L133-M133)*(Z133+AA133)+($Z$165+$AA$165-$Z$133-$AA$133)*(L133)</f>
        <v>1958.8711106086644</v>
      </c>
      <c r="AF133" s="3" t="s">
        <v>598</v>
      </c>
    </row>
    <row r="134" spans="1:32" ht="11.25" customHeight="1" x14ac:dyDescent="0.3">
      <c r="A134" s="3" t="s">
        <v>21</v>
      </c>
      <c r="B134" s="3" t="s">
        <v>22</v>
      </c>
      <c r="C134" s="3" t="s">
        <v>23</v>
      </c>
      <c r="D134" s="3" t="s">
        <v>24</v>
      </c>
      <c r="E134" s="3" t="s">
        <v>28</v>
      </c>
      <c r="F134" s="3" t="s">
        <v>25</v>
      </c>
      <c r="G134" s="3" t="s">
        <v>25</v>
      </c>
      <c r="H134" s="3" t="s">
        <v>25</v>
      </c>
      <c r="I134" s="6">
        <v>44593</v>
      </c>
      <c r="J134" s="4">
        <v>0</v>
      </c>
      <c r="K134" s="4">
        <v>0</v>
      </c>
      <c r="L134" s="4">
        <v>8.19</v>
      </c>
      <c r="M134" s="4">
        <v>8.19</v>
      </c>
      <c r="N134" s="4">
        <v>8.19</v>
      </c>
      <c r="O134" s="4">
        <v>8.19</v>
      </c>
      <c r="P134" s="4">
        <v>16</v>
      </c>
      <c r="Q134" s="3" t="s">
        <v>26</v>
      </c>
      <c r="R134" s="3">
        <v>0</v>
      </c>
      <c r="S134" s="3">
        <v>0</v>
      </c>
      <c r="T134" s="3">
        <v>14</v>
      </c>
      <c r="U134" s="3">
        <v>52</v>
      </c>
      <c r="V134" s="4">
        <f>IF(ISERROR(VLOOKUP($S$134,'TAR FIN'!$A$1:$O$85,15,0)),0,VLOOKUP($S$134,'TAR FIN'!$A$1:$O$85,15,0))</f>
        <v>0</v>
      </c>
      <c r="W134" s="4">
        <f>IF(ISERROR(VLOOKUP($T$134,'TAR FIN'!$A$1:$O$85,15,0)),0,VLOOKUP($T$134,'TAR FIN'!$A$1:$O$85,15,0))</f>
        <v>106.78</v>
      </c>
      <c r="X134" s="4">
        <f>IF(ISERROR(VLOOKUP($U$134,'TAR FIN'!$A$1:$O$85,15,0)),0,VLOOKUP($U$134,'TAR FIN'!$A$1:$O$85,15,0))</f>
        <v>102.15</v>
      </c>
      <c r="Y134" s="4"/>
      <c r="Z134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134" s="4">
        <f>('TE BE'!$AB$12+'TE BF'!$AB$12+'TE CVA'!$AB$12)*(1-CUSTOS!$M$34)</f>
        <v>74.820652168737524</v>
      </c>
      <c r="AB134" s="4">
        <f t="shared" si="14"/>
        <v>0</v>
      </c>
      <c r="AC134" s="4">
        <f>(L134-M134)*(W134+X134)+($W$165+$X$165-$W$134-$X$134)*(L134)</f>
        <v>3177.8838000000005</v>
      </c>
      <c r="AD134" s="4">
        <f t="shared" si="15"/>
        <v>0</v>
      </c>
      <c r="AE134" s="4">
        <f ca="1">(L134-M134)*(Z134+AA134)+($Z$165+$AA$165-$Z$134-$AA$134)*(L134)</f>
        <v>2859.7423165570335</v>
      </c>
      <c r="AF134" s="3" t="s">
        <v>598</v>
      </c>
    </row>
    <row r="135" spans="1:32" ht="11.25" customHeight="1" x14ac:dyDescent="0.3">
      <c r="A135" s="3" t="s">
        <v>21</v>
      </c>
      <c r="B135" s="3" t="s">
        <v>22</v>
      </c>
      <c r="C135" s="3" t="s">
        <v>23</v>
      </c>
      <c r="D135" s="3" t="s">
        <v>24</v>
      </c>
      <c r="E135" s="3" t="s">
        <v>28</v>
      </c>
      <c r="F135" s="3" t="s">
        <v>25</v>
      </c>
      <c r="G135" s="3" t="s">
        <v>25</v>
      </c>
      <c r="H135" s="3" t="s">
        <v>25</v>
      </c>
      <c r="I135" s="6">
        <v>44621</v>
      </c>
      <c r="J135" s="4">
        <v>0</v>
      </c>
      <c r="K135" s="4">
        <v>0</v>
      </c>
      <c r="L135" s="4">
        <v>8.43</v>
      </c>
      <c r="M135" s="4">
        <v>8.43</v>
      </c>
      <c r="N135" s="4">
        <v>8.43</v>
      </c>
      <c r="O135" s="4">
        <v>8.43</v>
      </c>
      <c r="P135" s="4">
        <v>13</v>
      </c>
      <c r="Q135" s="3" t="s">
        <v>26</v>
      </c>
      <c r="R135" s="3">
        <v>0</v>
      </c>
      <c r="S135" s="3">
        <v>0</v>
      </c>
      <c r="T135" s="3">
        <v>14</v>
      </c>
      <c r="U135" s="3">
        <v>52</v>
      </c>
      <c r="V135" s="4">
        <f>IF(ISERROR(VLOOKUP($S$135,'TAR FIN'!$A$1:$O$85,15,0)),0,VLOOKUP($S$135,'TAR FIN'!$A$1:$O$85,15,0))</f>
        <v>0</v>
      </c>
      <c r="W135" s="4">
        <f>IF(ISERROR(VLOOKUP($T$135,'TAR FIN'!$A$1:$O$85,15,0)),0,VLOOKUP($T$135,'TAR FIN'!$A$1:$O$85,15,0))</f>
        <v>106.78</v>
      </c>
      <c r="X135" s="4">
        <f>IF(ISERROR(VLOOKUP($U$135,'TAR FIN'!$A$1:$O$85,15,0)),0,VLOOKUP($U$135,'TAR FIN'!$A$1:$O$85,15,0))</f>
        <v>102.15</v>
      </c>
      <c r="Y135" s="4"/>
      <c r="Z135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135" s="4">
        <f>('TE BE'!$AB$12+'TE BF'!$AB$12+'TE CVA'!$AB$12)*(1-CUSTOS!$M$34)</f>
        <v>74.820652168737524</v>
      </c>
      <c r="AB135" s="4">
        <f t="shared" si="14"/>
        <v>0</v>
      </c>
      <c r="AC135" s="4">
        <f>(L135-M135)*(W135+X135)+($W$165+$X$165-$W$135-$X$135)*(L135)</f>
        <v>3271.0086000000006</v>
      </c>
      <c r="AD135" s="4">
        <f t="shared" si="15"/>
        <v>0</v>
      </c>
      <c r="AE135" s="4">
        <f ca="1">(L135-M135)*(Z135+AA135)+($Z$165+$AA$165-$Z$135-$AA$135)*(L135)</f>
        <v>2943.5442892033934</v>
      </c>
      <c r="AF135" s="3" t="s">
        <v>598</v>
      </c>
    </row>
    <row r="136" spans="1:32" ht="11.25" customHeight="1" x14ac:dyDescent="0.3">
      <c r="A136" s="3" t="s">
        <v>21</v>
      </c>
      <c r="B136" s="3" t="s">
        <v>22</v>
      </c>
      <c r="C136" s="3" t="s">
        <v>23</v>
      </c>
      <c r="D136" s="3" t="s">
        <v>24</v>
      </c>
      <c r="E136" s="3" t="s">
        <v>28</v>
      </c>
      <c r="F136" s="3" t="s">
        <v>25</v>
      </c>
      <c r="G136" s="3" t="s">
        <v>25</v>
      </c>
      <c r="H136" s="3" t="s">
        <v>25</v>
      </c>
      <c r="I136" s="6">
        <v>44652</v>
      </c>
      <c r="J136" s="4">
        <v>0</v>
      </c>
      <c r="K136" s="4">
        <v>0</v>
      </c>
      <c r="L136" s="4">
        <v>8.64</v>
      </c>
      <c r="M136" s="4">
        <v>8.64</v>
      </c>
      <c r="N136" s="4">
        <v>8.64</v>
      </c>
      <c r="O136" s="4">
        <v>8.64</v>
      </c>
      <c r="P136" s="4">
        <v>15</v>
      </c>
      <c r="Q136" s="3" t="s">
        <v>26</v>
      </c>
      <c r="R136" s="3">
        <v>0</v>
      </c>
      <c r="S136" s="3">
        <v>0</v>
      </c>
      <c r="T136" s="3">
        <v>14</v>
      </c>
      <c r="U136" s="3">
        <v>52</v>
      </c>
      <c r="V136" s="4">
        <f>IF(ISERROR(VLOOKUP($S$136,'TAR FIN'!$A$1:$O$85,15,0)),0,VLOOKUP($S$136,'TAR FIN'!$A$1:$O$85,15,0))</f>
        <v>0</v>
      </c>
      <c r="W136" s="4">
        <f>IF(ISERROR(VLOOKUP($T$136,'TAR FIN'!$A$1:$O$85,15,0)),0,VLOOKUP($T$136,'TAR FIN'!$A$1:$O$85,15,0))</f>
        <v>106.78</v>
      </c>
      <c r="X136" s="4">
        <f>IF(ISERROR(VLOOKUP($U$136,'TAR FIN'!$A$1:$O$85,15,0)),0,VLOOKUP($U$136,'TAR FIN'!$A$1:$O$85,15,0))</f>
        <v>102.15</v>
      </c>
      <c r="Y136" s="4"/>
      <c r="Z136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136" s="4">
        <f>('TE BE'!$AB$12+'TE BF'!$AB$12+'TE CVA'!$AB$12)*(1-CUSTOS!$M$34)</f>
        <v>74.820652168737524</v>
      </c>
      <c r="AB136" s="4">
        <f t="shared" si="14"/>
        <v>0</v>
      </c>
      <c r="AC136" s="4">
        <f>(L136-M136)*(W136+X136)+($W$165+$X$165-$W$136-$X$136)*(L136)</f>
        <v>3352.4928000000009</v>
      </c>
      <c r="AD136" s="4">
        <f t="shared" si="15"/>
        <v>0</v>
      </c>
      <c r="AE136" s="4">
        <f ca="1">(L136-M136)*(Z136+AA136)+($Z$165+$AA$165-$Z$136-$AA$136)*(L136)</f>
        <v>3016.8710152689587</v>
      </c>
      <c r="AF136" s="3" t="s">
        <v>598</v>
      </c>
    </row>
    <row r="137" spans="1:32" ht="11.25" customHeight="1" x14ac:dyDescent="0.3">
      <c r="A137" s="3" t="s">
        <v>21</v>
      </c>
      <c r="B137" s="3" t="s">
        <v>22</v>
      </c>
      <c r="C137" s="3" t="s">
        <v>23</v>
      </c>
      <c r="D137" s="3" t="s">
        <v>24</v>
      </c>
      <c r="E137" s="3" t="s">
        <v>28</v>
      </c>
      <c r="F137" s="3" t="s">
        <v>25</v>
      </c>
      <c r="G137" s="3" t="s">
        <v>25</v>
      </c>
      <c r="H137" s="3" t="s">
        <v>25</v>
      </c>
      <c r="I137" s="6">
        <v>44682</v>
      </c>
      <c r="J137" s="4">
        <v>0</v>
      </c>
      <c r="K137" s="4">
        <v>0</v>
      </c>
      <c r="L137" s="4">
        <v>9.39</v>
      </c>
      <c r="M137" s="4">
        <v>9.39</v>
      </c>
      <c r="N137" s="4">
        <v>9.39</v>
      </c>
      <c r="O137" s="4">
        <v>9.39</v>
      </c>
      <c r="P137" s="4">
        <v>14</v>
      </c>
      <c r="Q137" s="3" t="s">
        <v>26</v>
      </c>
      <c r="R137" s="3">
        <v>0</v>
      </c>
      <c r="S137" s="3">
        <v>0</v>
      </c>
      <c r="T137" s="3">
        <v>14</v>
      </c>
      <c r="U137" s="3">
        <v>52</v>
      </c>
      <c r="V137" s="4">
        <f>IF(ISERROR(VLOOKUP($S$137,'TAR FIN'!$A$1:$O$85,15,0)),0,VLOOKUP($S$137,'TAR FIN'!$A$1:$O$85,15,0))</f>
        <v>0</v>
      </c>
      <c r="W137" s="4">
        <f>IF(ISERROR(VLOOKUP($T$137,'TAR FIN'!$A$1:$O$85,15,0)),0,VLOOKUP($T$137,'TAR FIN'!$A$1:$O$85,15,0))</f>
        <v>106.78</v>
      </c>
      <c r="X137" s="4">
        <f>IF(ISERROR(VLOOKUP($U$137,'TAR FIN'!$A$1:$O$85,15,0)),0,VLOOKUP($U$137,'TAR FIN'!$A$1:$O$85,15,0))</f>
        <v>102.15</v>
      </c>
      <c r="Y137" s="4"/>
      <c r="Z137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137" s="4">
        <f>('TE BE'!$AB$12+'TE BF'!$AB$12+'TE CVA'!$AB$12)*(1-CUSTOS!$M$34)</f>
        <v>74.820652168737524</v>
      </c>
      <c r="AB137" s="4">
        <f t="shared" si="14"/>
        <v>0</v>
      </c>
      <c r="AC137" s="4">
        <f>(L137-M137)*(W137+X137)+($W$165+$X$165-$W$137-$X$137)*(L137)</f>
        <v>3643.5078000000012</v>
      </c>
      <c r="AD137" s="4">
        <f t="shared" si="15"/>
        <v>0</v>
      </c>
      <c r="AE137" s="4">
        <f ca="1">(L137-M137)*(Z137+AA137)+($Z$165+$AA$165-$Z$137-$AA$137)*(L137)</f>
        <v>3278.7521797888339</v>
      </c>
      <c r="AF137" s="3" t="s">
        <v>598</v>
      </c>
    </row>
    <row r="138" spans="1:32" ht="11.25" customHeight="1" x14ac:dyDescent="0.3">
      <c r="A138" s="3" t="s">
        <v>21</v>
      </c>
      <c r="B138" s="3" t="s">
        <v>22</v>
      </c>
      <c r="C138" s="3" t="s">
        <v>23</v>
      </c>
      <c r="D138" s="3" t="s">
        <v>24</v>
      </c>
      <c r="E138" s="3" t="s">
        <v>28</v>
      </c>
      <c r="F138" s="3" t="s">
        <v>25</v>
      </c>
      <c r="G138" s="3" t="s">
        <v>25</v>
      </c>
      <c r="H138" s="3" t="s">
        <v>25</v>
      </c>
      <c r="I138" s="6">
        <v>44713</v>
      </c>
      <c r="J138" s="4">
        <v>0</v>
      </c>
      <c r="K138" s="4">
        <v>0</v>
      </c>
      <c r="L138" s="4">
        <v>9</v>
      </c>
      <c r="M138" s="4">
        <v>9</v>
      </c>
      <c r="N138" s="4">
        <v>9</v>
      </c>
      <c r="O138" s="4">
        <v>9</v>
      </c>
      <c r="P138" s="4">
        <v>14</v>
      </c>
      <c r="Q138" s="3" t="s">
        <v>26</v>
      </c>
      <c r="R138" s="3">
        <v>0</v>
      </c>
      <c r="S138" s="3">
        <v>0</v>
      </c>
      <c r="T138" s="3">
        <v>14</v>
      </c>
      <c r="U138" s="3">
        <v>52</v>
      </c>
      <c r="V138" s="4">
        <f>IF(ISERROR(VLOOKUP($S$138,'TAR FIN'!$A$1:$O$85,15,0)),0,VLOOKUP($S$138,'TAR FIN'!$A$1:$O$85,15,0))</f>
        <v>0</v>
      </c>
      <c r="W138" s="4">
        <f>IF(ISERROR(VLOOKUP($T$138,'TAR FIN'!$A$1:$O$85,15,0)),0,VLOOKUP($T$138,'TAR FIN'!$A$1:$O$85,15,0))</f>
        <v>106.78</v>
      </c>
      <c r="X138" s="4">
        <f>IF(ISERROR(VLOOKUP($U$138,'TAR FIN'!$A$1:$O$85,15,0)),0,VLOOKUP($U$138,'TAR FIN'!$A$1:$O$85,15,0))</f>
        <v>102.15</v>
      </c>
      <c r="Y138" s="4"/>
      <c r="Z138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138" s="4">
        <f>('TE BE'!$AB$12+'TE BF'!$AB$12+'TE CVA'!$AB$12)*(1-CUSTOS!$M$34)</f>
        <v>74.820652168737524</v>
      </c>
      <c r="AB138" s="4">
        <f t="shared" si="14"/>
        <v>0</v>
      </c>
      <c r="AC138" s="4">
        <f>(L138-M138)*(W138+X138)+($W$165+$X$165-$W$138-$X$138)*(L138)</f>
        <v>3492.1800000000007</v>
      </c>
      <c r="AD138" s="4">
        <f t="shared" si="15"/>
        <v>0</v>
      </c>
      <c r="AE138" s="4">
        <f ca="1">(L138-M138)*(Z138+AA138)+($Z$165+$AA$165-$Z$138-$AA$138)*(L138)</f>
        <v>3142.5739742384985</v>
      </c>
      <c r="AF138" s="3" t="s">
        <v>598</v>
      </c>
    </row>
    <row r="139" spans="1:32" ht="11.25" customHeight="1" x14ac:dyDescent="0.3">
      <c r="A139" s="3" t="s">
        <v>21</v>
      </c>
      <c r="B139" s="3" t="s">
        <v>22</v>
      </c>
      <c r="C139" s="3" t="s">
        <v>23</v>
      </c>
      <c r="D139" s="3" t="s">
        <v>24</v>
      </c>
      <c r="E139" s="3" t="s">
        <v>28</v>
      </c>
      <c r="F139" s="3" t="s">
        <v>25</v>
      </c>
      <c r="G139" s="3" t="s">
        <v>25</v>
      </c>
      <c r="H139" s="3" t="s">
        <v>25</v>
      </c>
      <c r="I139" s="6">
        <v>44743</v>
      </c>
      <c r="J139" s="4">
        <v>0</v>
      </c>
      <c r="K139" s="4">
        <v>0</v>
      </c>
      <c r="L139" s="4">
        <v>7.83</v>
      </c>
      <c r="M139" s="4">
        <v>7.83</v>
      </c>
      <c r="N139" s="4">
        <v>7.83</v>
      </c>
      <c r="O139" s="4">
        <v>7.83</v>
      </c>
      <c r="P139" s="4">
        <v>10</v>
      </c>
      <c r="Q139" s="3" t="s">
        <v>26</v>
      </c>
      <c r="R139" s="3">
        <v>0</v>
      </c>
      <c r="S139" s="3">
        <v>0</v>
      </c>
      <c r="T139" s="3">
        <v>14</v>
      </c>
      <c r="U139" s="3">
        <v>52</v>
      </c>
      <c r="V139" s="4">
        <f>IF(ISERROR(VLOOKUP($S$139,'TAR FIN'!$A$1:$O$85,15,0)),0,VLOOKUP($S$139,'TAR FIN'!$A$1:$O$85,15,0))</f>
        <v>0</v>
      </c>
      <c r="W139" s="4">
        <f>IF(ISERROR(VLOOKUP($T$139,'TAR FIN'!$A$1:$O$85,15,0)),0,VLOOKUP($T$139,'TAR FIN'!$A$1:$O$85,15,0))</f>
        <v>106.78</v>
      </c>
      <c r="X139" s="4">
        <f>IF(ISERROR(VLOOKUP($U$139,'TAR FIN'!$A$1:$O$85,15,0)),0,VLOOKUP($U$139,'TAR FIN'!$A$1:$O$85,15,0))</f>
        <v>102.15</v>
      </c>
      <c r="Y139" s="4"/>
      <c r="Z139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139" s="4">
        <f>('TE BE'!$AB$12+'TE BF'!$AB$12+'TE CVA'!$AB$12)*(1-CUSTOS!$M$34)</f>
        <v>74.820652168737524</v>
      </c>
      <c r="AB139" s="4">
        <f t="shared" si="14"/>
        <v>0</v>
      </c>
      <c r="AC139" s="4">
        <f>(L139-M139)*(W139+X139)+($W$165+$X$165-$W$139-$X$139)*(L139)</f>
        <v>3038.1966000000007</v>
      </c>
      <c r="AD139" s="4">
        <f t="shared" si="15"/>
        <v>0</v>
      </c>
      <c r="AE139" s="4">
        <f ca="1">(L139-M139)*(Z139+AA139)+($Z$165+$AA$165-$Z$139-$AA$139)*(L139)</f>
        <v>2734.0393575874937</v>
      </c>
      <c r="AF139" s="3" t="s">
        <v>598</v>
      </c>
    </row>
    <row r="140" spans="1:32" ht="11.25" customHeight="1" x14ac:dyDescent="0.3">
      <c r="A140" s="3" t="s">
        <v>53</v>
      </c>
      <c r="B140" s="3" t="s">
        <v>22</v>
      </c>
      <c r="C140" s="3" t="s">
        <v>23</v>
      </c>
      <c r="D140" s="3" t="s">
        <v>24</v>
      </c>
      <c r="E140" s="3" t="s">
        <v>28</v>
      </c>
      <c r="F140" s="3" t="s">
        <v>25</v>
      </c>
      <c r="G140" s="3" t="s">
        <v>25</v>
      </c>
      <c r="H140" s="3" t="s">
        <v>25</v>
      </c>
      <c r="I140" s="6">
        <v>44774</v>
      </c>
      <c r="J140" s="4">
        <v>0</v>
      </c>
      <c r="K140" s="4">
        <v>0</v>
      </c>
      <c r="L140" s="4">
        <v>7.83</v>
      </c>
      <c r="M140" s="4">
        <v>7.83</v>
      </c>
      <c r="N140" s="4">
        <v>7.83</v>
      </c>
      <c r="O140" s="4">
        <v>7.83</v>
      </c>
      <c r="P140" s="4">
        <v>10</v>
      </c>
      <c r="Q140" s="3" t="s">
        <v>26</v>
      </c>
      <c r="R140" s="3">
        <v>0</v>
      </c>
      <c r="S140" s="3">
        <v>0</v>
      </c>
      <c r="T140" s="3">
        <v>14</v>
      </c>
      <c r="U140" s="3">
        <v>52</v>
      </c>
      <c r="V140" s="4">
        <f>IF(ISERROR(VLOOKUP($S$140,'TAR FIN'!$A$1:$O$85,15,0)),0,VLOOKUP($S$140,'TAR FIN'!$A$1:$O$85,15,0))</f>
        <v>0</v>
      </c>
      <c r="W140" s="4">
        <f>IF(ISERROR(VLOOKUP($T$140,'TAR FIN'!$A$1:$O$85,15,0)),0,VLOOKUP($T$140,'TAR FIN'!$A$1:$O$85,15,0))</f>
        <v>106.78</v>
      </c>
      <c r="X140" s="4">
        <f>IF(ISERROR(VLOOKUP($U$140,'TAR FIN'!$A$1:$O$85,15,0)),0,VLOOKUP($U$140,'TAR FIN'!$A$1:$O$85,15,0))</f>
        <v>102.15</v>
      </c>
      <c r="Y140" s="4"/>
      <c r="Z140" s="4">
        <f ca="1">('TUSD BE'!$AM$21+'TUSD BF'!$AM$21+'TUSD CVA'!$AM$21-('TUSD BE'!$P$21+'TUSD BF'!$P$21+'TUSD CVA'!$P$21)-('TUSD BE'!$Q$21+'TUSD BF'!$Q$21+'TUSD CVA'!$Q$21)-('TUSD BE'!$R$21+'TUSD BF'!$R$21+'TUSD CVA'!$R$21))*(1-CUSTOS!$M$34)</f>
        <v>113.19659415322391</v>
      </c>
      <c r="AA140" s="4">
        <f>('TE BE'!$AB$12+'TE BF'!$AB$12+'TE CVA'!$AB$12)*(1-CUSTOS!$M$34)</f>
        <v>74.820652168737524</v>
      </c>
      <c r="AB140" s="4">
        <f t="shared" si="14"/>
        <v>0</v>
      </c>
      <c r="AC140" s="4">
        <f>(L140-M140)*(W140+X140)+($W$165+$X$165-$W$140-$X$140)*(L140)</f>
        <v>3038.1966000000007</v>
      </c>
      <c r="AD140" s="4">
        <f t="shared" si="15"/>
        <v>0</v>
      </c>
      <c r="AE140" s="4">
        <f ca="1">(L140-M140)*(Z140+AA140)+($Z$165+$AA$165-$Z$140-$AA$140)*(L140)</f>
        <v>2734.0393575874937</v>
      </c>
      <c r="AF140" s="3" t="s">
        <v>598</v>
      </c>
    </row>
    <row r="141" spans="1:32" ht="11.25" customHeight="1" x14ac:dyDescent="0.3">
      <c r="A141" s="3" t="s">
        <v>21</v>
      </c>
      <c r="B141" s="3" t="s">
        <v>22</v>
      </c>
      <c r="C141" s="3" t="s">
        <v>23</v>
      </c>
      <c r="D141" s="3" t="s">
        <v>24</v>
      </c>
      <c r="E141" s="3" t="s">
        <v>29</v>
      </c>
      <c r="F141" s="3" t="s">
        <v>25</v>
      </c>
      <c r="G141" s="3" t="s">
        <v>25</v>
      </c>
      <c r="H141" s="3" t="s">
        <v>25</v>
      </c>
      <c r="I141" s="6">
        <v>44440</v>
      </c>
      <c r="J141" s="4">
        <v>0</v>
      </c>
      <c r="K141" s="4">
        <v>0</v>
      </c>
      <c r="L141" s="4">
        <v>11.752000000000001</v>
      </c>
      <c r="M141" s="4">
        <v>11.752000000000001</v>
      </c>
      <c r="N141" s="4">
        <v>11.752000000000001</v>
      </c>
      <c r="O141" s="4">
        <v>11.752000000000001</v>
      </c>
      <c r="P141" s="4">
        <v>28</v>
      </c>
      <c r="Q141" s="3" t="s">
        <v>26</v>
      </c>
      <c r="R141" s="3">
        <v>0</v>
      </c>
      <c r="S141" s="3">
        <v>0</v>
      </c>
      <c r="T141" s="3">
        <v>12</v>
      </c>
      <c r="U141" s="3">
        <v>63</v>
      </c>
      <c r="V141" s="4">
        <f>IF(ISERROR(VLOOKUP($S$141,'TAR FIN'!$A$1:$O$85,15,0)),0,VLOOKUP($S$141,'TAR FIN'!$A$1:$O$85,15,0))</f>
        <v>0</v>
      </c>
      <c r="W141" s="4">
        <f>IF(ISERROR(VLOOKUP($T$141,'TAR FIN'!$A$1:$O$85,15,0)),0,VLOOKUP($T$141,'TAR FIN'!$A$1:$O$85,15,0))</f>
        <v>183.06</v>
      </c>
      <c r="X141" s="4">
        <f>IF(ISERROR(VLOOKUP($U$141,'TAR FIN'!$A$1:$O$85,15,0)),0,VLOOKUP($U$141,'TAR FIN'!$A$1:$O$85,15,0))</f>
        <v>175.11</v>
      </c>
      <c r="Y141" s="4"/>
      <c r="Z141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141" s="4">
        <f>('TE BE'!$AB$13+'TE BF'!$AB$13+'TE CVA'!$AB$13)*(1-CUSTOS!$M$35)</f>
        <v>128.26397514640718</v>
      </c>
      <c r="AB141" s="4">
        <f t="shared" si="14"/>
        <v>0</v>
      </c>
      <c r="AC141" s="4">
        <f>(L141-M141)*(W141+X141)+($W$165+$X$165-$W$141-$X$141)*(L141)</f>
        <v>2806.1425600000007</v>
      </c>
      <c r="AD141" s="4">
        <f t="shared" si="15"/>
        <v>0</v>
      </c>
      <c r="AE141" s="4">
        <f ca="1">(L141-M141)*(Z141+AA141)+($Z$165+$AA$165-$Z$141-$AA$141)*(L141)</f>
        <v>2525.2327757436474</v>
      </c>
      <c r="AF141" s="3" t="s">
        <v>598</v>
      </c>
    </row>
    <row r="142" spans="1:32" ht="11.25" customHeight="1" x14ac:dyDescent="0.3">
      <c r="A142" s="3" t="s">
        <v>21</v>
      </c>
      <c r="B142" s="3" t="s">
        <v>22</v>
      </c>
      <c r="C142" s="3" t="s">
        <v>23</v>
      </c>
      <c r="D142" s="3" t="s">
        <v>24</v>
      </c>
      <c r="E142" s="3" t="s">
        <v>29</v>
      </c>
      <c r="F142" s="3" t="s">
        <v>25</v>
      </c>
      <c r="G142" s="3" t="s">
        <v>25</v>
      </c>
      <c r="H142" s="3" t="s">
        <v>25</v>
      </c>
      <c r="I142" s="6">
        <v>44470</v>
      </c>
      <c r="J142" s="4">
        <v>0</v>
      </c>
      <c r="K142" s="4">
        <v>0</v>
      </c>
      <c r="L142" s="4">
        <v>11.974</v>
      </c>
      <c r="M142" s="4">
        <v>11.974</v>
      </c>
      <c r="N142" s="4">
        <v>11.974</v>
      </c>
      <c r="O142" s="4">
        <v>11.974</v>
      </c>
      <c r="P142" s="4">
        <v>24</v>
      </c>
      <c r="Q142" s="3" t="s">
        <v>26</v>
      </c>
      <c r="R142" s="3">
        <v>0</v>
      </c>
      <c r="S142" s="3">
        <v>0</v>
      </c>
      <c r="T142" s="3">
        <v>12</v>
      </c>
      <c r="U142" s="3">
        <v>63</v>
      </c>
      <c r="V142" s="4">
        <f>IF(ISERROR(VLOOKUP($S$142,'TAR FIN'!$A$1:$O$85,15,0)),0,VLOOKUP($S$142,'TAR FIN'!$A$1:$O$85,15,0))</f>
        <v>0</v>
      </c>
      <c r="W142" s="4">
        <f>IF(ISERROR(VLOOKUP($T$142,'TAR FIN'!$A$1:$O$85,15,0)),0,VLOOKUP($T$142,'TAR FIN'!$A$1:$O$85,15,0))</f>
        <v>183.06</v>
      </c>
      <c r="X142" s="4">
        <f>IF(ISERROR(VLOOKUP($U$142,'TAR FIN'!$A$1:$O$85,15,0)),0,VLOOKUP($U$142,'TAR FIN'!$A$1:$O$85,15,0))</f>
        <v>175.11</v>
      </c>
      <c r="Y142" s="4"/>
      <c r="Z142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142" s="4">
        <f>('TE BE'!$AB$13+'TE BF'!$AB$13+'TE CVA'!$AB$13)*(1-CUSTOS!$M$35)</f>
        <v>128.26397514640718</v>
      </c>
      <c r="AB142" s="4">
        <f t="shared" si="14"/>
        <v>0</v>
      </c>
      <c r="AC142" s="4">
        <f>(L142-M142)*(W142+X142)+($W$165+$X$165-$W$142-$X$142)*(L142)</f>
        <v>2859.1517200000003</v>
      </c>
      <c r="AD142" s="4">
        <f t="shared" si="15"/>
        <v>0</v>
      </c>
      <c r="AE142" s="4">
        <f ca="1">(L142-M142)*(Z142+AA142)+($Z$165+$AA$165-$Z$142-$AA$142)*(L142)</f>
        <v>2572.9354370961905</v>
      </c>
      <c r="AF142" s="3" t="s">
        <v>598</v>
      </c>
    </row>
    <row r="143" spans="1:32" ht="11.25" customHeight="1" x14ac:dyDescent="0.3">
      <c r="A143" s="3" t="s">
        <v>21</v>
      </c>
      <c r="B143" s="3" t="s">
        <v>22</v>
      </c>
      <c r="C143" s="3" t="s">
        <v>23</v>
      </c>
      <c r="D143" s="3" t="s">
        <v>24</v>
      </c>
      <c r="E143" s="3" t="s">
        <v>29</v>
      </c>
      <c r="F143" s="3" t="s">
        <v>25</v>
      </c>
      <c r="G143" s="3" t="s">
        <v>25</v>
      </c>
      <c r="H143" s="3" t="s">
        <v>25</v>
      </c>
      <c r="I143" s="6">
        <v>44501</v>
      </c>
      <c r="J143" s="4">
        <v>0</v>
      </c>
      <c r="K143" s="4">
        <v>0</v>
      </c>
      <c r="L143" s="4">
        <v>12.063000000000001</v>
      </c>
      <c r="M143" s="4">
        <v>12.063000000000001</v>
      </c>
      <c r="N143" s="4">
        <v>12.063000000000001</v>
      </c>
      <c r="O143" s="4">
        <v>12.063000000000001</v>
      </c>
      <c r="P143" s="4">
        <v>21</v>
      </c>
      <c r="Q143" s="3" t="s">
        <v>26</v>
      </c>
      <c r="R143" s="3">
        <v>0</v>
      </c>
      <c r="S143" s="3">
        <v>0</v>
      </c>
      <c r="T143" s="3">
        <v>12</v>
      </c>
      <c r="U143" s="3">
        <v>63</v>
      </c>
      <c r="V143" s="4">
        <f>IF(ISERROR(VLOOKUP($S$143,'TAR FIN'!$A$1:$O$85,15,0)),0,VLOOKUP($S$143,'TAR FIN'!$A$1:$O$85,15,0))</f>
        <v>0</v>
      </c>
      <c r="W143" s="4">
        <f>IF(ISERROR(VLOOKUP($T$143,'TAR FIN'!$A$1:$O$85,15,0)),0,VLOOKUP($T$143,'TAR FIN'!$A$1:$O$85,15,0))</f>
        <v>183.06</v>
      </c>
      <c r="X143" s="4">
        <f>IF(ISERROR(VLOOKUP($U$143,'TAR FIN'!$A$1:$O$85,15,0)),0,VLOOKUP($U$143,'TAR FIN'!$A$1:$O$85,15,0))</f>
        <v>175.11</v>
      </c>
      <c r="Y143" s="4"/>
      <c r="Z143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143" s="4">
        <f>('TE BE'!$AB$13+'TE BF'!$AB$13+'TE CVA'!$AB$13)*(1-CUSTOS!$M$35)</f>
        <v>128.26397514640718</v>
      </c>
      <c r="AB143" s="4">
        <f t="shared" si="14"/>
        <v>0</v>
      </c>
      <c r="AC143" s="4">
        <f>(L143-M143)*(W143+X143)+($W$165+$X$165-$W$143-$X$143)*(L143)</f>
        <v>2880.4031400000003</v>
      </c>
      <c r="AD143" s="4">
        <f t="shared" si="15"/>
        <v>0</v>
      </c>
      <c r="AE143" s="4">
        <f ca="1">(L143-M143)*(Z143+AA143)+($Z$165+$AA$165-$Z$143-$AA$143)*(L143)</f>
        <v>2592.059477007796</v>
      </c>
      <c r="AF143" s="3" t="s">
        <v>598</v>
      </c>
    </row>
    <row r="144" spans="1:32" ht="11.25" customHeight="1" x14ac:dyDescent="0.3">
      <c r="A144" s="3" t="s">
        <v>21</v>
      </c>
      <c r="B144" s="3" t="s">
        <v>22</v>
      </c>
      <c r="C144" s="3" t="s">
        <v>23</v>
      </c>
      <c r="D144" s="3" t="s">
        <v>24</v>
      </c>
      <c r="E144" s="3" t="s">
        <v>29</v>
      </c>
      <c r="F144" s="3" t="s">
        <v>25</v>
      </c>
      <c r="G144" s="3" t="s">
        <v>25</v>
      </c>
      <c r="H144" s="3" t="s">
        <v>25</v>
      </c>
      <c r="I144" s="6">
        <v>44531</v>
      </c>
      <c r="J144" s="4">
        <v>0</v>
      </c>
      <c r="K144" s="4">
        <v>0</v>
      </c>
      <c r="L144" s="4">
        <v>11.632</v>
      </c>
      <c r="M144" s="4">
        <v>11.632</v>
      </c>
      <c r="N144" s="4">
        <v>11.632</v>
      </c>
      <c r="O144" s="4">
        <v>11.632</v>
      </c>
      <c r="P144" s="4">
        <v>33</v>
      </c>
      <c r="Q144" s="3" t="s">
        <v>26</v>
      </c>
      <c r="R144" s="3">
        <v>0</v>
      </c>
      <c r="S144" s="3">
        <v>0</v>
      </c>
      <c r="T144" s="3">
        <v>12</v>
      </c>
      <c r="U144" s="3">
        <v>63</v>
      </c>
      <c r="V144" s="4">
        <f>IF(ISERROR(VLOOKUP($S$144,'TAR FIN'!$A$1:$O$85,15,0)),0,VLOOKUP($S$144,'TAR FIN'!$A$1:$O$85,15,0))</f>
        <v>0</v>
      </c>
      <c r="W144" s="4">
        <f>IF(ISERROR(VLOOKUP($T$144,'TAR FIN'!$A$1:$O$85,15,0)),0,VLOOKUP($T$144,'TAR FIN'!$A$1:$O$85,15,0))</f>
        <v>183.06</v>
      </c>
      <c r="X144" s="4">
        <f>IF(ISERROR(VLOOKUP($U$144,'TAR FIN'!$A$1:$O$85,15,0)),0,VLOOKUP($U$144,'TAR FIN'!$A$1:$O$85,15,0))</f>
        <v>175.11</v>
      </c>
      <c r="Y144" s="4"/>
      <c r="Z144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144" s="4">
        <f>('TE BE'!$AB$13+'TE BF'!$AB$13+'TE CVA'!$AB$13)*(1-CUSTOS!$M$35)</f>
        <v>128.26397514640718</v>
      </c>
      <c r="AB144" s="4">
        <f t="shared" si="14"/>
        <v>0</v>
      </c>
      <c r="AC144" s="4">
        <f>(L144-M144)*(W144+X144)+($W$165+$X$165-$W$144-$X$144)*(L144)</f>
        <v>2777.4889600000001</v>
      </c>
      <c r="AD144" s="4">
        <f t="shared" si="15"/>
        <v>0</v>
      </c>
      <c r="AE144" s="4">
        <f ca="1">(L144-M144)*(Z144+AA144)+($Z$165+$AA$165-$Z$144-$AA$144)*(L144)</f>
        <v>2499.4475533909208</v>
      </c>
      <c r="AF144" s="3" t="s">
        <v>598</v>
      </c>
    </row>
    <row r="145" spans="1:32" ht="11.25" customHeight="1" x14ac:dyDescent="0.3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29</v>
      </c>
      <c r="F145" s="3" t="s">
        <v>25</v>
      </c>
      <c r="G145" s="3" t="s">
        <v>25</v>
      </c>
      <c r="H145" s="3" t="s">
        <v>25</v>
      </c>
      <c r="I145" s="6">
        <v>44562</v>
      </c>
      <c r="J145" s="4">
        <v>0</v>
      </c>
      <c r="K145" s="4">
        <v>0</v>
      </c>
      <c r="L145" s="4">
        <v>11.725</v>
      </c>
      <c r="M145" s="4">
        <v>11.725</v>
      </c>
      <c r="N145" s="4">
        <v>11.725</v>
      </c>
      <c r="O145" s="4">
        <v>11.725</v>
      </c>
      <c r="P145" s="4">
        <v>23</v>
      </c>
      <c r="Q145" s="3" t="s">
        <v>26</v>
      </c>
      <c r="R145" s="3">
        <v>0</v>
      </c>
      <c r="S145" s="3">
        <v>0</v>
      </c>
      <c r="T145" s="3">
        <v>12</v>
      </c>
      <c r="U145" s="3">
        <v>63</v>
      </c>
      <c r="V145" s="4">
        <f>IF(ISERROR(VLOOKUP($S$145,'TAR FIN'!$A$1:$O$85,15,0)),0,VLOOKUP($S$145,'TAR FIN'!$A$1:$O$85,15,0))</f>
        <v>0</v>
      </c>
      <c r="W145" s="4">
        <f>IF(ISERROR(VLOOKUP($T$145,'TAR FIN'!$A$1:$O$85,15,0)),0,VLOOKUP($T$145,'TAR FIN'!$A$1:$O$85,15,0))</f>
        <v>183.06</v>
      </c>
      <c r="X145" s="4">
        <f>IF(ISERROR(VLOOKUP($U$145,'TAR FIN'!$A$1:$O$85,15,0)),0,VLOOKUP($U$145,'TAR FIN'!$A$1:$O$85,15,0))</f>
        <v>175.11</v>
      </c>
      <c r="Y145" s="4"/>
      <c r="Z145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145" s="4">
        <f>('TE BE'!$AB$13+'TE BF'!$AB$13+'TE CVA'!$AB$13)*(1-CUSTOS!$M$35)</f>
        <v>128.26397514640718</v>
      </c>
      <c r="AB145" s="4">
        <f t="shared" si="14"/>
        <v>0</v>
      </c>
      <c r="AC145" s="4">
        <f>(L145-M145)*(W145+X145)+($W$165+$X$165-$W$145-$X$145)*(L145)</f>
        <v>2799.6955000000003</v>
      </c>
      <c r="AD145" s="4">
        <f t="shared" si="15"/>
        <v>0</v>
      </c>
      <c r="AE145" s="4">
        <f ca="1">(L145-M145)*(Z145+AA145)+($Z$165+$AA$165-$Z$145-$AA$145)*(L145)</f>
        <v>2519.4311007142837</v>
      </c>
      <c r="AF145" s="3" t="s">
        <v>598</v>
      </c>
    </row>
    <row r="146" spans="1:32" ht="11.25" customHeight="1" x14ac:dyDescent="0.3">
      <c r="A146" s="3" t="s">
        <v>21</v>
      </c>
      <c r="B146" s="3" t="s">
        <v>22</v>
      </c>
      <c r="C146" s="3" t="s">
        <v>23</v>
      </c>
      <c r="D146" s="3" t="s">
        <v>24</v>
      </c>
      <c r="E146" s="3" t="s">
        <v>29</v>
      </c>
      <c r="F146" s="3" t="s">
        <v>25</v>
      </c>
      <c r="G146" s="3" t="s">
        <v>25</v>
      </c>
      <c r="H146" s="3" t="s">
        <v>25</v>
      </c>
      <c r="I146" s="6">
        <v>44593</v>
      </c>
      <c r="J146" s="4">
        <v>0</v>
      </c>
      <c r="K146" s="4">
        <v>0</v>
      </c>
      <c r="L146" s="4">
        <v>17.297000000000001</v>
      </c>
      <c r="M146" s="4">
        <v>17.297000000000001</v>
      </c>
      <c r="N146" s="4">
        <v>17.297000000000001</v>
      </c>
      <c r="O146" s="4">
        <v>17.297000000000001</v>
      </c>
      <c r="P146" s="4">
        <v>27</v>
      </c>
      <c r="Q146" s="3" t="s">
        <v>26</v>
      </c>
      <c r="R146" s="3">
        <v>0</v>
      </c>
      <c r="S146" s="3">
        <v>0</v>
      </c>
      <c r="T146" s="3">
        <v>12</v>
      </c>
      <c r="U146" s="3">
        <v>63</v>
      </c>
      <c r="V146" s="4">
        <f>IF(ISERROR(VLOOKUP($S$146,'TAR FIN'!$A$1:$O$85,15,0)),0,VLOOKUP($S$146,'TAR FIN'!$A$1:$O$85,15,0))</f>
        <v>0</v>
      </c>
      <c r="W146" s="4">
        <f>IF(ISERROR(VLOOKUP($T$146,'TAR FIN'!$A$1:$O$85,15,0)),0,VLOOKUP($T$146,'TAR FIN'!$A$1:$O$85,15,0))</f>
        <v>183.06</v>
      </c>
      <c r="X146" s="4">
        <f>IF(ISERROR(VLOOKUP($U$146,'TAR FIN'!$A$1:$O$85,15,0)),0,VLOOKUP($U$146,'TAR FIN'!$A$1:$O$85,15,0))</f>
        <v>175.11</v>
      </c>
      <c r="Y146" s="4"/>
      <c r="Z146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146" s="4">
        <f>('TE BE'!$AB$13+'TE BF'!$AB$13+'TE CVA'!$AB$13)*(1-CUSTOS!$M$35)</f>
        <v>128.26397514640718</v>
      </c>
      <c r="AB146" s="4">
        <f t="shared" si="14"/>
        <v>0</v>
      </c>
      <c r="AC146" s="4">
        <f>(L146-M146)*(W146+X146)+($W$165+$X$165-$W$146-$X$146)*(L146)</f>
        <v>4130.1776600000003</v>
      </c>
      <c r="AD146" s="4">
        <f t="shared" si="15"/>
        <v>0</v>
      </c>
      <c r="AE146" s="4">
        <f ca="1">(L146-M146)*(Z146+AA146)+($Z$165+$AA$165-$Z$146-$AA$146)*(L146)</f>
        <v>3716.7249252925349</v>
      </c>
      <c r="AF146" s="3" t="s">
        <v>598</v>
      </c>
    </row>
    <row r="147" spans="1:32" ht="11.25" customHeight="1" x14ac:dyDescent="0.3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29</v>
      </c>
      <c r="F147" s="3" t="s">
        <v>25</v>
      </c>
      <c r="G147" s="3" t="s">
        <v>25</v>
      </c>
      <c r="H147" s="3" t="s">
        <v>25</v>
      </c>
      <c r="I147" s="6">
        <v>44621</v>
      </c>
      <c r="J147" s="4">
        <v>0</v>
      </c>
      <c r="K147" s="4">
        <v>0</v>
      </c>
      <c r="L147" s="4">
        <v>17.948</v>
      </c>
      <c r="M147" s="4">
        <v>17.948</v>
      </c>
      <c r="N147" s="4">
        <v>17.948</v>
      </c>
      <c r="O147" s="4">
        <v>17.948</v>
      </c>
      <c r="P147" s="4">
        <v>32</v>
      </c>
      <c r="Q147" s="3" t="s">
        <v>26</v>
      </c>
      <c r="R147" s="3">
        <v>0</v>
      </c>
      <c r="S147" s="3">
        <v>0</v>
      </c>
      <c r="T147" s="3">
        <v>12</v>
      </c>
      <c r="U147" s="3">
        <v>63</v>
      </c>
      <c r="V147" s="4">
        <f>IF(ISERROR(VLOOKUP($S$147,'TAR FIN'!$A$1:$O$85,15,0)),0,VLOOKUP($S$147,'TAR FIN'!$A$1:$O$85,15,0))</f>
        <v>0</v>
      </c>
      <c r="W147" s="4">
        <f>IF(ISERROR(VLOOKUP($T$147,'TAR FIN'!$A$1:$O$85,15,0)),0,VLOOKUP($T$147,'TAR FIN'!$A$1:$O$85,15,0))</f>
        <v>183.06</v>
      </c>
      <c r="X147" s="4">
        <f>IF(ISERROR(VLOOKUP($U$147,'TAR FIN'!$A$1:$O$85,15,0)),0,VLOOKUP($U$147,'TAR FIN'!$A$1:$O$85,15,0))</f>
        <v>175.11</v>
      </c>
      <c r="Y147" s="4"/>
      <c r="Z147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147" s="4">
        <f>('TE BE'!$AB$13+'TE BF'!$AB$13+'TE CVA'!$AB$13)*(1-CUSTOS!$M$35)</f>
        <v>128.26397514640718</v>
      </c>
      <c r="AB147" s="4">
        <f t="shared" si="14"/>
        <v>0</v>
      </c>
      <c r="AC147" s="4">
        <f>(L147-M147)*(W147+X147)+($W$165+$X$165-$W$147-$X$147)*(L147)</f>
        <v>4285.6234400000003</v>
      </c>
      <c r="AD147" s="4">
        <f t="shared" si="15"/>
        <v>0</v>
      </c>
      <c r="AE147" s="4">
        <f ca="1">(L147-M147)*(Z147+AA147)+($Z$165+$AA$165-$Z$147-$AA$147)*(L147)</f>
        <v>3856.609756556074</v>
      </c>
      <c r="AF147" s="3" t="s">
        <v>598</v>
      </c>
    </row>
    <row r="148" spans="1:32" ht="11.25" customHeight="1" x14ac:dyDescent="0.3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29</v>
      </c>
      <c r="F148" s="3" t="s">
        <v>25</v>
      </c>
      <c r="G148" s="3" t="s">
        <v>25</v>
      </c>
      <c r="H148" s="3" t="s">
        <v>25</v>
      </c>
      <c r="I148" s="6">
        <v>44652</v>
      </c>
      <c r="J148" s="4">
        <v>0</v>
      </c>
      <c r="K148" s="4">
        <v>0</v>
      </c>
      <c r="L148" s="4">
        <v>18.116</v>
      </c>
      <c r="M148" s="4">
        <v>18.116</v>
      </c>
      <c r="N148" s="4">
        <v>18.116</v>
      </c>
      <c r="O148" s="4">
        <v>18.116</v>
      </c>
      <c r="P148" s="4">
        <v>38</v>
      </c>
      <c r="Q148" s="3" t="s">
        <v>26</v>
      </c>
      <c r="R148" s="3">
        <v>0</v>
      </c>
      <c r="S148" s="3">
        <v>0</v>
      </c>
      <c r="T148" s="3">
        <v>12</v>
      </c>
      <c r="U148" s="3">
        <v>63</v>
      </c>
      <c r="V148" s="4">
        <f>IF(ISERROR(VLOOKUP($S$148,'TAR FIN'!$A$1:$O$85,15,0)),0,VLOOKUP($S$148,'TAR FIN'!$A$1:$O$85,15,0))</f>
        <v>0</v>
      </c>
      <c r="W148" s="4">
        <f>IF(ISERROR(VLOOKUP($T$148,'TAR FIN'!$A$1:$O$85,15,0)),0,VLOOKUP($T$148,'TAR FIN'!$A$1:$O$85,15,0))</f>
        <v>183.06</v>
      </c>
      <c r="X148" s="4">
        <f>IF(ISERROR(VLOOKUP($U$148,'TAR FIN'!$A$1:$O$85,15,0)),0,VLOOKUP($U$148,'TAR FIN'!$A$1:$O$85,15,0))</f>
        <v>175.11</v>
      </c>
      <c r="Y148" s="4"/>
      <c r="Z148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148" s="4">
        <f>('TE BE'!$AB$13+'TE BF'!$AB$13+'TE CVA'!$AB$13)*(1-CUSTOS!$M$35)</f>
        <v>128.26397514640718</v>
      </c>
      <c r="AB148" s="4">
        <f t="shared" si="14"/>
        <v>0</v>
      </c>
      <c r="AC148" s="4">
        <f>(L148-M148)*(W148+X148)+($W$165+$X$165-$W$148-$X$148)*(L148)</f>
        <v>4325.7384800000009</v>
      </c>
      <c r="AD148" s="4">
        <f t="shared" si="15"/>
        <v>0</v>
      </c>
      <c r="AE148" s="4">
        <f ca="1">(L148-M148)*(Z148+AA148)+($Z$165+$AA$165-$Z$148-$AA$148)*(L148)</f>
        <v>3892.7090678498903</v>
      </c>
      <c r="AF148" s="3" t="s">
        <v>598</v>
      </c>
    </row>
    <row r="149" spans="1:32" ht="11.25" customHeight="1" x14ac:dyDescent="0.3">
      <c r="A149" s="3" t="s">
        <v>21</v>
      </c>
      <c r="B149" s="3" t="s">
        <v>22</v>
      </c>
      <c r="C149" s="3" t="s">
        <v>23</v>
      </c>
      <c r="D149" s="3" t="s">
        <v>24</v>
      </c>
      <c r="E149" s="3" t="s">
        <v>29</v>
      </c>
      <c r="F149" s="3" t="s">
        <v>25</v>
      </c>
      <c r="G149" s="3" t="s">
        <v>25</v>
      </c>
      <c r="H149" s="3" t="s">
        <v>25</v>
      </c>
      <c r="I149" s="6">
        <v>44682</v>
      </c>
      <c r="J149" s="4">
        <v>0</v>
      </c>
      <c r="K149" s="4">
        <v>0</v>
      </c>
      <c r="L149" s="4">
        <v>19.456</v>
      </c>
      <c r="M149" s="4">
        <v>19.456</v>
      </c>
      <c r="N149" s="4">
        <v>19.456</v>
      </c>
      <c r="O149" s="4">
        <v>19.456</v>
      </c>
      <c r="P149" s="4">
        <v>50</v>
      </c>
      <c r="Q149" s="3" t="s">
        <v>26</v>
      </c>
      <c r="R149" s="3">
        <v>0</v>
      </c>
      <c r="S149" s="3">
        <v>0</v>
      </c>
      <c r="T149" s="3">
        <v>12</v>
      </c>
      <c r="U149" s="3">
        <v>63</v>
      </c>
      <c r="V149" s="4">
        <f>IF(ISERROR(VLOOKUP($S$149,'TAR FIN'!$A$1:$O$85,15,0)),0,VLOOKUP($S$149,'TAR FIN'!$A$1:$O$85,15,0))</f>
        <v>0</v>
      </c>
      <c r="W149" s="4">
        <f>IF(ISERROR(VLOOKUP($T$149,'TAR FIN'!$A$1:$O$85,15,0)),0,VLOOKUP($T$149,'TAR FIN'!$A$1:$O$85,15,0))</f>
        <v>183.06</v>
      </c>
      <c r="X149" s="4">
        <f>IF(ISERROR(VLOOKUP($U$149,'TAR FIN'!$A$1:$O$85,15,0)),0,VLOOKUP($U$149,'TAR FIN'!$A$1:$O$85,15,0))</f>
        <v>175.11</v>
      </c>
      <c r="Y149" s="4"/>
      <c r="Z149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149" s="4">
        <f>('TE BE'!$AB$13+'TE BF'!$AB$13+'TE CVA'!$AB$13)*(1-CUSTOS!$M$35)</f>
        <v>128.26397514640718</v>
      </c>
      <c r="AB149" s="4">
        <f t="shared" si="14"/>
        <v>0</v>
      </c>
      <c r="AC149" s="4">
        <f>(L149-M149)*(W149+X149)+($W$165+$X$165-$W$149-$X$149)*(L149)</f>
        <v>4645.7036800000005</v>
      </c>
      <c r="AD149" s="4">
        <f t="shared" si="15"/>
        <v>0</v>
      </c>
      <c r="AE149" s="4">
        <f ca="1">(L149-M149)*(Z149+AA149)+($Z$165+$AA$165-$Z$149-$AA$149)*(L149)</f>
        <v>4180.6440507886655</v>
      </c>
      <c r="AF149" s="3" t="s">
        <v>598</v>
      </c>
    </row>
    <row r="150" spans="1:32" ht="11.25" customHeight="1" x14ac:dyDescent="0.3">
      <c r="A150" s="3" t="s">
        <v>21</v>
      </c>
      <c r="B150" s="3" t="s">
        <v>22</v>
      </c>
      <c r="C150" s="3" t="s">
        <v>23</v>
      </c>
      <c r="D150" s="3" t="s">
        <v>24</v>
      </c>
      <c r="E150" s="3" t="s">
        <v>29</v>
      </c>
      <c r="F150" s="3" t="s">
        <v>25</v>
      </c>
      <c r="G150" s="3" t="s">
        <v>25</v>
      </c>
      <c r="H150" s="3" t="s">
        <v>25</v>
      </c>
      <c r="I150" s="6">
        <v>44713</v>
      </c>
      <c r="J150" s="4">
        <v>0</v>
      </c>
      <c r="K150" s="4">
        <v>0</v>
      </c>
      <c r="L150" s="4">
        <v>18.814</v>
      </c>
      <c r="M150" s="4">
        <v>18.814</v>
      </c>
      <c r="N150" s="4">
        <v>18.814</v>
      </c>
      <c r="O150" s="4">
        <v>18.814</v>
      </c>
      <c r="P150" s="4">
        <v>41</v>
      </c>
      <c r="Q150" s="3" t="s">
        <v>26</v>
      </c>
      <c r="R150" s="3">
        <v>0</v>
      </c>
      <c r="S150" s="3">
        <v>0</v>
      </c>
      <c r="T150" s="3">
        <v>12</v>
      </c>
      <c r="U150" s="3">
        <v>63</v>
      </c>
      <c r="V150" s="4">
        <f>IF(ISERROR(VLOOKUP($S$150,'TAR FIN'!$A$1:$O$85,15,0)),0,VLOOKUP($S$150,'TAR FIN'!$A$1:$O$85,15,0))</f>
        <v>0</v>
      </c>
      <c r="W150" s="4">
        <f>IF(ISERROR(VLOOKUP($T$150,'TAR FIN'!$A$1:$O$85,15,0)),0,VLOOKUP($T$150,'TAR FIN'!$A$1:$O$85,15,0))</f>
        <v>183.06</v>
      </c>
      <c r="X150" s="4">
        <f>IF(ISERROR(VLOOKUP($U$150,'TAR FIN'!$A$1:$O$85,15,0)),0,VLOOKUP($U$150,'TAR FIN'!$A$1:$O$85,15,0))</f>
        <v>175.11</v>
      </c>
      <c r="Y150" s="4"/>
      <c r="Z150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150" s="4">
        <f>('TE BE'!$AB$13+'TE BF'!$AB$13+'TE CVA'!$AB$13)*(1-CUSTOS!$M$35)</f>
        <v>128.26397514640718</v>
      </c>
      <c r="AB150" s="4">
        <f t="shared" si="14"/>
        <v>0</v>
      </c>
      <c r="AC150" s="4">
        <f>(L150-M150)*(W150+X150)+($W$165+$X$165-$W$150-$X$150)*(L150)</f>
        <v>4492.4069200000004</v>
      </c>
      <c r="AD150" s="4">
        <f t="shared" si="15"/>
        <v>0</v>
      </c>
      <c r="AE150" s="4">
        <f ca="1">(L150-M150)*(Z150+AA150)+($Z$165+$AA$165-$Z$150-$AA$150)*(L150)</f>
        <v>4042.6931112015809</v>
      </c>
      <c r="AF150" s="3" t="s">
        <v>598</v>
      </c>
    </row>
    <row r="151" spans="1:32" ht="11.25" customHeight="1" x14ac:dyDescent="0.3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29</v>
      </c>
      <c r="F151" s="3" t="s">
        <v>25</v>
      </c>
      <c r="G151" s="3" t="s">
        <v>25</v>
      </c>
      <c r="H151" s="3" t="s">
        <v>25</v>
      </c>
      <c r="I151" s="6">
        <v>44743</v>
      </c>
      <c r="J151" s="4">
        <v>0</v>
      </c>
      <c r="K151" s="4">
        <v>0</v>
      </c>
      <c r="L151" s="4">
        <v>16.195</v>
      </c>
      <c r="M151" s="4">
        <v>16.195</v>
      </c>
      <c r="N151" s="4">
        <v>16.195</v>
      </c>
      <c r="O151" s="4">
        <v>16.195</v>
      </c>
      <c r="P151" s="4">
        <v>47</v>
      </c>
      <c r="Q151" s="3" t="s">
        <v>26</v>
      </c>
      <c r="R151" s="3">
        <v>0</v>
      </c>
      <c r="S151" s="3">
        <v>0</v>
      </c>
      <c r="T151" s="3">
        <v>12</v>
      </c>
      <c r="U151" s="3">
        <v>63</v>
      </c>
      <c r="V151" s="4">
        <f>IF(ISERROR(VLOOKUP($S$151,'TAR FIN'!$A$1:$O$85,15,0)),0,VLOOKUP($S$151,'TAR FIN'!$A$1:$O$85,15,0))</f>
        <v>0</v>
      </c>
      <c r="W151" s="4">
        <f>IF(ISERROR(VLOOKUP($T$151,'TAR FIN'!$A$1:$O$85,15,0)),0,VLOOKUP($T$151,'TAR FIN'!$A$1:$O$85,15,0))</f>
        <v>183.06</v>
      </c>
      <c r="X151" s="4">
        <f>IF(ISERROR(VLOOKUP($U$151,'TAR FIN'!$A$1:$O$85,15,0)),0,VLOOKUP($U$151,'TAR FIN'!$A$1:$O$85,15,0))</f>
        <v>175.11</v>
      </c>
      <c r="Y151" s="4"/>
      <c r="Z151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151" s="4">
        <f>('TE BE'!$AB$13+'TE BF'!$AB$13+'TE CVA'!$AB$13)*(1-CUSTOS!$M$35)</f>
        <v>128.26397514640718</v>
      </c>
      <c r="AB151" s="4">
        <f t="shared" si="14"/>
        <v>0</v>
      </c>
      <c r="AC151" s="4">
        <f>(L151-M151)*(W151+X151)+($W$165+$X$165-$W$151-$X$151)*(L151)</f>
        <v>3867.0421000000006</v>
      </c>
      <c r="AD151" s="4">
        <f t="shared" si="15"/>
        <v>0</v>
      </c>
      <c r="AE151" s="4">
        <f ca="1">(L151-M151)*(Z151+AA151)+($Z$165+$AA$165-$Z$151-$AA$151)*(L151)</f>
        <v>3479.9306333533327</v>
      </c>
      <c r="AF151" s="3" t="s">
        <v>598</v>
      </c>
    </row>
    <row r="152" spans="1:32" ht="11.25" customHeight="1" x14ac:dyDescent="0.3">
      <c r="A152" s="3" t="s">
        <v>53</v>
      </c>
      <c r="B152" s="3" t="s">
        <v>22</v>
      </c>
      <c r="C152" s="3" t="s">
        <v>23</v>
      </c>
      <c r="D152" s="3" t="s">
        <v>24</v>
      </c>
      <c r="E152" s="3" t="s">
        <v>29</v>
      </c>
      <c r="F152" s="3" t="s">
        <v>25</v>
      </c>
      <c r="G152" s="3" t="s">
        <v>25</v>
      </c>
      <c r="H152" s="3" t="s">
        <v>25</v>
      </c>
      <c r="I152" s="6">
        <v>44774</v>
      </c>
      <c r="J152" s="4">
        <v>0</v>
      </c>
      <c r="K152" s="4">
        <v>0</v>
      </c>
      <c r="L152" s="4">
        <v>16.195</v>
      </c>
      <c r="M152" s="4">
        <v>16.195</v>
      </c>
      <c r="N152" s="4">
        <v>16.195</v>
      </c>
      <c r="O152" s="4">
        <v>16.195</v>
      </c>
      <c r="P152" s="4">
        <v>47</v>
      </c>
      <c r="Q152" s="3" t="s">
        <v>26</v>
      </c>
      <c r="R152" s="3">
        <v>0</v>
      </c>
      <c r="S152" s="3">
        <v>0</v>
      </c>
      <c r="T152" s="3">
        <v>12</v>
      </c>
      <c r="U152" s="3">
        <v>63</v>
      </c>
      <c r="V152" s="4">
        <f>IF(ISERROR(VLOOKUP($S$152,'TAR FIN'!$A$1:$O$85,15,0)),0,VLOOKUP($S$152,'TAR FIN'!$A$1:$O$85,15,0))</f>
        <v>0</v>
      </c>
      <c r="W152" s="4">
        <f>IF(ISERROR(VLOOKUP($T$152,'TAR FIN'!$A$1:$O$85,15,0)),0,VLOOKUP($T$152,'TAR FIN'!$A$1:$O$85,15,0))</f>
        <v>183.06</v>
      </c>
      <c r="X152" s="4">
        <f>IF(ISERROR(VLOOKUP($U$152,'TAR FIN'!$A$1:$O$85,15,0)),0,VLOOKUP($U$152,'TAR FIN'!$A$1:$O$85,15,0))</f>
        <v>175.11</v>
      </c>
      <c r="Y152" s="4"/>
      <c r="Z152" s="4">
        <f ca="1">('TUSD BE'!$AM$22+'TUSD BF'!$AM$22+'TUSD CVA'!$AM$22-('TUSD BE'!$P$22+'TUSD BF'!$P$22+'TUSD CVA'!$P$22)-('TUSD BE'!$Q$22+'TUSD BF'!$Q$22+'TUSD CVA'!$Q$22)-('TUSD BE'!$R$22+'TUSD BF'!$R$22+'TUSD CVA'!$R$22))*(1-CUSTOS!$M$35)</f>
        <v>194.05130426266959</v>
      </c>
      <c r="AA152" s="4">
        <f>('TE BE'!$AB$13+'TE BF'!$AB$13+'TE CVA'!$AB$13)*(1-CUSTOS!$M$35)</f>
        <v>128.26397514640718</v>
      </c>
      <c r="AB152" s="4">
        <f t="shared" si="14"/>
        <v>0</v>
      </c>
      <c r="AC152" s="4">
        <f>(L152-M152)*(W152+X152)+($W$165+$X$165-$W$152-$X$152)*(L152)</f>
        <v>3867.0421000000006</v>
      </c>
      <c r="AD152" s="4">
        <f t="shared" si="15"/>
        <v>0</v>
      </c>
      <c r="AE152" s="4">
        <f ca="1">(L152-M152)*(Z152+AA152)+($Z$165+$AA$165-$Z$152-$AA$152)*(L152)</f>
        <v>3479.9306333533327</v>
      </c>
      <c r="AF152" s="3" t="s">
        <v>598</v>
      </c>
    </row>
    <row r="153" spans="1:32" ht="11.25" customHeight="1" x14ac:dyDescent="0.3">
      <c r="A153" s="3" t="s">
        <v>21</v>
      </c>
      <c r="B153" s="3" t="s">
        <v>22</v>
      </c>
      <c r="C153" s="3" t="s">
        <v>23</v>
      </c>
      <c r="D153" s="3" t="s">
        <v>24</v>
      </c>
      <c r="E153" s="3" t="s">
        <v>30</v>
      </c>
      <c r="F153" s="3" t="s">
        <v>25</v>
      </c>
      <c r="G153" s="3" t="s">
        <v>25</v>
      </c>
      <c r="H153" s="3" t="s">
        <v>25</v>
      </c>
      <c r="I153" s="6">
        <v>44440</v>
      </c>
      <c r="J153" s="4">
        <v>0</v>
      </c>
      <c r="K153" s="4">
        <v>0</v>
      </c>
      <c r="L153" s="4">
        <v>12.407999999999999</v>
      </c>
      <c r="M153" s="4">
        <v>12.407999999999999</v>
      </c>
      <c r="N153" s="4">
        <v>12.407999999999999</v>
      </c>
      <c r="O153" s="4">
        <v>12.407999999999999</v>
      </c>
      <c r="P153" s="4">
        <v>98</v>
      </c>
      <c r="Q153" s="3" t="s">
        <v>26</v>
      </c>
      <c r="R153" s="3">
        <v>0</v>
      </c>
      <c r="S153" s="3">
        <v>0</v>
      </c>
      <c r="T153" s="3">
        <v>2</v>
      </c>
      <c r="U153" s="3">
        <v>60</v>
      </c>
      <c r="V153" s="4">
        <f>IF(ISERROR(VLOOKUP($S$153,'TAR FIN'!$A$1:$O$85,15,0)),0,VLOOKUP($S$153,'TAR FIN'!$A$1:$O$85,15,0))</f>
        <v>0</v>
      </c>
      <c r="W153" s="4">
        <f>IF(ISERROR(VLOOKUP($T$153,'TAR FIN'!$A$1:$O$85,15,0)),0,VLOOKUP($T$153,'TAR FIN'!$A$1:$O$85,15,0))</f>
        <v>274.58999999999997</v>
      </c>
      <c r="X153" s="4">
        <f>IF(ISERROR(VLOOKUP($U$153,'TAR FIN'!$A$1:$O$85,15,0)),0,VLOOKUP($U$153,'TAR FIN'!$A$1:$O$85,15,0))</f>
        <v>262.67</v>
      </c>
      <c r="Y153" s="4"/>
      <c r="Z153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153" s="4">
        <f>('TE BE'!$AB$14+'TE BF'!$AB$14+'TE CVA'!$AB$14)*(1-CUSTOS!$M$36)</f>
        <v>192.39596271961076</v>
      </c>
      <c r="AB153" s="4">
        <f t="shared" si="14"/>
        <v>0</v>
      </c>
      <c r="AC153" s="4">
        <f>(L153-M153)*(W153+X153)+($W$165+$X$165-$W$153-$X$153)*(L153)</f>
        <v>740.63352000000066</v>
      </c>
      <c r="AD153" s="4">
        <f t="shared" si="15"/>
        <v>0</v>
      </c>
      <c r="AE153" s="4">
        <f ca="1">(L153-M153)*(Z153+AA153)+($Z$165+$AA$165-$Z$153-$AA$153)*(L153)</f>
        <v>666.5479978179709</v>
      </c>
      <c r="AF153" s="3" t="s">
        <v>598</v>
      </c>
    </row>
    <row r="154" spans="1:32" ht="11.25" customHeight="1" x14ac:dyDescent="0.3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30</v>
      </c>
      <c r="F154" s="3" t="s">
        <v>25</v>
      </c>
      <c r="G154" s="3" t="s">
        <v>25</v>
      </c>
      <c r="H154" s="3" t="s">
        <v>25</v>
      </c>
      <c r="I154" s="6">
        <v>44470</v>
      </c>
      <c r="J154" s="4">
        <v>0</v>
      </c>
      <c r="K154" s="4">
        <v>0</v>
      </c>
      <c r="L154" s="4">
        <v>12.455</v>
      </c>
      <c r="M154" s="4">
        <v>12.455</v>
      </c>
      <c r="N154" s="4">
        <v>12.455</v>
      </c>
      <c r="O154" s="4">
        <v>12.455</v>
      </c>
      <c r="P154" s="4">
        <v>98</v>
      </c>
      <c r="Q154" s="3" t="s">
        <v>26</v>
      </c>
      <c r="R154" s="3">
        <v>0</v>
      </c>
      <c r="S154" s="3">
        <v>0</v>
      </c>
      <c r="T154" s="3">
        <v>2</v>
      </c>
      <c r="U154" s="3">
        <v>60</v>
      </c>
      <c r="V154" s="4">
        <f>IF(ISERROR(VLOOKUP($S$154,'TAR FIN'!$A$1:$O$85,15,0)),0,VLOOKUP($S$154,'TAR FIN'!$A$1:$O$85,15,0))</f>
        <v>0</v>
      </c>
      <c r="W154" s="4">
        <f>IF(ISERROR(VLOOKUP($T$154,'TAR FIN'!$A$1:$O$85,15,0)),0,VLOOKUP($T$154,'TAR FIN'!$A$1:$O$85,15,0))</f>
        <v>274.58999999999997</v>
      </c>
      <c r="X154" s="4">
        <f>IF(ISERROR(VLOOKUP($U$154,'TAR FIN'!$A$1:$O$85,15,0)),0,VLOOKUP($U$154,'TAR FIN'!$A$1:$O$85,15,0))</f>
        <v>262.67</v>
      </c>
      <c r="Y154" s="4"/>
      <c r="Z154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154" s="4">
        <f>('TE BE'!$AB$14+'TE BF'!$AB$14+'TE CVA'!$AB$14)*(1-CUSTOS!$M$36)</f>
        <v>192.39596271961076</v>
      </c>
      <c r="AB154" s="4">
        <f t="shared" si="14"/>
        <v>0</v>
      </c>
      <c r="AC154" s="4">
        <f>(L154-M154)*(W154+X154)+($W$165+$X$165-$W$154-$X$154)*(L154)</f>
        <v>743.43895000000066</v>
      </c>
      <c r="AD154" s="4">
        <f t="shared" si="15"/>
        <v>0</v>
      </c>
      <c r="AE154" s="4">
        <f ca="1">(L154-M154)*(Z154+AA154)+($Z$165+$AA$165-$Z$154-$AA$154)*(L154)</f>
        <v>669.07280084000865</v>
      </c>
      <c r="AF154" s="3" t="s">
        <v>598</v>
      </c>
    </row>
    <row r="155" spans="1:32" ht="11.25" customHeight="1" x14ac:dyDescent="0.3">
      <c r="A155" s="3" t="s">
        <v>21</v>
      </c>
      <c r="B155" s="3" t="s">
        <v>22</v>
      </c>
      <c r="C155" s="3" t="s">
        <v>23</v>
      </c>
      <c r="D155" s="3" t="s">
        <v>24</v>
      </c>
      <c r="E155" s="3" t="s">
        <v>30</v>
      </c>
      <c r="F155" s="3" t="s">
        <v>25</v>
      </c>
      <c r="G155" s="3" t="s">
        <v>25</v>
      </c>
      <c r="H155" s="3" t="s">
        <v>25</v>
      </c>
      <c r="I155" s="6">
        <v>44501</v>
      </c>
      <c r="J155" s="4">
        <v>0</v>
      </c>
      <c r="K155" s="4">
        <v>0</v>
      </c>
      <c r="L155" s="4">
        <v>13.506</v>
      </c>
      <c r="M155" s="4">
        <v>13.506</v>
      </c>
      <c r="N155" s="4">
        <v>13.506</v>
      </c>
      <c r="O155" s="4">
        <v>13.506</v>
      </c>
      <c r="P155" s="4">
        <v>101</v>
      </c>
      <c r="Q155" s="3" t="s">
        <v>26</v>
      </c>
      <c r="R155" s="3">
        <v>0</v>
      </c>
      <c r="S155" s="3">
        <v>0</v>
      </c>
      <c r="T155" s="3">
        <v>2</v>
      </c>
      <c r="U155" s="3">
        <v>60</v>
      </c>
      <c r="V155" s="4">
        <f>IF(ISERROR(VLOOKUP($S$155,'TAR FIN'!$A$1:$O$85,15,0)),0,VLOOKUP($S$155,'TAR FIN'!$A$1:$O$85,15,0))</f>
        <v>0</v>
      </c>
      <c r="W155" s="4">
        <f>IF(ISERROR(VLOOKUP($T$155,'TAR FIN'!$A$1:$O$85,15,0)),0,VLOOKUP($T$155,'TAR FIN'!$A$1:$O$85,15,0))</f>
        <v>274.58999999999997</v>
      </c>
      <c r="X155" s="4">
        <f>IF(ISERROR(VLOOKUP($U$155,'TAR FIN'!$A$1:$O$85,15,0)),0,VLOOKUP($U$155,'TAR FIN'!$A$1:$O$85,15,0))</f>
        <v>262.67</v>
      </c>
      <c r="Y155" s="4"/>
      <c r="Z155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155" s="4">
        <f>('TE BE'!$AB$14+'TE BF'!$AB$14+'TE CVA'!$AB$14)*(1-CUSTOS!$M$36)</f>
        <v>192.39596271961076</v>
      </c>
      <c r="AB155" s="4">
        <f t="shared" si="14"/>
        <v>0</v>
      </c>
      <c r="AC155" s="4">
        <f>(L155-M155)*(W155+X155)+($W$165+$X$165-$W$155-$X$155)*(L155)</f>
        <v>806.17314000000079</v>
      </c>
      <c r="AD155" s="4">
        <f t="shared" si="15"/>
        <v>0</v>
      </c>
      <c r="AE155" s="4">
        <f ca="1">(L155-M155)*(Z155+AA155)+($Z$165+$AA$165-$Z$155-$AA$155)*(L155)</f>
        <v>725.53169394983195</v>
      </c>
      <c r="AF155" s="3" t="s">
        <v>598</v>
      </c>
    </row>
    <row r="156" spans="1:32" ht="11.25" customHeight="1" x14ac:dyDescent="0.3">
      <c r="A156" s="3" t="s">
        <v>21</v>
      </c>
      <c r="B156" s="3" t="s">
        <v>22</v>
      </c>
      <c r="C156" s="3" t="s">
        <v>23</v>
      </c>
      <c r="D156" s="3" t="s">
        <v>24</v>
      </c>
      <c r="E156" s="3" t="s">
        <v>30</v>
      </c>
      <c r="F156" s="3" t="s">
        <v>25</v>
      </c>
      <c r="G156" s="3" t="s">
        <v>25</v>
      </c>
      <c r="H156" s="3" t="s">
        <v>25</v>
      </c>
      <c r="I156" s="6">
        <v>44531</v>
      </c>
      <c r="J156" s="4">
        <v>0</v>
      </c>
      <c r="K156" s="4">
        <v>0</v>
      </c>
      <c r="L156" s="4">
        <v>11.481999999999999</v>
      </c>
      <c r="M156" s="4">
        <v>11.481999999999999</v>
      </c>
      <c r="N156" s="4">
        <v>11.481999999999999</v>
      </c>
      <c r="O156" s="4">
        <v>11.481999999999999</v>
      </c>
      <c r="P156" s="4">
        <v>97</v>
      </c>
      <c r="Q156" s="3" t="s">
        <v>26</v>
      </c>
      <c r="R156" s="3">
        <v>0</v>
      </c>
      <c r="S156" s="3">
        <v>0</v>
      </c>
      <c r="T156" s="3">
        <v>2</v>
      </c>
      <c r="U156" s="3">
        <v>60</v>
      </c>
      <c r="V156" s="4">
        <f>IF(ISERROR(VLOOKUP($S$156,'TAR FIN'!$A$1:$O$85,15,0)),0,VLOOKUP($S$156,'TAR FIN'!$A$1:$O$85,15,0))</f>
        <v>0</v>
      </c>
      <c r="W156" s="4">
        <f>IF(ISERROR(VLOOKUP($T$156,'TAR FIN'!$A$1:$O$85,15,0)),0,VLOOKUP($T$156,'TAR FIN'!$A$1:$O$85,15,0))</f>
        <v>274.58999999999997</v>
      </c>
      <c r="X156" s="4">
        <f>IF(ISERROR(VLOOKUP($U$156,'TAR FIN'!$A$1:$O$85,15,0)),0,VLOOKUP($U$156,'TAR FIN'!$A$1:$O$85,15,0))</f>
        <v>262.67</v>
      </c>
      <c r="Y156" s="4"/>
      <c r="Z156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156" s="4">
        <f>('TE BE'!$AB$14+'TE BF'!$AB$14+'TE CVA'!$AB$14)*(1-CUSTOS!$M$36)</f>
        <v>192.39596271961076</v>
      </c>
      <c r="AB156" s="4">
        <f t="shared" si="14"/>
        <v>0</v>
      </c>
      <c r="AC156" s="4">
        <f>(L156-M156)*(W156+X156)+($W$165+$X$165-$W$156-$X$156)*(L156)</f>
        <v>685.3605800000006</v>
      </c>
      <c r="AD156" s="4">
        <f t="shared" si="15"/>
        <v>0</v>
      </c>
      <c r="AE156" s="4">
        <f ca="1">(L156-M156)*(Z156+AA156)+($Z$165+$AA$165-$Z$156-$AA$156)*(L156)</f>
        <v>616.80400636250329</v>
      </c>
      <c r="AF156" s="3" t="s">
        <v>598</v>
      </c>
    </row>
    <row r="157" spans="1:32" ht="11.25" customHeight="1" x14ac:dyDescent="0.3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30</v>
      </c>
      <c r="F157" s="3" t="s">
        <v>25</v>
      </c>
      <c r="G157" s="3" t="s">
        <v>25</v>
      </c>
      <c r="H157" s="3" t="s">
        <v>25</v>
      </c>
      <c r="I157" s="6">
        <v>44562</v>
      </c>
      <c r="J157" s="4">
        <v>0</v>
      </c>
      <c r="K157" s="4">
        <v>0</v>
      </c>
      <c r="L157" s="4">
        <v>13.247999999999999</v>
      </c>
      <c r="M157" s="4">
        <v>13.247999999999999</v>
      </c>
      <c r="N157" s="4">
        <v>13.247999999999999</v>
      </c>
      <c r="O157" s="4">
        <v>13.247999999999999</v>
      </c>
      <c r="P157" s="4">
        <v>93</v>
      </c>
      <c r="Q157" s="3" t="s">
        <v>26</v>
      </c>
      <c r="R157" s="3">
        <v>0</v>
      </c>
      <c r="S157" s="3">
        <v>0</v>
      </c>
      <c r="T157" s="3">
        <v>2</v>
      </c>
      <c r="U157" s="3">
        <v>60</v>
      </c>
      <c r="V157" s="4">
        <f>IF(ISERROR(VLOOKUP($S$157,'TAR FIN'!$A$1:$O$85,15,0)),0,VLOOKUP($S$157,'TAR FIN'!$A$1:$O$85,15,0))</f>
        <v>0</v>
      </c>
      <c r="W157" s="4">
        <f>IF(ISERROR(VLOOKUP($T$157,'TAR FIN'!$A$1:$O$85,15,0)),0,VLOOKUP($T$157,'TAR FIN'!$A$1:$O$85,15,0))</f>
        <v>274.58999999999997</v>
      </c>
      <c r="X157" s="4">
        <f>IF(ISERROR(VLOOKUP($U$157,'TAR FIN'!$A$1:$O$85,15,0)),0,VLOOKUP($U$157,'TAR FIN'!$A$1:$O$85,15,0))</f>
        <v>262.67</v>
      </c>
      <c r="Y157" s="4"/>
      <c r="Z157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157" s="4">
        <f>('TE BE'!$AB$14+'TE BF'!$AB$14+'TE CVA'!$AB$14)*(1-CUSTOS!$M$36)</f>
        <v>192.39596271961076</v>
      </c>
      <c r="AB157" s="4">
        <f t="shared" si="14"/>
        <v>0</v>
      </c>
      <c r="AC157" s="4">
        <f>(L157-M157)*(W157+X157)+($W$165+$X$165-$W$157-$X$157)*(L157)</f>
        <v>790.77312000000063</v>
      </c>
      <c r="AD157" s="4">
        <f t="shared" si="15"/>
        <v>0</v>
      </c>
      <c r="AE157" s="4">
        <f ca="1">(L157-M157)*(Z157+AA157)+($Z$165+$AA$165-$Z$157-$AA$157)*(L157)</f>
        <v>711.67213693524161</v>
      </c>
      <c r="AF157" s="3" t="s">
        <v>598</v>
      </c>
    </row>
    <row r="158" spans="1:32" ht="11.25" customHeight="1" x14ac:dyDescent="0.3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30</v>
      </c>
      <c r="F158" s="3" t="s">
        <v>25</v>
      </c>
      <c r="G158" s="3" t="s">
        <v>25</v>
      </c>
      <c r="H158" s="3" t="s">
        <v>25</v>
      </c>
      <c r="I158" s="6">
        <v>44593</v>
      </c>
      <c r="J158" s="4">
        <v>0</v>
      </c>
      <c r="K158" s="4">
        <v>0</v>
      </c>
      <c r="L158" s="4">
        <v>22.48</v>
      </c>
      <c r="M158" s="4">
        <v>22.48</v>
      </c>
      <c r="N158" s="4">
        <v>22.48</v>
      </c>
      <c r="O158" s="4">
        <v>22.48</v>
      </c>
      <c r="P158" s="4">
        <v>100</v>
      </c>
      <c r="Q158" s="3" t="s">
        <v>26</v>
      </c>
      <c r="R158" s="3">
        <v>0</v>
      </c>
      <c r="S158" s="3">
        <v>0</v>
      </c>
      <c r="T158" s="3">
        <v>2</v>
      </c>
      <c r="U158" s="3">
        <v>60</v>
      </c>
      <c r="V158" s="4">
        <f>IF(ISERROR(VLOOKUP($S$158,'TAR FIN'!$A$1:$O$85,15,0)),0,VLOOKUP($S$158,'TAR FIN'!$A$1:$O$85,15,0))</f>
        <v>0</v>
      </c>
      <c r="W158" s="4">
        <f>IF(ISERROR(VLOOKUP($T$158,'TAR FIN'!$A$1:$O$85,15,0)),0,VLOOKUP($T$158,'TAR FIN'!$A$1:$O$85,15,0))</f>
        <v>274.58999999999997</v>
      </c>
      <c r="X158" s="4">
        <f>IF(ISERROR(VLOOKUP($U$158,'TAR FIN'!$A$1:$O$85,15,0)),0,VLOOKUP($U$158,'TAR FIN'!$A$1:$O$85,15,0))</f>
        <v>262.67</v>
      </c>
      <c r="Y158" s="4"/>
      <c r="Z158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158" s="4">
        <f>('TE BE'!$AB$14+'TE BF'!$AB$14+'TE CVA'!$AB$14)*(1-CUSTOS!$M$36)</f>
        <v>192.39596271961076</v>
      </c>
      <c r="AB158" s="4">
        <f t="shared" si="14"/>
        <v>0</v>
      </c>
      <c r="AC158" s="4">
        <f>(L158-M158)*(W158+X158)+($W$165+$X$165-$W$158-$X$158)*(L158)</f>
        <v>1341.8312000000012</v>
      </c>
      <c r="AD158" s="4">
        <f t="shared" si="15"/>
        <v>0</v>
      </c>
      <c r="AE158" s="4">
        <f ca="1">(L158-M158)*(Z158+AA158)+($Z$165+$AA$165-$Z$158-$AA$158)*(L158)</f>
        <v>1207.6079135193411</v>
      </c>
      <c r="AF158" s="3" t="s">
        <v>598</v>
      </c>
    </row>
    <row r="159" spans="1:32" ht="11.25" customHeight="1" x14ac:dyDescent="0.3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30</v>
      </c>
      <c r="F159" s="3" t="s">
        <v>25</v>
      </c>
      <c r="G159" s="3" t="s">
        <v>25</v>
      </c>
      <c r="H159" s="3" t="s">
        <v>25</v>
      </c>
      <c r="I159" s="6">
        <v>44621</v>
      </c>
      <c r="J159" s="4">
        <v>0</v>
      </c>
      <c r="K159" s="4">
        <v>0</v>
      </c>
      <c r="L159" s="4">
        <v>21.47</v>
      </c>
      <c r="M159" s="4">
        <v>21.47</v>
      </c>
      <c r="N159" s="4">
        <v>21.47</v>
      </c>
      <c r="O159" s="4">
        <v>21.47</v>
      </c>
      <c r="P159" s="4">
        <v>126</v>
      </c>
      <c r="Q159" s="3" t="s">
        <v>26</v>
      </c>
      <c r="R159" s="3">
        <v>0</v>
      </c>
      <c r="S159" s="3">
        <v>0</v>
      </c>
      <c r="T159" s="3">
        <v>2</v>
      </c>
      <c r="U159" s="3">
        <v>60</v>
      </c>
      <c r="V159" s="4">
        <f>IF(ISERROR(VLOOKUP($S$159,'TAR FIN'!$A$1:$O$85,15,0)),0,VLOOKUP($S$159,'TAR FIN'!$A$1:$O$85,15,0))</f>
        <v>0</v>
      </c>
      <c r="W159" s="4">
        <f>IF(ISERROR(VLOOKUP($T$159,'TAR FIN'!$A$1:$O$85,15,0)),0,VLOOKUP($T$159,'TAR FIN'!$A$1:$O$85,15,0))</f>
        <v>274.58999999999997</v>
      </c>
      <c r="X159" s="4">
        <f>IF(ISERROR(VLOOKUP($U$159,'TAR FIN'!$A$1:$O$85,15,0)),0,VLOOKUP($U$159,'TAR FIN'!$A$1:$O$85,15,0))</f>
        <v>262.67</v>
      </c>
      <c r="Y159" s="4"/>
      <c r="Z159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159" s="4">
        <f>('TE BE'!$AB$14+'TE BF'!$AB$14+'TE CVA'!$AB$14)*(1-CUSTOS!$M$36)</f>
        <v>192.39596271961076</v>
      </c>
      <c r="AB159" s="4">
        <f t="shared" si="14"/>
        <v>0</v>
      </c>
      <c r="AC159" s="4">
        <f>(L159-M159)*(W159+X159)+($W$165+$X$165-$W$159-$X$159)*(L159)</f>
        <v>1281.5443000000012</v>
      </c>
      <c r="AD159" s="4">
        <f t="shared" si="15"/>
        <v>0</v>
      </c>
      <c r="AE159" s="4">
        <f ca="1">(L159-M159)*(Z159+AA159)+($Z$165+$AA$165-$Z$159-$AA$159)*(L159)</f>
        <v>1153.3515081521466</v>
      </c>
      <c r="AF159" s="3" t="s">
        <v>598</v>
      </c>
    </row>
    <row r="160" spans="1:32" ht="11.25" customHeight="1" x14ac:dyDescent="0.3">
      <c r="A160" s="3" t="s">
        <v>21</v>
      </c>
      <c r="B160" s="3" t="s">
        <v>22</v>
      </c>
      <c r="C160" s="3" t="s">
        <v>23</v>
      </c>
      <c r="D160" s="3" t="s">
        <v>24</v>
      </c>
      <c r="E160" s="3" t="s">
        <v>30</v>
      </c>
      <c r="F160" s="3" t="s">
        <v>25</v>
      </c>
      <c r="G160" s="3" t="s">
        <v>25</v>
      </c>
      <c r="H160" s="3" t="s">
        <v>25</v>
      </c>
      <c r="I160" s="6">
        <v>44652</v>
      </c>
      <c r="J160" s="4">
        <v>0</v>
      </c>
      <c r="K160" s="4">
        <v>0</v>
      </c>
      <c r="L160" s="4">
        <v>18.599</v>
      </c>
      <c r="M160" s="4">
        <v>18.599</v>
      </c>
      <c r="N160" s="4">
        <v>18.599</v>
      </c>
      <c r="O160" s="4">
        <v>18.599</v>
      </c>
      <c r="P160" s="4">
        <v>161</v>
      </c>
      <c r="Q160" s="3" t="s">
        <v>26</v>
      </c>
      <c r="R160" s="3">
        <v>0</v>
      </c>
      <c r="S160" s="3">
        <v>0</v>
      </c>
      <c r="T160" s="3">
        <v>2</v>
      </c>
      <c r="U160" s="3">
        <v>60</v>
      </c>
      <c r="V160" s="4">
        <f>IF(ISERROR(VLOOKUP($S$160,'TAR FIN'!$A$1:$O$85,15,0)),0,VLOOKUP($S$160,'TAR FIN'!$A$1:$O$85,15,0))</f>
        <v>0</v>
      </c>
      <c r="W160" s="4">
        <f>IF(ISERROR(VLOOKUP($T$160,'TAR FIN'!$A$1:$O$85,15,0)),0,VLOOKUP($T$160,'TAR FIN'!$A$1:$O$85,15,0))</f>
        <v>274.58999999999997</v>
      </c>
      <c r="X160" s="4">
        <f>IF(ISERROR(VLOOKUP($U$160,'TAR FIN'!$A$1:$O$85,15,0)),0,VLOOKUP($U$160,'TAR FIN'!$A$1:$O$85,15,0))</f>
        <v>262.67</v>
      </c>
      <c r="Y160" s="4"/>
      <c r="Z160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160" s="4">
        <f>('TE BE'!$AB$14+'TE BF'!$AB$14+'TE CVA'!$AB$14)*(1-CUSTOS!$M$36)</f>
        <v>192.39596271961076</v>
      </c>
      <c r="AB160" s="4">
        <f t="shared" si="14"/>
        <v>0</v>
      </c>
      <c r="AC160" s="4">
        <f>(L160-M160)*(W160+X160)+($W$165+$X$165-$W$160-$X$160)*(L160)</f>
        <v>1110.174310000001</v>
      </c>
      <c r="AD160" s="4">
        <f t="shared" si="15"/>
        <v>0</v>
      </c>
      <c r="AE160" s="4">
        <f ca="1">(L160-M160)*(Z160+AA160)+($Z$165+$AA$165-$Z$160-$AA$160)*(L160)</f>
        <v>999.12364695490328</v>
      </c>
      <c r="AF160" s="3" t="s">
        <v>598</v>
      </c>
    </row>
    <row r="161" spans="1:32" ht="11.25" customHeight="1" x14ac:dyDescent="0.3">
      <c r="A161" s="3" t="s">
        <v>21</v>
      </c>
      <c r="B161" s="3" t="s">
        <v>22</v>
      </c>
      <c r="C161" s="3" t="s">
        <v>23</v>
      </c>
      <c r="D161" s="3" t="s">
        <v>24</v>
      </c>
      <c r="E161" s="3" t="s">
        <v>30</v>
      </c>
      <c r="F161" s="3" t="s">
        <v>25</v>
      </c>
      <c r="G161" s="3" t="s">
        <v>25</v>
      </c>
      <c r="H161" s="3" t="s">
        <v>25</v>
      </c>
      <c r="I161" s="6">
        <v>44682</v>
      </c>
      <c r="J161" s="4">
        <v>0</v>
      </c>
      <c r="K161" s="4">
        <v>0</v>
      </c>
      <c r="L161" s="4">
        <v>19.41</v>
      </c>
      <c r="M161" s="4">
        <v>19.41</v>
      </c>
      <c r="N161" s="4">
        <v>19.41</v>
      </c>
      <c r="O161" s="4">
        <v>19.41</v>
      </c>
      <c r="P161" s="4">
        <v>170</v>
      </c>
      <c r="Q161" s="3" t="s">
        <v>26</v>
      </c>
      <c r="R161" s="3">
        <v>0</v>
      </c>
      <c r="S161" s="3">
        <v>0</v>
      </c>
      <c r="T161" s="3">
        <v>2</v>
      </c>
      <c r="U161" s="3">
        <v>60</v>
      </c>
      <c r="V161" s="4">
        <f>IF(ISERROR(VLOOKUP($S$161,'TAR FIN'!$A$1:$O$85,15,0)),0,VLOOKUP($S$161,'TAR FIN'!$A$1:$O$85,15,0))</f>
        <v>0</v>
      </c>
      <c r="W161" s="4">
        <f>IF(ISERROR(VLOOKUP($T$161,'TAR FIN'!$A$1:$O$85,15,0)),0,VLOOKUP($T$161,'TAR FIN'!$A$1:$O$85,15,0))</f>
        <v>274.58999999999997</v>
      </c>
      <c r="X161" s="4">
        <f>IF(ISERROR(VLOOKUP($U$161,'TAR FIN'!$A$1:$O$85,15,0)),0,VLOOKUP($U$161,'TAR FIN'!$A$1:$O$85,15,0))</f>
        <v>262.67</v>
      </c>
      <c r="Y161" s="4"/>
      <c r="Z161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161" s="4">
        <f>('TE BE'!$AB$14+'TE BF'!$AB$14+'TE CVA'!$AB$14)*(1-CUSTOS!$M$36)</f>
        <v>192.39596271961076</v>
      </c>
      <c r="AB161" s="4">
        <f t="shared" si="14"/>
        <v>0</v>
      </c>
      <c r="AC161" s="4">
        <f>(L161-M161)*(W161+X161)+($W$165+$X$165-$W$161-$X$161)*(L161)</f>
        <v>1158.582900000001</v>
      </c>
      <c r="AD161" s="4">
        <f t="shared" si="15"/>
        <v>0</v>
      </c>
      <c r="AE161" s="4">
        <f ca="1">(L161-M161)*(Z161+AA161)+($Z$165+$AA$165-$Z$161-$AA$161)*(L161)</f>
        <v>1042.6899288883635</v>
      </c>
      <c r="AF161" s="3" t="s">
        <v>598</v>
      </c>
    </row>
    <row r="162" spans="1:32" ht="11.25" customHeight="1" x14ac:dyDescent="0.3">
      <c r="A162" s="3" t="s">
        <v>21</v>
      </c>
      <c r="B162" s="3" t="s">
        <v>22</v>
      </c>
      <c r="C162" s="3" t="s">
        <v>23</v>
      </c>
      <c r="D162" s="3" t="s">
        <v>24</v>
      </c>
      <c r="E162" s="3" t="s">
        <v>30</v>
      </c>
      <c r="F162" s="3" t="s">
        <v>25</v>
      </c>
      <c r="G162" s="3" t="s">
        <v>25</v>
      </c>
      <c r="H162" s="3" t="s">
        <v>25</v>
      </c>
      <c r="I162" s="6">
        <v>44713</v>
      </c>
      <c r="J162" s="4">
        <v>0</v>
      </c>
      <c r="K162" s="4">
        <v>0</v>
      </c>
      <c r="L162" s="4">
        <v>20.244</v>
      </c>
      <c r="M162" s="4">
        <v>20.244</v>
      </c>
      <c r="N162" s="4">
        <v>20.244</v>
      </c>
      <c r="O162" s="4">
        <v>20.244</v>
      </c>
      <c r="P162" s="4">
        <v>153</v>
      </c>
      <c r="Q162" s="3" t="s">
        <v>26</v>
      </c>
      <c r="R162" s="3">
        <v>0</v>
      </c>
      <c r="S162" s="3">
        <v>0</v>
      </c>
      <c r="T162" s="3">
        <v>2</v>
      </c>
      <c r="U162" s="3">
        <v>60</v>
      </c>
      <c r="V162" s="4">
        <f>IF(ISERROR(VLOOKUP($S$162,'TAR FIN'!$A$1:$O$85,15,0)),0,VLOOKUP($S$162,'TAR FIN'!$A$1:$O$85,15,0))</f>
        <v>0</v>
      </c>
      <c r="W162" s="4">
        <f>IF(ISERROR(VLOOKUP($T$162,'TAR FIN'!$A$1:$O$85,15,0)),0,VLOOKUP($T$162,'TAR FIN'!$A$1:$O$85,15,0))</f>
        <v>274.58999999999997</v>
      </c>
      <c r="X162" s="4">
        <f>IF(ISERROR(VLOOKUP($U$162,'TAR FIN'!$A$1:$O$85,15,0)),0,VLOOKUP($U$162,'TAR FIN'!$A$1:$O$85,15,0))</f>
        <v>262.67</v>
      </c>
      <c r="Y162" s="4"/>
      <c r="Z162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162" s="4">
        <f>('TE BE'!$AB$14+'TE BF'!$AB$14+'TE CVA'!$AB$14)*(1-CUSTOS!$M$36)</f>
        <v>192.39596271961076</v>
      </c>
      <c r="AB162" s="4">
        <f t="shared" si="14"/>
        <v>0</v>
      </c>
      <c r="AC162" s="4">
        <f>(L162-M162)*(W162+X162)+($W$165+$X$165-$W$162-$X$162)*(L162)</f>
        <v>1208.3643600000012</v>
      </c>
      <c r="AD162" s="4">
        <f t="shared" si="15"/>
        <v>0</v>
      </c>
      <c r="AE162" s="4">
        <f ca="1">(L162-M162)*(Z162+AA162)+($Z$165+$AA$165-$Z$162-$AA$162)*(L162)</f>
        <v>1087.4917527262253</v>
      </c>
      <c r="AF162" s="3" t="s">
        <v>598</v>
      </c>
    </row>
    <row r="163" spans="1:32" ht="11.25" customHeight="1" x14ac:dyDescent="0.3">
      <c r="A163" s="3" t="s">
        <v>21</v>
      </c>
      <c r="B163" s="3" t="s">
        <v>22</v>
      </c>
      <c r="C163" s="3" t="s">
        <v>23</v>
      </c>
      <c r="D163" s="3" t="s">
        <v>24</v>
      </c>
      <c r="E163" s="3" t="s">
        <v>30</v>
      </c>
      <c r="F163" s="3" t="s">
        <v>25</v>
      </c>
      <c r="G163" s="3" t="s">
        <v>25</v>
      </c>
      <c r="H163" s="3" t="s">
        <v>25</v>
      </c>
      <c r="I163" s="6">
        <v>44743</v>
      </c>
      <c r="J163" s="4">
        <v>0</v>
      </c>
      <c r="K163" s="4">
        <v>0</v>
      </c>
      <c r="L163" s="4">
        <v>17.539000000000001</v>
      </c>
      <c r="M163" s="4">
        <v>17.539000000000001</v>
      </c>
      <c r="N163" s="4">
        <v>17.539000000000001</v>
      </c>
      <c r="O163" s="4">
        <v>17.539000000000001</v>
      </c>
      <c r="P163" s="4">
        <v>123</v>
      </c>
      <c r="Q163" s="3" t="s">
        <v>26</v>
      </c>
      <c r="R163" s="3">
        <v>0</v>
      </c>
      <c r="S163" s="3">
        <v>0</v>
      </c>
      <c r="T163" s="3">
        <v>2</v>
      </c>
      <c r="U163" s="3">
        <v>60</v>
      </c>
      <c r="V163" s="4">
        <f>IF(ISERROR(VLOOKUP($S$163,'TAR FIN'!$A$1:$O$85,15,0)),0,VLOOKUP($S$163,'TAR FIN'!$A$1:$O$85,15,0))</f>
        <v>0</v>
      </c>
      <c r="W163" s="4">
        <f>IF(ISERROR(VLOOKUP($T$163,'TAR FIN'!$A$1:$O$85,15,0)),0,VLOOKUP($T$163,'TAR FIN'!$A$1:$O$85,15,0))</f>
        <v>274.58999999999997</v>
      </c>
      <c r="X163" s="4">
        <f>IF(ISERROR(VLOOKUP($U$163,'TAR FIN'!$A$1:$O$85,15,0)),0,VLOOKUP($U$163,'TAR FIN'!$A$1:$O$85,15,0))</f>
        <v>262.67</v>
      </c>
      <c r="Y163" s="4"/>
      <c r="Z163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163" s="4">
        <f>('TE BE'!$AB$14+'TE BF'!$AB$14+'TE CVA'!$AB$14)*(1-CUSTOS!$M$36)</f>
        <v>192.39596271961076</v>
      </c>
      <c r="AB163" s="4">
        <f t="shared" si="14"/>
        <v>0</v>
      </c>
      <c r="AC163" s="4">
        <f>(L163-M163)*(W163+X163)+($W$165+$X$165-$W$163-$X$163)*(L163)</f>
        <v>1046.9029100000012</v>
      </c>
      <c r="AD163" s="4">
        <f t="shared" si="15"/>
        <v>0</v>
      </c>
      <c r="AE163" s="4">
        <f ca="1">(L163-M163)*(Z163+AA163)+($Z$165+$AA$165-$Z$163-$AA$163)*(L163)</f>
        <v>942.18128092596646</v>
      </c>
      <c r="AF163" s="3" t="s">
        <v>598</v>
      </c>
    </row>
    <row r="164" spans="1:32" ht="11.25" customHeight="1" x14ac:dyDescent="0.3">
      <c r="A164" s="3" t="s">
        <v>53</v>
      </c>
      <c r="B164" s="3" t="s">
        <v>22</v>
      </c>
      <c r="C164" s="3" t="s">
        <v>23</v>
      </c>
      <c r="D164" s="3" t="s">
        <v>24</v>
      </c>
      <c r="E164" s="3" t="s">
        <v>30</v>
      </c>
      <c r="F164" s="3" t="s">
        <v>25</v>
      </c>
      <c r="G164" s="3" t="s">
        <v>25</v>
      </c>
      <c r="H164" s="3" t="s">
        <v>25</v>
      </c>
      <c r="I164" s="6">
        <v>44774</v>
      </c>
      <c r="J164" s="4">
        <v>0</v>
      </c>
      <c r="K164" s="4">
        <v>0</v>
      </c>
      <c r="L164" s="4">
        <v>17.539000000000001</v>
      </c>
      <c r="M164" s="4">
        <v>17.539000000000001</v>
      </c>
      <c r="N164" s="4">
        <v>17.539000000000001</v>
      </c>
      <c r="O164" s="4">
        <v>17.539000000000001</v>
      </c>
      <c r="P164" s="4">
        <v>123</v>
      </c>
      <c r="Q164" s="3" t="s">
        <v>26</v>
      </c>
      <c r="R164" s="3">
        <v>0</v>
      </c>
      <c r="S164" s="3">
        <v>0</v>
      </c>
      <c r="T164" s="3">
        <v>2</v>
      </c>
      <c r="U164" s="3">
        <v>60</v>
      </c>
      <c r="V164" s="4">
        <f>IF(ISERROR(VLOOKUP($S$164,'TAR FIN'!$A$1:$O$85,15,0)),0,VLOOKUP($S$164,'TAR FIN'!$A$1:$O$85,15,0))</f>
        <v>0</v>
      </c>
      <c r="W164" s="4">
        <f>IF(ISERROR(VLOOKUP($T$164,'TAR FIN'!$A$1:$O$85,15,0)),0,VLOOKUP($T$164,'TAR FIN'!$A$1:$O$85,15,0))</f>
        <v>274.58999999999997</v>
      </c>
      <c r="X164" s="4">
        <f>IF(ISERROR(VLOOKUP($U$164,'TAR FIN'!$A$1:$O$85,15,0)),0,VLOOKUP($U$164,'TAR FIN'!$A$1:$O$85,15,0))</f>
        <v>262.67</v>
      </c>
      <c r="Y164" s="4"/>
      <c r="Z164" s="4">
        <f ca="1">('TUSD BE'!$AM$23+'TUSD BF'!$AM$23+'TUSD CVA'!$AM$23-('TUSD BE'!$P$23+'TUSD BF'!$P$23+'TUSD CVA'!$P$23)-('TUSD BE'!$Q$23+'TUSD BF'!$Q$23+'TUSD CVA'!$Q$23)-('TUSD BE'!$R$23+'TUSD BF'!$R$23+'TUSD CVA'!$R$23))*(1-CUSTOS!$M$36)</f>
        <v>291.07695639400441</v>
      </c>
      <c r="AA164" s="4">
        <f>('TE BE'!$AB$14+'TE BF'!$AB$14+'TE CVA'!$AB$14)*(1-CUSTOS!$M$36)</f>
        <v>192.39596271961076</v>
      </c>
      <c r="AB164" s="4">
        <f t="shared" si="14"/>
        <v>0</v>
      </c>
      <c r="AC164" s="4">
        <f>(L164-M164)*(W164+X164)+($W$165+$X$165-$W$164-$X$164)*(L164)</f>
        <v>1046.9029100000012</v>
      </c>
      <c r="AD164" s="4">
        <f t="shared" si="15"/>
        <v>0</v>
      </c>
      <c r="AE164" s="4">
        <f ca="1">(L164-M164)*(Z164+AA164)+($Z$165+$AA$165-$Z$164-$AA$164)*(L164)</f>
        <v>942.18128092596646</v>
      </c>
      <c r="AF164" s="3" t="s">
        <v>598</v>
      </c>
    </row>
    <row r="165" spans="1:32" ht="11.25" customHeight="1" x14ac:dyDescent="0.3">
      <c r="A165" s="3" t="s">
        <v>21</v>
      </c>
      <c r="B165" s="3" t="s">
        <v>22</v>
      </c>
      <c r="C165" s="3" t="s">
        <v>23</v>
      </c>
      <c r="D165" s="3" t="s">
        <v>24</v>
      </c>
      <c r="E165" s="3" t="s">
        <v>31</v>
      </c>
      <c r="F165" s="3" t="s">
        <v>25</v>
      </c>
      <c r="G165" s="3" t="s">
        <v>25</v>
      </c>
      <c r="H165" s="3" t="s">
        <v>25</v>
      </c>
      <c r="I165" s="6">
        <v>44440</v>
      </c>
      <c r="J165" s="4">
        <v>0</v>
      </c>
      <c r="K165" s="4">
        <v>0</v>
      </c>
      <c r="L165" s="4">
        <v>3.452</v>
      </c>
      <c r="M165" s="4">
        <v>3.452</v>
      </c>
      <c r="N165" s="4">
        <v>3.452</v>
      </c>
      <c r="O165" s="4">
        <v>3.452</v>
      </c>
      <c r="P165" s="4">
        <v>53</v>
      </c>
      <c r="Q165" s="3" t="s">
        <v>26</v>
      </c>
      <c r="R165" s="3">
        <v>0</v>
      </c>
      <c r="S165" s="3">
        <v>0</v>
      </c>
      <c r="T165" s="3">
        <v>6</v>
      </c>
      <c r="U165" s="3">
        <v>54</v>
      </c>
      <c r="V165" s="4">
        <f>IF(ISERROR(VLOOKUP($S$165,'TAR FIN'!$A$1:$O$85,15,0)),0,VLOOKUP($S$165,'TAR FIN'!$A$1:$O$85,15,0))</f>
        <v>0</v>
      </c>
      <c r="W165" s="4">
        <f>IF(ISERROR(VLOOKUP($T$165,'TAR FIN'!$A$1:$O$85,15,0)),0,VLOOKUP($T$165,'TAR FIN'!$A$1:$O$85,15,0))</f>
        <v>305.10000000000002</v>
      </c>
      <c r="X165" s="4">
        <f>IF(ISERROR(VLOOKUP($U$165,'TAR FIN'!$A$1:$O$85,15,0)),0,VLOOKUP($U$165,'TAR FIN'!$A$1:$O$85,15,0))</f>
        <v>291.85000000000002</v>
      </c>
      <c r="Y165" s="4"/>
      <c r="Z165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165" s="4">
        <f>('TE BE'!$AB$15+'TE BF'!$AB$15+'TE CVA'!$AB$15)*(1-CUSTOS!$M$37)</f>
        <v>213.77329191067864</v>
      </c>
      <c r="AB165" s="4">
        <f t="shared" si="14"/>
        <v>0</v>
      </c>
      <c r="AC165" s="4">
        <f>(L165-M165)*(W165+X165)+($W$165+$X$165-$W$165-$X$165)*(L165)</f>
        <v>0</v>
      </c>
      <c r="AD165" s="4">
        <f t="shared" si="15"/>
        <v>0</v>
      </c>
      <c r="AE165" s="4">
        <f ca="1">(L165-M165)*(Z165+AA165)+($Z$165+$AA$165-$Z$165-$AA$165)*(L165)</f>
        <v>9.8111740953754632E-14</v>
      </c>
      <c r="AF165" s="3" t="s">
        <v>598</v>
      </c>
    </row>
    <row r="166" spans="1:32" ht="11.25" customHeight="1" x14ac:dyDescent="0.3">
      <c r="A166" s="3" t="s">
        <v>21</v>
      </c>
      <c r="B166" s="3" t="s">
        <v>22</v>
      </c>
      <c r="C166" s="3" t="s">
        <v>23</v>
      </c>
      <c r="D166" s="3" t="s">
        <v>24</v>
      </c>
      <c r="E166" s="3" t="s">
        <v>31</v>
      </c>
      <c r="F166" s="3" t="s">
        <v>25</v>
      </c>
      <c r="G166" s="3" t="s">
        <v>25</v>
      </c>
      <c r="H166" s="3" t="s">
        <v>25</v>
      </c>
      <c r="I166" s="6">
        <v>44470</v>
      </c>
      <c r="J166" s="4">
        <v>0</v>
      </c>
      <c r="K166" s="4">
        <v>0</v>
      </c>
      <c r="L166" s="4">
        <v>4.0410000000000004</v>
      </c>
      <c r="M166" s="4">
        <v>4.0410000000000004</v>
      </c>
      <c r="N166" s="4">
        <v>4.0410000000000004</v>
      </c>
      <c r="O166" s="4">
        <v>4.0410000000000004</v>
      </c>
      <c r="P166" s="4">
        <v>57</v>
      </c>
      <c r="Q166" s="3" t="s">
        <v>26</v>
      </c>
      <c r="R166" s="3">
        <v>0</v>
      </c>
      <c r="S166" s="3">
        <v>0</v>
      </c>
      <c r="T166" s="3">
        <v>6</v>
      </c>
      <c r="U166" s="3">
        <v>54</v>
      </c>
      <c r="V166" s="4">
        <f>IF(ISERROR(VLOOKUP($S$166,'TAR FIN'!$A$1:$O$85,15,0)),0,VLOOKUP($S$166,'TAR FIN'!$A$1:$O$85,15,0))</f>
        <v>0</v>
      </c>
      <c r="W166" s="4">
        <f>IF(ISERROR(VLOOKUP($T$166,'TAR FIN'!$A$1:$O$85,15,0)),0,VLOOKUP($T$166,'TAR FIN'!$A$1:$O$85,15,0))</f>
        <v>305.10000000000002</v>
      </c>
      <c r="X166" s="4">
        <f>IF(ISERROR(VLOOKUP($U$166,'TAR FIN'!$A$1:$O$85,15,0)),0,VLOOKUP($U$166,'TAR FIN'!$A$1:$O$85,15,0))</f>
        <v>291.85000000000002</v>
      </c>
      <c r="Y166" s="4"/>
      <c r="Z166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166" s="4">
        <f>('TE BE'!$AB$15+'TE BF'!$AB$15+'TE CVA'!$AB$15)*(1-CUSTOS!$M$37)</f>
        <v>213.77329191067864</v>
      </c>
      <c r="AB166" s="4">
        <f t="shared" si="14"/>
        <v>0</v>
      </c>
      <c r="AC166" s="4">
        <f>(L166-M166)*(W166+X166)+($W$165+$X$165-$W$166-$X$166)*(L166)</f>
        <v>0</v>
      </c>
      <c r="AD166" s="4">
        <f t="shared" si="15"/>
        <v>0</v>
      </c>
      <c r="AE166" s="4">
        <f ca="1">(L166-M166)*(Z166+AA166)+($Z$165+$AA$165-$Z$166-$AA$166)*(L166)</f>
        <v>1.148521278082626E-13</v>
      </c>
      <c r="AF166" s="3" t="s">
        <v>598</v>
      </c>
    </row>
    <row r="167" spans="1:32" ht="11.25" customHeight="1" x14ac:dyDescent="0.3">
      <c r="A167" s="3" t="s">
        <v>21</v>
      </c>
      <c r="B167" s="3" t="s">
        <v>22</v>
      </c>
      <c r="C167" s="3" t="s">
        <v>23</v>
      </c>
      <c r="D167" s="3" t="s">
        <v>24</v>
      </c>
      <c r="E167" s="3" t="s">
        <v>31</v>
      </c>
      <c r="F167" s="3" t="s">
        <v>25</v>
      </c>
      <c r="G167" s="3" t="s">
        <v>25</v>
      </c>
      <c r="H167" s="3" t="s">
        <v>25</v>
      </c>
      <c r="I167" s="6">
        <v>44501</v>
      </c>
      <c r="J167" s="4">
        <v>0</v>
      </c>
      <c r="K167" s="4">
        <v>0</v>
      </c>
      <c r="L167" s="4">
        <v>4.5439999999999996</v>
      </c>
      <c r="M167" s="4">
        <v>4.5439999999999996</v>
      </c>
      <c r="N167" s="4">
        <v>4.5439999999999996</v>
      </c>
      <c r="O167" s="4">
        <v>4.5439999999999996</v>
      </c>
      <c r="P167" s="4">
        <v>59</v>
      </c>
      <c r="Q167" s="3" t="s">
        <v>26</v>
      </c>
      <c r="R167" s="3">
        <v>0</v>
      </c>
      <c r="S167" s="3">
        <v>0</v>
      </c>
      <c r="T167" s="3">
        <v>6</v>
      </c>
      <c r="U167" s="3">
        <v>54</v>
      </c>
      <c r="V167" s="4">
        <f>IF(ISERROR(VLOOKUP($S$167,'TAR FIN'!$A$1:$O$85,15,0)),0,VLOOKUP($S$167,'TAR FIN'!$A$1:$O$85,15,0))</f>
        <v>0</v>
      </c>
      <c r="W167" s="4">
        <f>IF(ISERROR(VLOOKUP($T$167,'TAR FIN'!$A$1:$O$85,15,0)),0,VLOOKUP($T$167,'TAR FIN'!$A$1:$O$85,15,0))</f>
        <v>305.10000000000002</v>
      </c>
      <c r="X167" s="4">
        <f>IF(ISERROR(VLOOKUP($U$167,'TAR FIN'!$A$1:$O$85,15,0)),0,VLOOKUP($U$167,'TAR FIN'!$A$1:$O$85,15,0))</f>
        <v>291.85000000000002</v>
      </c>
      <c r="Y167" s="4"/>
      <c r="Z167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167" s="4">
        <f>('TE BE'!$AB$15+'TE BF'!$AB$15+'TE CVA'!$AB$15)*(1-CUSTOS!$M$37)</f>
        <v>213.77329191067864</v>
      </c>
      <c r="AB167" s="4">
        <f t="shared" si="14"/>
        <v>0</v>
      </c>
      <c r="AC167" s="4">
        <f>(L167-M167)*(W167+X167)+($W$165+$X$165-$W$167-$X$167)*(L167)</f>
        <v>0</v>
      </c>
      <c r="AD167" s="4">
        <f t="shared" si="15"/>
        <v>0</v>
      </c>
      <c r="AE167" s="4">
        <f ca="1">(L167-M167)*(Z167+AA167)+($Z$165+$AA$165-$Z$167-$AA$167)*(L167)</f>
        <v>1.291482476517558E-13</v>
      </c>
      <c r="AF167" s="3" t="s">
        <v>598</v>
      </c>
    </row>
    <row r="168" spans="1:32" ht="11.25" customHeight="1" x14ac:dyDescent="0.3">
      <c r="A168" s="3" t="s">
        <v>21</v>
      </c>
      <c r="B168" s="3" t="s">
        <v>22</v>
      </c>
      <c r="C168" s="3" t="s">
        <v>23</v>
      </c>
      <c r="D168" s="3" t="s">
        <v>24</v>
      </c>
      <c r="E168" s="3" t="s">
        <v>31</v>
      </c>
      <c r="F168" s="3" t="s">
        <v>25</v>
      </c>
      <c r="G168" s="3" t="s">
        <v>25</v>
      </c>
      <c r="H168" s="3" t="s">
        <v>25</v>
      </c>
      <c r="I168" s="6">
        <v>44531</v>
      </c>
      <c r="J168" s="4">
        <v>0</v>
      </c>
      <c r="K168" s="4">
        <v>0</v>
      </c>
      <c r="L168" s="4">
        <v>2.8109999999999999</v>
      </c>
      <c r="M168" s="4">
        <v>2.8109999999999999</v>
      </c>
      <c r="N168" s="4">
        <v>2.8109999999999999</v>
      </c>
      <c r="O168" s="4">
        <v>2.8109999999999999</v>
      </c>
      <c r="P168" s="4">
        <v>48</v>
      </c>
      <c r="Q168" s="3" t="s">
        <v>26</v>
      </c>
      <c r="R168" s="3">
        <v>0</v>
      </c>
      <c r="S168" s="3">
        <v>0</v>
      </c>
      <c r="T168" s="3">
        <v>6</v>
      </c>
      <c r="U168" s="3">
        <v>54</v>
      </c>
      <c r="V168" s="4">
        <f>IF(ISERROR(VLOOKUP($S$168,'TAR FIN'!$A$1:$O$85,15,0)),0,VLOOKUP($S$168,'TAR FIN'!$A$1:$O$85,15,0))</f>
        <v>0</v>
      </c>
      <c r="W168" s="4">
        <f>IF(ISERROR(VLOOKUP($T$168,'TAR FIN'!$A$1:$O$85,15,0)),0,VLOOKUP($T$168,'TAR FIN'!$A$1:$O$85,15,0))</f>
        <v>305.10000000000002</v>
      </c>
      <c r="X168" s="4">
        <f>IF(ISERROR(VLOOKUP($U$168,'TAR FIN'!$A$1:$O$85,15,0)),0,VLOOKUP($U$168,'TAR FIN'!$A$1:$O$85,15,0))</f>
        <v>291.85000000000002</v>
      </c>
      <c r="Y168" s="4"/>
      <c r="Z168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168" s="4">
        <f>('TE BE'!$AB$15+'TE BF'!$AB$15+'TE CVA'!$AB$15)*(1-CUSTOS!$M$37)</f>
        <v>213.77329191067864</v>
      </c>
      <c r="AB168" s="4">
        <f t="shared" si="14"/>
        <v>0</v>
      </c>
      <c r="AC168" s="4">
        <f>(L168-M168)*(W168+X168)+($W$165+$X$165-$W$168-$X$168)*(L168)</f>
        <v>0</v>
      </c>
      <c r="AD168" s="4">
        <f t="shared" si="15"/>
        <v>0</v>
      </c>
      <c r="AE168" s="4">
        <f ca="1">(L168-M168)*(Z168+AA168)+($Z$165+$AA$165-$Z$168-$AA$168)*(L168)</f>
        <v>7.9893425208865663E-14</v>
      </c>
      <c r="AF168" s="3" t="s">
        <v>598</v>
      </c>
    </row>
    <row r="169" spans="1:32" ht="11.25" customHeight="1" x14ac:dyDescent="0.3">
      <c r="A169" s="3" t="s">
        <v>21</v>
      </c>
      <c r="B169" s="3" t="s">
        <v>22</v>
      </c>
      <c r="C169" s="3" t="s">
        <v>23</v>
      </c>
      <c r="D169" s="3" t="s">
        <v>24</v>
      </c>
      <c r="E169" s="3" t="s">
        <v>31</v>
      </c>
      <c r="F169" s="3" t="s">
        <v>25</v>
      </c>
      <c r="G169" s="3" t="s">
        <v>25</v>
      </c>
      <c r="H169" s="3" t="s">
        <v>25</v>
      </c>
      <c r="I169" s="6">
        <v>44562</v>
      </c>
      <c r="J169" s="4">
        <v>0</v>
      </c>
      <c r="K169" s="4">
        <v>0</v>
      </c>
      <c r="L169" s="4">
        <v>4.9960000000000004</v>
      </c>
      <c r="M169" s="4">
        <v>4.9960000000000004</v>
      </c>
      <c r="N169" s="4">
        <v>4.9960000000000004</v>
      </c>
      <c r="O169" s="4">
        <v>4.9960000000000004</v>
      </c>
      <c r="P169" s="4">
        <v>61</v>
      </c>
      <c r="Q169" s="3" t="s">
        <v>26</v>
      </c>
      <c r="R169" s="3">
        <v>0</v>
      </c>
      <c r="S169" s="3">
        <v>0</v>
      </c>
      <c r="T169" s="3">
        <v>6</v>
      </c>
      <c r="U169" s="3">
        <v>54</v>
      </c>
      <c r="V169" s="4">
        <f>IF(ISERROR(VLOOKUP($S$169,'TAR FIN'!$A$1:$O$85,15,0)),0,VLOOKUP($S$169,'TAR FIN'!$A$1:$O$85,15,0))</f>
        <v>0</v>
      </c>
      <c r="W169" s="4">
        <f>IF(ISERROR(VLOOKUP($T$169,'TAR FIN'!$A$1:$O$85,15,0)),0,VLOOKUP($T$169,'TAR FIN'!$A$1:$O$85,15,0))</f>
        <v>305.10000000000002</v>
      </c>
      <c r="X169" s="4">
        <f>IF(ISERROR(VLOOKUP($U$169,'TAR FIN'!$A$1:$O$85,15,0)),0,VLOOKUP($U$169,'TAR FIN'!$A$1:$O$85,15,0))</f>
        <v>291.85000000000002</v>
      </c>
      <c r="Y169" s="4"/>
      <c r="Z169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169" s="4">
        <f>('TE BE'!$AB$15+'TE BF'!$AB$15+'TE CVA'!$AB$15)*(1-CUSTOS!$M$37)</f>
        <v>213.77329191067864</v>
      </c>
      <c r="AB169" s="4">
        <f t="shared" si="14"/>
        <v>0</v>
      </c>
      <c r="AC169" s="4">
        <f>(L169-M169)*(W169+X169)+($W$165+$X$165-$W$169-$X$169)*(L169)</f>
        <v>0</v>
      </c>
      <c r="AD169" s="4">
        <f t="shared" si="15"/>
        <v>0</v>
      </c>
      <c r="AE169" s="4">
        <f ca="1">(L169-M169)*(Z169+AA169)+($Z$165+$AA$165-$Z$169-$AA$169)*(L169)</f>
        <v>1.4199486031429843E-13</v>
      </c>
      <c r="AF169" s="3" t="s">
        <v>598</v>
      </c>
    </row>
    <row r="170" spans="1:32" ht="11.25" customHeight="1" x14ac:dyDescent="0.3">
      <c r="A170" s="3" t="s">
        <v>21</v>
      </c>
      <c r="B170" s="3" t="s">
        <v>22</v>
      </c>
      <c r="C170" s="3" t="s">
        <v>23</v>
      </c>
      <c r="D170" s="3" t="s">
        <v>24</v>
      </c>
      <c r="E170" s="3" t="s">
        <v>31</v>
      </c>
      <c r="F170" s="3" t="s">
        <v>25</v>
      </c>
      <c r="G170" s="3" t="s">
        <v>25</v>
      </c>
      <c r="H170" s="3" t="s">
        <v>25</v>
      </c>
      <c r="I170" s="6">
        <v>44593</v>
      </c>
      <c r="J170" s="4">
        <v>0</v>
      </c>
      <c r="K170" s="4">
        <v>0</v>
      </c>
      <c r="L170" s="4">
        <v>16.841000000000001</v>
      </c>
      <c r="M170" s="4">
        <v>16.841000000000001</v>
      </c>
      <c r="N170" s="4">
        <v>16.841000000000001</v>
      </c>
      <c r="O170" s="4">
        <v>16.841000000000001</v>
      </c>
      <c r="P170" s="4">
        <v>130</v>
      </c>
      <c r="Q170" s="3" t="s">
        <v>26</v>
      </c>
      <c r="R170" s="3">
        <v>0</v>
      </c>
      <c r="S170" s="3">
        <v>0</v>
      </c>
      <c r="T170" s="3">
        <v>6</v>
      </c>
      <c r="U170" s="3">
        <v>54</v>
      </c>
      <c r="V170" s="4">
        <f>IF(ISERROR(VLOOKUP($S$170,'TAR FIN'!$A$1:$O$85,15,0)),0,VLOOKUP($S$170,'TAR FIN'!$A$1:$O$85,15,0))</f>
        <v>0</v>
      </c>
      <c r="W170" s="4">
        <f>IF(ISERROR(VLOOKUP($T$170,'TAR FIN'!$A$1:$O$85,15,0)),0,VLOOKUP($T$170,'TAR FIN'!$A$1:$O$85,15,0))</f>
        <v>305.10000000000002</v>
      </c>
      <c r="X170" s="4">
        <f>IF(ISERROR(VLOOKUP($U$170,'TAR FIN'!$A$1:$O$85,15,0)),0,VLOOKUP($U$170,'TAR FIN'!$A$1:$O$85,15,0))</f>
        <v>291.85000000000002</v>
      </c>
      <c r="Y170" s="4"/>
      <c r="Z170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170" s="4">
        <f>('TE BE'!$AB$15+'TE BF'!$AB$15+'TE CVA'!$AB$15)*(1-CUSTOS!$M$37)</f>
        <v>213.77329191067864</v>
      </c>
      <c r="AB170" s="4">
        <f t="shared" si="14"/>
        <v>0</v>
      </c>
      <c r="AC170" s="4">
        <f>(L170-M170)*(W170+X170)+($W$165+$X$165-$W$170-$X$170)*(L170)</f>
        <v>0</v>
      </c>
      <c r="AD170" s="4">
        <f t="shared" si="15"/>
        <v>0</v>
      </c>
      <c r="AE170" s="4">
        <f ca="1">(L170-M170)*(Z170+AA170)+($Z$165+$AA$165-$Z$170-$AA$170)*(L170)</f>
        <v>4.7865000851743392E-13</v>
      </c>
      <c r="AF170" s="3" t="s">
        <v>598</v>
      </c>
    </row>
    <row r="171" spans="1:32" ht="11.25" customHeight="1" x14ac:dyDescent="0.3">
      <c r="A171" s="3" t="s">
        <v>21</v>
      </c>
      <c r="B171" s="3" t="s">
        <v>22</v>
      </c>
      <c r="C171" s="3" t="s">
        <v>23</v>
      </c>
      <c r="D171" s="3" t="s">
        <v>24</v>
      </c>
      <c r="E171" s="3" t="s">
        <v>31</v>
      </c>
      <c r="F171" s="3" t="s">
        <v>25</v>
      </c>
      <c r="G171" s="3" t="s">
        <v>25</v>
      </c>
      <c r="H171" s="3" t="s">
        <v>25</v>
      </c>
      <c r="I171" s="6">
        <v>44621</v>
      </c>
      <c r="J171" s="4">
        <v>0</v>
      </c>
      <c r="K171" s="4">
        <v>0</v>
      </c>
      <c r="L171" s="4">
        <v>11.708</v>
      </c>
      <c r="M171" s="4">
        <v>11.708</v>
      </c>
      <c r="N171" s="4">
        <v>11.708</v>
      </c>
      <c r="O171" s="4">
        <v>11.708</v>
      </c>
      <c r="P171" s="4">
        <v>110</v>
      </c>
      <c r="Q171" s="3" t="s">
        <v>26</v>
      </c>
      <c r="R171" s="3">
        <v>0</v>
      </c>
      <c r="S171" s="3">
        <v>0</v>
      </c>
      <c r="T171" s="3">
        <v>6</v>
      </c>
      <c r="U171" s="3">
        <v>54</v>
      </c>
      <c r="V171" s="4">
        <f>IF(ISERROR(VLOOKUP($S$171,'TAR FIN'!$A$1:$O$85,15,0)),0,VLOOKUP($S$171,'TAR FIN'!$A$1:$O$85,15,0))</f>
        <v>0</v>
      </c>
      <c r="W171" s="4">
        <f>IF(ISERROR(VLOOKUP($T$171,'TAR FIN'!$A$1:$O$85,15,0)),0,VLOOKUP($T$171,'TAR FIN'!$A$1:$O$85,15,0))</f>
        <v>305.10000000000002</v>
      </c>
      <c r="X171" s="4">
        <f>IF(ISERROR(VLOOKUP($U$171,'TAR FIN'!$A$1:$O$85,15,0)),0,VLOOKUP($U$171,'TAR FIN'!$A$1:$O$85,15,0))</f>
        <v>291.85000000000002</v>
      </c>
      <c r="Y171" s="4"/>
      <c r="Z171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171" s="4">
        <f>('TE BE'!$AB$15+'TE BF'!$AB$15+'TE CVA'!$AB$15)*(1-CUSTOS!$M$37)</f>
        <v>213.77329191067864</v>
      </c>
      <c r="AB171" s="4">
        <f t="shared" si="14"/>
        <v>0</v>
      </c>
      <c r="AC171" s="4">
        <f>(L171-M171)*(W171+X171)+($W$165+$X$165-$W$171-$X$171)*(L171)</f>
        <v>0</v>
      </c>
      <c r="AD171" s="4">
        <f t="shared" si="15"/>
        <v>0</v>
      </c>
      <c r="AE171" s="4">
        <f ca="1">(L171-M171)*(Z171+AA171)+($Z$165+$AA$165-$Z$171-$AA$171)*(L171)</f>
        <v>3.3276137401117012E-13</v>
      </c>
      <c r="AF171" s="3" t="s">
        <v>598</v>
      </c>
    </row>
    <row r="172" spans="1:32" ht="11.25" customHeight="1" x14ac:dyDescent="0.3">
      <c r="A172" s="3" t="s">
        <v>21</v>
      </c>
      <c r="B172" s="3" t="s">
        <v>22</v>
      </c>
      <c r="C172" s="3" t="s">
        <v>23</v>
      </c>
      <c r="D172" s="3" t="s">
        <v>24</v>
      </c>
      <c r="E172" s="3" t="s">
        <v>31</v>
      </c>
      <c r="F172" s="3" t="s">
        <v>25</v>
      </c>
      <c r="G172" s="3" t="s">
        <v>25</v>
      </c>
      <c r="H172" s="3" t="s">
        <v>25</v>
      </c>
      <c r="I172" s="6">
        <v>44652</v>
      </c>
      <c r="J172" s="4">
        <v>0</v>
      </c>
      <c r="K172" s="4">
        <v>0</v>
      </c>
      <c r="L172" s="4">
        <v>5.2409999999999997</v>
      </c>
      <c r="M172" s="4">
        <v>5.2409999999999997</v>
      </c>
      <c r="N172" s="4">
        <v>5.2409999999999997</v>
      </c>
      <c r="O172" s="4">
        <v>5.2409999999999997</v>
      </c>
      <c r="P172" s="4">
        <v>74</v>
      </c>
      <c r="Q172" s="3" t="s">
        <v>26</v>
      </c>
      <c r="R172" s="3">
        <v>0</v>
      </c>
      <c r="S172" s="3">
        <v>0</v>
      </c>
      <c r="T172" s="3">
        <v>6</v>
      </c>
      <c r="U172" s="3">
        <v>54</v>
      </c>
      <c r="V172" s="4">
        <f>IF(ISERROR(VLOOKUP($S$172,'TAR FIN'!$A$1:$O$85,15,0)),0,VLOOKUP($S$172,'TAR FIN'!$A$1:$O$85,15,0))</f>
        <v>0</v>
      </c>
      <c r="W172" s="4">
        <f>IF(ISERROR(VLOOKUP($T$172,'TAR FIN'!$A$1:$O$85,15,0)),0,VLOOKUP($T$172,'TAR FIN'!$A$1:$O$85,15,0))</f>
        <v>305.10000000000002</v>
      </c>
      <c r="X172" s="4">
        <f>IF(ISERROR(VLOOKUP($U$172,'TAR FIN'!$A$1:$O$85,15,0)),0,VLOOKUP($U$172,'TAR FIN'!$A$1:$O$85,15,0))</f>
        <v>291.85000000000002</v>
      </c>
      <c r="Y172" s="4"/>
      <c r="Z172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172" s="4">
        <f>('TE BE'!$AB$15+'TE BF'!$AB$15+'TE CVA'!$AB$15)*(1-CUSTOS!$M$37)</f>
        <v>213.77329191067864</v>
      </c>
      <c r="AB172" s="4">
        <f t="shared" si="14"/>
        <v>0</v>
      </c>
      <c r="AC172" s="4">
        <f>(L172-M172)*(W172+X172)+($W$165+$X$165-$W$172-$X$172)*(L172)</f>
        <v>0</v>
      </c>
      <c r="AD172" s="4">
        <f t="shared" si="15"/>
        <v>0</v>
      </c>
      <c r="AE172" s="4">
        <f ca="1">(L172-M172)*(Z172+AA172)+($Z$165+$AA$165-$Z$172-$AA$172)*(L172)</f>
        <v>1.4895817912474739E-13</v>
      </c>
      <c r="AF172" s="3" t="s">
        <v>598</v>
      </c>
    </row>
    <row r="173" spans="1:32" ht="11.25" customHeight="1" x14ac:dyDescent="0.3">
      <c r="A173" s="3" t="s">
        <v>21</v>
      </c>
      <c r="B173" s="3" t="s">
        <v>22</v>
      </c>
      <c r="C173" s="3" t="s">
        <v>23</v>
      </c>
      <c r="D173" s="3" t="s">
        <v>24</v>
      </c>
      <c r="E173" s="3" t="s">
        <v>31</v>
      </c>
      <c r="F173" s="3" t="s">
        <v>25</v>
      </c>
      <c r="G173" s="3" t="s">
        <v>25</v>
      </c>
      <c r="H173" s="3" t="s">
        <v>25</v>
      </c>
      <c r="I173" s="6">
        <v>44682</v>
      </c>
      <c r="J173" s="4">
        <v>0</v>
      </c>
      <c r="K173" s="4">
        <v>0</v>
      </c>
      <c r="L173" s="4">
        <v>5.3920000000000003</v>
      </c>
      <c r="M173" s="4">
        <v>5.3920000000000003</v>
      </c>
      <c r="N173" s="4">
        <v>5.3920000000000003</v>
      </c>
      <c r="O173" s="4">
        <v>5.3920000000000003</v>
      </c>
      <c r="P173" s="4">
        <v>79</v>
      </c>
      <c r="Q173" s="3" t="s">
        <v>26</v>
      </c>
      <c r="R173" s="3">
        <v>0</v>
      </c>
      <c r="S173" s="3">
        <v>0</v>
      </c>
      <c r="T173" s="3">
        <v>6</v>
      </c>
      <c r="U173" s="3">
        <v>54</v>
      </c>
      <c r="V173" s="4">
        <f>IF(ISERROR(VLOOKUP($S$173,'TAR FIN'!$A$1:$O$85,15,0)),0,VLOOKUP($S$173,'TAR FIN'!$A$1:$O$85,15,0))</f>
        <v>0</v>
      </c>
      <c r="W173" s="4">
        <f>IF(ISERROR(VLOOKUP($T$173,'TAR FIN'!$A$1:$O$85,15,0)),0,VLOOKUP($T$173,'TAR FIN'!$A$1:$O$85,15,0))</f>
        <v>305.10000000000002</v>
      </c>
      <c r="X173" s="4">
        <f>IF(ISERROR(VLOOKUP($U$173,'TAR FIN'!$A$1:$O$85,15,0)),0,VLOOKUP($U$173,'TAR FIN'!$A$1:$O$85,15,0))</f>
        <v>291.85000000000002</v>
      </c>
      <c r="Y173" s="4"/>
      <c r="Z173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173" s="4">
        <f>('TE BE'!$AB$15+'TE BF'!$AB$15+'TE CVA'!$AB$15)*(1-CUSTOS!$M$37)</f>
        <v>213.77329191067864</v>
      </c>
      <c r="AB173" s="4">
        <f t="shared" si="14"/>
        <v>0</v>
      </c>
      <c r="AC173" s="4">
        <f>(L173-M173)*(W173+X173)+($W$165+$X$165-$W$173-$X$173)*(L173)</f>
        <v>0</v>
      </c>
      <c r="AD173" s="4">
        <f t="shared" si="15"/>
        <v>0</v>
      </c>
      <c r="AE173" s="4">
        <f ca="1">(L173-M173)*(Z173+AA173)+($Z$165+$AA$165-$Z$173-$AA$173)*(L173)</f>
        <v>1.5324985724873842E-13</v>
      </c>
      <c r="AF173" s="3" t="s">
        <v>598</v>
      </c>
    </row>
    <row r="174" spans="1:32" ht="11.25" customHeight="1" x14ac:dyDescent="0.3">
      <c r="A174" s="3" t="s">
        <v>21</v>
      </c>
      <c r="B174" s="3" t="s">
        <v>22</v>
      </c>
      <c r="C174" s="3" t="s">
        <v>23</v>
      </c>
      <c r="D174" s="3" t="s">
        <v>24</v>
      </c>
      <c r="E174" s="3" t="s">
        <v>31</v>
      </c>
      <c r="F174" s="3" t="s">
        <v>25</v>
      </c>
      <c r="G174" s="3" t="s">
        <v>25</v>
      </c>
      <c r="H174" s="3" t="s">
        <v>25</v>
      </c>
      <c r="I174" s="6">
        <v>44713</v>
      </c>
      <c r="J174" s="4">
        <v>0</v>
      </c>
      <c r="K174" s="4">
        <v>0</v>
      </c>
      <c r="L174" s="4">
        <v>8.2720000000000002</v>
      </c>
      <c r="M174" s="4">
        <v>8.2720000000000002</v>
      </c>
      <c r="N174" s="4">
        <v>8.2720000000000002</v>
      </c>
      <c r="O174" s="4">
        <v>8.2720000000000002</v>
      </c>
      <c r="P174" s="4">
        <v>92</v>
      </c>
      <c r="Q174" s="3" t="s">
        <v>26</v>
      </c>
      <c r="R174" s="3">
        <v>0</v>
      </c>
      <c r="S174" s="3">
        <v>0</v>
      </c>
      <c r="T174" s="3">
        <v>6</v>
      </c>
      <c r="U174" s="3">
        <v>54</v>
      </c>
      <c r="V174" s="4">
        <f>IF(ISERROR(VLOOKUP($S$174,'TAR FIN'!$A$1:$O$85,15,0)),0,VLOOKUP($S$174,'TAR FIN'!$A$1:$O$85,15,0))</f>
        <v>0</v>
      </c>
      <c r="W174" s="4">
        <f>IF(ISERROR(VLOOKUP($T$174,'TAR FIN'!$A$1:$O$85,15,0)),0,VLOOKUP($T$174,'TAR FIN'!$A$1:$O$85,15,0))</f>
        <v>305.10000000000002</v>
      </c>
      <c r="X174" s="4">
        <f>IF(ISERROR(VLOOKUP($U$174,'TAR FIN'!$A$1:$O$85,15,0)),0,VLOOKUP($U$174,'TAR FIN'!$A$1:$O$85,15,0))</f>
        <v>291.85000000000002</v>
      </c>
      <c r="Y174" s="4"/>
      <c r="Z174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174" s="4">
        <f>('TE BE'!$AB$15+'TE BF'!$AB$15+'TE CVA'!$AB$15)*(1-CUSTOS!$M$37)</f>
        <v>213.77329191067864</v>
      </c>
      <c r="AB174" s="4">
        <f t="shared" si="14"/>
        <v>0</v>
      </c>
      <c r="AC174" s="4">
        <f>(L174-M174)*(W174+X174)+($W$165+$X$165-$W$174-$X$174)*(L174)</f>
        <v>0</v>
      </c>
      <c r="AD174" s="4">
        <f t="shared" si="15"/>
        <v>0</v>
      </c>
      <c r="AE174" s="4">
        <f ca="1">(L174-M174)*(Z174+AA174)+($Z$165+$AA$165-$Z$174-$AA$174)*(L174)</f>
        <v>2.3510438040830196E-13</v>
      </c>
      <c r="AF174" s="3" t="s">
        <v>598</v>
      </c>
    </row>
    <row r="175" spans="1:32" ht="11.25" customHeight="1" x14ac:dyDescent="0.3">
      <c r="A175" s="3" t="s">
        <v>21</v>
      </c>
      <c r="B175" s="3" t="s">
        <v>22</v>
      </c>
      <c r="C175" s="3" t="s">
        <v>23</v>
      </c>
      <c r="D175" s="3" t="s">
        <v>24</v>
      </c>
      <c r="E175" s="3" t="s">
        <v>31</v>
      </c>
      <c r="F175" s="3" t="s">
        <v>25</v>
      </c>
      <c r="G175" s="3" t="s">
        <v>25</v>
      </c>
      <c r="H175" s="3" t="s">
        <v>25</v>
      </c>
      <c r="I175" s="6">
        <v>44743</v>
      </c>
      <c r="J175" s="4">
        <v>0</v>
      </c>
      <c r="K175" s="4">
        <v>0</v>
      </c>
      <c r="L175" s="4">
        <v>6.8289999999999997</v>
      </c>
      <c r="M175" s="4">
        <v>6.8289999999999997</v>
      </c>
      <c r="N175" s="4">
        <v>6.8289999999999997</v>
      </c>
      <c r="O175" s="4">
        <v>6.8289999999999997</v>
      </c>
      <c r="P175" s="4">
        <v>81</v>
      </c>
      <c r="Q175" s="3" t="s">
        <v>26</v>
      </c>
      <c r="R175" s="3">
        <v>0</v>
      </c>
      <c r="S175" s="3">
        <v>0</v>
      </c>
      <c r="T175" s="3">
        <v>6</v>
      </c>
      <c r="U175" s="3">
        <v>54</v>
      </c>
      <c r="V175" s="4">
        <f>IF(ISERROR(VLOOKUP($S$175,'TAR FIN'!$A$1:$O$85,15,0)),0,VLOOKUP($S$175,'TAR FIN'!$A$1:$O$85,15,0))</f>
        <v>0</v>
      </c>
      <c r="W175" s="4">
        <f>IF(ISERROR(VLOOKUP($T$175,'TAR FIN'!$A$1:$O$85,15,0)),0,VLOOKUP($T$175,'TAR FIN'!$A$1:$O$85,15,0))</f>
        <v>305.10000000000002</v>
      </c>
      <c r="X175" s="4">
        <f>IF(ISERROR(VLOOKUP($U$175,'TAR FIN'!$A$1:$O$85,15,0)),0,VLOOKUP($U$175,'TAR FIN'!$A$1:$O$85,15,0))</f>
        <v>291.85000000000002</v>
      </c>
      <c r="Y175" s="4"/>
      <c r="Z175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175" s="4">
        <f>('TE BE'!$AB$15+'TE BF'!$AB$15+'TE CVA'!$AB$15)*(1-CUSTOS!$M$37)</f>
        <v>213.77329191067864</v>
      </c>
      <c r="AB175" s="4">
        <f t="shared" si="14"/>
        <v>0</v>
      </c>
      <c r="AC175" s="4">
        <f>(L175-M175)*(W175+X175)+($W$165+$X$165-$W$175-$X$175)*(L175)</f>
        <v>0</v>
      </c>
      <c r="AD175" s="4">
        <f t="shared" si="15"/>
        <v>0</v>
      </c>
      <c r="AE175" s="4">
        <f ca="1">(L175-M175)*(Z175+AA175)+($Z$165+$AA$165-$Z$175-$AA$175)*(L175)</f>
        <v>1.9409185370022896E-13</v>
      </c>
      <c r="AF175" s="3" t="s">
        <v>598</v>
      </c>
    </row>
    <row r="176" spans="1:32" ht="11.25" customHeight="1" x14ac:dyDescent="0.3">
      <c r="A176" s="3" t="s">
        <v>53</v>
      </c>
      <c r="B176" s="3" t="s">
        <v>22</v>
      </c>
      <c r="C176" s="3" t="s">
        <v>23</v>
      </c>
      <c r="D176" s="3" t="s">
        <v>24</v>
      </c>
      <c r="E176" s="3" t="s">
        <v>31</v>
      </c>
      <c r="F176" s="3" t="s">
        <v>25</v>
      </c>
      <c r="G176" s="3" t="s">
        <v>25</v>
      </c>
      <c r="H176" s="3" t="s">
        <v>25</v>
      </c>
      <c r="I176" s="6">
        <v>44774</v>
      </c>
      <c r="J176" s="4">
        <v>0</v>
      </c>
      <c r="K176" s="4">
        <v>0</v>
      </c>
      <c r="L176" s="4">
        <v>6.8289999999999997</v>
      </c>
      <c r="M176" s="4">
        <v>6.8289999999999997</v>
      </c>
      <c r="N176" s="4">
        <v>6.8289999999999997</v>
      </c>
      <c r="O176" s="4">
        <v>6.8289999999999997</v>
      </c>
      <c r="P176" s="4">
        <v>81</v>
      </c>
      <c r="Q176" s="3" t="s">
        <v>26</v>
      </c>
      <c r="R176" s="3">
        <v>0</v>
      </c>
      <c r="S176" s="3">
        <v>0</v>
      </c>
      <c r="T176" s="3">
        <v>6</v>
      </c>
      <c r="U176" s="3">
        <v>54</v>
      </c>
      <c r="V176" s="4">
        <f>IF(ISERROR(VLOOKUP($S$176,'TAR FIN'!$A$1:$O$85,15,0)),0,VLOOKUP($S$176,'TAR FIN'!$A$1:$O$85,15,0))</f>
        <v>0</v>
      </c>
      <c r="W176" s="4">
        <f>IF(ISERROR(VLOOKUP($T$176,'TAR FIN'!$A$1:$O$85,15,0)),0,VLOOKUP($T$176,'TAR FIN'!$A$1:$O$85,15,0))</f>
        <v>305.10000000000002</v>
      </c>
      <c r="X176" s="4">
        <f>IF(ISERROR(VLOOKUP($U$176,'TAR FIN'!$A$1:$O$85,15,0)),0,VLOOKUP($U$176,'TAR FIN'!$A$1:$O$85,15,0))</f>
        <v>291.85000000000002</v>
      </c>
      <c r="Y176" s="4"/>
      <c r="Z176" s="4">
        <f ca="1">('TUSD BE'!$AM$24+'TUSD BF'!$AM$24+'TUSD CVA'!$AM$24-('TUSD BE'!$P$24+'TUSD BF'!$P$24+'TUSD CVA'!$P$24)-('TUSD BE'!$Q$24+'TUSD BF'!$Q$24+'TUSD CVA'!$Q$24)-('TUSD BE'!$R$24+'TUSD BF'!$R$24+'TUSD CVA'!$R$24))*(1-CUSTOS!$M$37)</f>
        <v>323.41884043778265</v>
      </c>
      <c r="AA176" s="4">
        <f>('TE BE'!$AB$15+'TE BF'!$AB$15+'TE CVA'!$AB$15)*(1-CUSTOS!$M$37)</f>
        <v>213.77329191067864</v>
      </c>
      <c r="AB176" s="4">
        <f t="shared" si="14"/>
        <v>0</v>
      </c>
      <c r="AC176" s="4">
        <f>(L176-M176)*(W176+X176)+($W$165+$X$165-$W$176-$X$176)*(L176)</f>
        <v>0</v>
      </c>
      <c r="AD176" s="4">
        <f t="shared" si="15"/>
        <v>0</v>
      </c>
      <c r="AE176" s="4">
        <f ca="1">(L176-M176)*(Z176+AA176)+($Z$165+$AA$165-$Z$176-$AA$176)*(L176)</f>
        <v>1.9409185370022896E-13</v>
      </c>
      <c r="AF176" s="3" t="s">
        <v>598</v>
      </c>
    </row>
    <row r="177" spans="1:32" ht="11.25" customHeight="1" x14ac:dyDescent="0.3">
      <c r="A177" s="3" t="s">
        <v>21</v>
      </c>
      <c r="B177" s="3" t="s">
        <v>40</v>
      </c>
      <c r="C177" s="3" t="s">
        <v>23</v>
      </c>
      <c r="D177" s="3" t="s">
        <v>41</v>
      </c>
      <c r="E177" s="3" t="s">
        <v>50</v>
      </c>
      <c r="F177" s="3" t="s">
        <v>51</v>
      </c>
      <c r="G177" s="3" t="s">
        <v>25</v>
      </c>
      <c r="H177" s="3" t="s">
        <v>25</v>
      </c>
      <c r="I177" s="6">
        <v>44440</v>
      </c>
      <c r="J177" s="4">
        <v>0</v>
      </c>
      <c r="K177" s="4">
        <v>0</v>
      </c>
      <c r="L177" s="4">
        <v>133.84200000000001</v>
      </c>
      <c r="M177" s="4">
        <v>133.84200000000001</v>
      </c>
      <c r="N177" s="4">
        <v>133.84200000000001</v>
      </c>
      <c r="O177" s="4">
        <v>133.84200000000001</v>
      </c>
      <c r="P177" s="4">
        <v>0</v>
      </c>
      <c r="Q177" s="3" t="s">
        <v>26</v>
      </c>
      <c r="R177" s="3">
        <v>0</v>
      </c>
      <c r="S177" s="3">
        <v>0</v>
      </c>
      <c r="T177" s="3">
        <v>36</v>
      </c>
      <c r="U177" s="3">
        <v>80</v>
      </c>
      <c r="V177" s="4">
        <f>IF(ISERROR(VLOOKUP($S$177,'TAR FIN'!$A$1:$O$85,15,0)),0,VLOOKUP($S$177,'TAR FIN'!$A$1:$O$85,15,0))</f>
        <v>0</v>
      </c>
      <c r="W177" s="4">
        <f>IF(ISERROR(VLOOKUP($T$177,'TAR FIN'!$A$1:$O$85,15,0)),0,VLOOKUP($T$177,'TAR FIN'!$A$1:$O$85,15,0))</f>
        <v>326.19</v>
      </c>
      <c r="X177" s="4">
        <f>IF(ISERROR(VLOOKUP($U$177,'TAR FIN'!$A$1:$O$85,15,0)),0,VLOOKUP($U$177,'TAR FIN'!$A$1:$O$85,15,0))</f>
        <v>256.83</v>
      </c>
      <c r="Y177" s="4"/>
      <c r="Z177" s="4">
        <f ca="1">('TUSD BE'!$AM$33+'TUSD BF'!$AM$33+'TUSD CVA'!$AM$33)*(1-CUSTOS!$M$38)</f>
        <v>403.45820595709068</v>
      </c>
      <c r="AA177" s="4">
        <f>('TE BE'!$AB$24+'TE BF'!$AB$24+'TE CVA'!$AB$24)*(1-CUSTOS!$M$38)</f>
        <v>200.94689439603792</v>
      </c>
      <c r="AB177" s="4">
        <f t="shared" si="14"/>
        <v>0</v>
      </c>
      <c r="AC177" s="4">
        <f>(L177-M177)*(W177+X177)+($W$128+$X$128-$W$177-$X$177)*(L177)</f>
        <v>10639.100580000002</v>
      </c>
      <c r="AD177" s="4">
        <f t="shared" si="15"/>
        <v>0</v>
      </c>
      <c r="AE177" s="4">
        <f ca="1">(L177-M177)*(Z177+AA177)+($Z$128+$AA$128-$Z$177-$AA$177)*(L177)</f>
        <v>5163.4970707317052</v>
      </c>
      <c r="AF177" s="3" t="s">
        <v>597</v>
      </c>
    </row>
    <row r="178" spans="1:32" ht="11.25" customHeight="1" x14ac:dyDescent="0.3">
      <c r="A178" s="3" t="s">
        <v>27</v>
      </c>
      <c r="B178" s="3" t="s">
        <v>40</v>
      </c>
      <c r="C178" s="3" t="s">
        <v>23</v>
      </c>
      <c r="D178" s="3" t="s">
        <v>41</v>
      </c>
      <c r="E178" s="3" t="s">
        <v>50</v>
      </c>
      <c r="F178" s="3" t="s">
        <v>51</v>
      </c>
      <c r="G178" s="3" t="s">
        <v>25</v>
      </c>
      <c r="H178" s="3" t="s">
        <v>25</v>
      </c>
      <c r="I178" s="6">
        <v>44440</v>
      </c>
      <c r="J178" s="4">
        <v>0</v>
      </c>
      <c r="K178" s="4">
        <v>0</v>
      </c>
      <c r="L178" s="4">
        <v>4.0759999999999996</v>
      </c>
      <c r="M178" s="4">
        <v>4.0759999999999996</v>
      </c>
      <c r="N178" s="4">
        <v>4.0759999999999996</v>
      </c>
      <c r="O178" s="4">
        <v>4.0759999999999996</v>
      </c>
      <c r="P178" s="4">
        <v>0</v>
      </c>
      <c r="Q178" s="3" t="s">
        <v>26</v>
      </c>
      <c r="R178" s="3">
        <v>0</v>
      </c>
      <c r="S178" s="3">
        <v>0</v>
      </c>
      <c r="T178" s="3">
        <v>36</v>
      </c>
      <c r="U178" s="3">
        <v>80</v>
      </c>
      <c r="V178" s="4">
        <f>IF(ISERROR(VLOOKUP($S$178,'TAR FIN'!$A$1:$O$85,15,0)),0,VLOOKUP($S$178,'TAR FIN'!$A$1:$O$85,15,0))</f>
        <v>0</v>
      </c>
      <c r="W178" s="4">
        <f>IF(ISERROR(VLOOKUP($T$178,'TAR FIN'!$A$1:$O$85,15,0)),0,VLOOKUP($T$178,'TAR FIN'!$A$1:$O$85,15,0))</f>
        <v>326.19</v>
      </c>
      <c r="X178" s="4">
        <f>IF(ISERROR(VLOOKUP($U$178,'TAR FIN'!$A$1:$O$85,15,0)),0,VLOOKUP($U$178,'TAR FIN'!$A$1:$O$85,15,0))</f>
        <v>256.83</v>
      </c>
      <c r="Y178" s="4"/>
      <c r="Z178" s="4">
        <f ca="1">('TUSD BE'!$AM$33+'TUSD BF'!$AM$33+'TUSD CVA'!$AM$33)*(1-CUSTOS!$M$38)</f>
        <v>403.45820595709068</v>
      </c>
      <c r="AA178" s="4">
        <f>('TE BE'!$AB$24+'TE BF'!$AB$24+'TE CVA'!$AB$24)*(1-CUSTOS!$M$38)</f>
        <v>200.94689439603792</v>
      </c>
      <c r="AB178" s="4">
        <f t="shared" si="14"/>
        <v>0</v>
      </c>
      <c r="AC178" s="4">
        <f>(L178-M178)*(W178+X178)+($W$128+$X$128-$W$178-$X$178)*(L178)</f>
        <v>324.00124</v>
      </c>
      <c r="AD178" s="4">
        <f t="shared" si="15"/>
        <v>0</v>
      </c>
      <c r="AE178" s="4">
        <f ca="1">(L178-M178)*(Z178+AA178)+($Z$128+$AA$128-$Z$178-$AA$178)*(L178)</f>
        <v>157.24820355570318</v>
      </c>
      <c r="AF178" s="3" t="s">
        <v>597</v>
      </c>
    </row>
    <row r="179" spans="1:32" ht="11.25" customHeight="1" x14ac:dyDescent="0.3">
      <c r="A179" s="3" t="s">
        <v>21</v>
      </c>
      <c r="B179" s="3" t="s">
        <v>40</v>
      </c>
      <c r="C179" s="3" t="s">
        <v>23</v>
      </c>
      <c r="D179" s="3" t="s">
        <v>41</v>
      </c>
      <c r="E179" s="3" t="s">
        <v>50</v>
      </c>
      <c r="F179" s="3" t="s">
        <v>51</v>
      </c>
      <c r="G179" s="3" t="s">
        <v>25</v>
      </c>
      <c r="H179" s="3" t="s">
        <v>25</v>
      </c>
      <c r="I179" s="6">
        <v>44470</v>
      </c>
      <c r="J179" s="4">
        <v>0</v>
      </c>
      <c r="K179" s="4">
        <v>0</v>
      </c>
      <c r="L179" s="4">
        <v>181.97499999999999</v>
      </c>
      <c r="M179" s="4">
        <v>181.97499999999999</v>
      </c>
      <c r="N179" s="4">
        <v>181.97499999999999</v>
      </c>
      <c r="O179" s="4">
        <v>181.97499999999999</v>
      </c>
      <c r="P179" s="4">
        <v>0</v>
      </c>
      <c r="Q179" s="3" t="s">
        <v>26</v>
      </c>
      <c r="R179" s="3">
        <v>0</v>
      </c>
      <c r="S179" s="3">
        <v>0</v>
      </c>
      <c r="T179" s="3">
        <v>36</v>
      </c>
      <c r="U179" s="3">
        <v>80</v>
      </c>
      <c r="V179" s="4">
        <f>IF(ISERROR(VLOOKUP($S$179,'TAR FIN'!$A$1:$O$85,15,0)),0,VLOOKUP($S$179,'TAR FIN'!$A$1:$O$85,15,0))</f>
        <v>0</v>
      </c>
      <c r="W179" s="4">
        <f>IF(ISERROR(VLOOKUP($T$179,'TAR FIN'!$A$1:$O$85,15,0)),0,VLOOKUP($T$179,'TAR FIN'!$A$1:$O$85,15,0))</f>
        <v>326.19</v>
      </c>
      <c r="X179" s="4">
        <f>IF(ISERROR(VLOOKUP($U$179,'TAR FIN'!$A$1:$O$85,15,0)),0,VLOOKUP($U$179,'TAR FIN'!$A$1:$O$85,15,0))</f>
        <v>256.83</v>
      </c>
      <c r="Y179" s="4"/>
      <c r="Z179" s="4">
        <f ca="1">('TUSD BE'!$AM$33+'TUSD BF'!$AM$33+'TUSD CVA'!$AM$33)*(1-CUSTOS!$M$38)</f>
        <v>403.45820595709068</v>
      </c>
      <c r="AA179" s="4">
        <f>('TE BE'!$AB$24+'TE BF'!$AB$24+'TE CVA'!$AB$24)*(1-CUSTOS!$M$38)</f>
        <v>200.94689439603792</v>
      </c>
      <c r="AB179" s="4">
        <f t="shared" si="14"/>
        <v>0</v>
      </c>
      <c r="AC179" s="4">
        <f>(L179-M179)*(W179+X179)+($W$128+$X$128-$W$179-$X$179)*(L179)</f>
        <v>14465.192750000002</v>
      </c>
      <c r="AD179" s="4">
        <f t="shared" si="15"/>
        <v>0</v>
      </c>
      <c r="AE179" s="4">
        <f ca="1">(L179-M179)*(Z179+AA179)+($Z$128+$AA$128-$Z$179-$AA$179)*(L179)</f>
        <v>7020.422434261307</v>
      </c>
      <c r="AF179" s="3" t="s">
        <v>597</v>
      </c>
    </row>
    <row r="180" spans="1:32" ht="11.25" customHeight="1" x14ac:dyDescent="0.3">
      <c r="A180" s="3" t="s">
        <v>27</v>
      </c>
      <c r="B180" s="3" t="s">
        <v>40</v>
      </c>
      <c r="C180" s="3" t="s">
        <v>23</v>
      </c>
      <c r="D180" s="3" t="s">
        <v>41</v>
      </c>
      <c r="E180" s="3" t="s">
        <v>50</v>
      </c>
      <c r="F180" s="3" t="s">
        <v>51</v>
      </c>
      <c r="G180" s="3" t="s">
        <v>25</v>
      </c>
      <c r="H180" s="3" t="s">
        <v>25</v>
      </c>
      <c r="I180" s="6">
        <v>44470</v>
      </c>
      <c r="J180" s="4">
        <v>0</v>
      </c>
      <c r="K180" s="4">
        <v>0</v>
      </c>
      <c r="L180" s="4">
        <v>1.5580000000000001</v>
      </c>
      <c r="M180" s="4">
        <v>1.5580000000000001</v>
      </c>
      <c r="N180" s="4">
        <v>1.5580000000000001</v>
      </c>
      <c r="O180" s="4">
        <v>1.5580000000000001</v>
      </c>
      <c r="P180" s="4">
        <v>0</v>
      </c>
      <c r="Q180" s="3" t="s">
        <v>26</v>
      </c>
      <c r="R180" s="3">
        <v>0</v>
      </c>
      <c r="S180" s="3">
        <v>0</v>
      </c>
      <c r="T180" s="3">
        <v>36</v>
      </c>
      <c r="U180" s="3">
        <v>80</v>
      </c>
      <c r="V180" s="4">
        <f>IF(ISERROR(VLOOKUP($S$180,'TAR FIN'!$A$1:$O$85,15,0)),0,VLOOKUP($S$180,'TAR FIN'!$A$1:$O$85,15,0))</f>
        <v>0</v>
      </c>
      <c r="W180" s="4">
        <f>IF(ISERROR(VLOOKUP($T$180,'TAR FIN'!$A$1:$O$85,15,0)),0,VLOOKUP($T$180,'TAR FIN'!$A$1:$O$85,15,0))</f>
        <v>326.19</v>
      </c>
      <c r="X180" s="4">
        <f>IF(ISERROR(VLOOKUP($U$180,'TAR FIN'!$A$1:$O$85,15,0)),0,VLOOKUP($U$180,'TAR FIN'!$A$1:$O$85,15,0))</f>
        <v>256.83</v>
      </c>
      <c r="Y180" s="4"/>
      <c r="Z180" s="4">
        <f ca="1">('TUSD BE'!$AM$33+'TUSD BF'!$AM$33+'TUSD CVA'!$AM$33)*(1-CUSTOS!$M$38)</f>
        <v>403.45820595709068</v>
      </c>
      <c r="AA180" s="4">
        <f>('TE BE'!$AB$24+'TE BF'!$AB$24+'TE CVA'!$AB$24)*(1-CUSTOS!$M$38)</f>
        <v>200.94689439603792</v>
      </c>
      <c r="AB180" s="4">
        <f t="shared" si="14"/>
        <v>0</v>
      </c>
      <c r="AC180" s="4">
        <f>(L180-M180)*(W180+X180)+($W$128+$X$128-$W$180-$X$180)*(L180)</f>
        <v>123.84542000000002</v>
      </c>
      <c r="AD180" s="4">
        <f t="shared" si="15"/>
        <v>0</v>
      </c>
      <c r="AE180" s="4">
        <f ca="1">(L180-M180)*(Z180+AA180)+($Z$128+$AA$128-$Z$180-$AA$180)*(L180)</f>
        <v>60.106158277670652</v>
      </c>
      <c r="AF180" s="3" t="s">
        <v>597</v>
      </c>
    </row>
    <row r="181" spans="1:32" ht="11.25" customHeight="1" x14ac:dyDescent="0.3">
      <c r="A181" s="3" t="s">
        <v>21</v>
      </c>
      <c r="B181" s="3" t="s">
        <v>40</v>
      </c>
      <c r="C181" s="3" t="s">
        <v>23</v>
      </c>
      <c r="D181" s="3" t="s">
        <v>41</v>
      </c>
      <c r="E181" s="3" t="s">
        <v>50</v>
      </c>
      <c r="F181" s="3" t="s">
        <v>51</v>
      </c>
      <c r="G181" s="3" t="s">
        <v>25</v>
      </c>
      <c r="H181" s="3" t="s">
        <v>25</v>
      </c>
      <c r="I181" s="6">
        <v>44501</v>
      </c>
      <c r="J181" s="4">
        <v>0</v>
      </c>
      <c r="K181" s="4">
        <v>0</v>
      </c>
      <c r="L181" s="4">
        <v>131.28299999999999</v>
      </c>
      <c r="M181" s="4">
        <v>131.28299999999999</v>
      </c>
      <c r="N181" s="4">
        <v>131.28299999999999</v>
      </c>
      <c r="O181" s="4">
        <v>131.28299999999999</v>
      </c>
      <c r="P181" s="4">
        <v>0</v>
      </c>
      <c r="Q181" s="3" t="s">
        <v>26</v>
      </c>
      <c r="R181" s="3">
        <v>0</v>
      </c>
      <c r="S181" s="3">
        <v>0</v>
      </c>
      <c r="T181" s="3">
        <v>36</v>
      </c>
      <c r="U181" s="3">
        <v>80</v>
      </c>
      <c r="V181" s="4">
        <f>IF(ISERROR(VLOOKUP($S$181,'TAR FIN'!$A$1:$O$85,15,0)),0,VLOOKUP($S$181,'TAR FIN'!$A$1:$O$85,15,0))</f>
        <v>0</v>
      </c>
      <c r="W181" s="4">
        <f>IF(ISERROR(VLOOKUP($T$181,'TAR FIN'!$A$1:$O$85,15,0)),0,VLOOKUP($T$181,'TAR FIN'!$A$1:$O$85,15,0))</f>
        <v>326.19</v>
      </c>
      <c r="X181" s="4">
        <f>IF(ISERROR(VLOOKUP($U$181,'TAR FIN'!$A$1:$O$85,15,0)),0,VLOOKUP($U$181,'TAR FIN'!$A$1:$O$85,15,0))</f>
        <v>256.83</v>
      </c>
      <c r="Y181" s="4"/>
      <c r="Z181" s="4">
        <f ca="1">('TUSD BE'!$AM$33+'TUSD BF'!$AM$33+'TUSD CVA'!$AM$33)*(1-CUSTOS!$M$38)</f>
        <v>403.45820595709068</v>
      </c>
      <c r="AA181" s="4">
        <f>('TE BE'!$AB$24+'TE BF'!$AB$24+'TE CVA'!$AB$24)*(1-CUSTOS!$M$38)</f>
        <v>200.94689439603792</v>
      </c>
      <c r="AB181" s="4">
        <f t="shared" si="14"/>
        <v>0</v>
      </c>
      <c r="AC181" s="4">
        <f>(L181-M181)*(W181+X181)+($W$128+$X$128-$W$181-$X$181)*(L181)</f>
        <v>10435.685670000001</v>
      </c>
      <c r="AD181" s="4">
        <f t="shared" si="15"/>
        <v>0</v>
      </c>
      <c r="AE181" s="4">
        <f ca="1">(L181-M181)*(Z181+AA181)+($Z$128+$AA$128-$Z$181-$AA$181)*(L181)</f>
        <v>5064.7732844463644</v>
      </c>
      <c r="AF181" s="3" t="s">
        <v>597</v>
      </c>
    </row>
    <row r="182" spans="1:32" ht="11.25" customHeight="1" x14ac:dyDescent="0.3">
      <c r="A182" s="3" t="s">
        <v>27</v>
      </c>
      <c r="B182" s="3" t="s">
        <v>40</v>
      </c>
      <c r="C182" s="3" t="s">
        <v>23</v>
      </c>
      <c r="D182" s="3" t="s">
        <v>41</v>
      </c>
      <c r="E182" s="3" t="s">
        <v>50</v>
      </c>
      <c r="F182" s="3" t="s">
        <v>51</v>
      </c>
      <c r="G182" s="3" t="s">
        <v>25</v>
      </c>
      <c r="H182" s="3" t="s">
        <v>25</v>
      </c>
      <c r="I182" s="6">
        <v>44501</v>
      </c>
      <c r="J182" s="4">
        <v>0</v>
      </c>
      <c r="K182" s="4">
        <v>0</v>
      </c>
      <c r="L182" s="4">
        <v>2.0630000000000002</v>
      </c>
      <c r="M182" s="4">
        <v>2.0630000000000002</v>
      </c>
      <c r="N182" s="4">
        <v>2.0630000000000002</v>
      </c>
      <c r="O182" s="4">
        <v>2.0630000000000002</v>
      </c>
      <c r="P182" s="4">
        <v>0</v>
      </c>
      <c r="Q182" s="3" t="s">
        <v>26</v>
      </c>
      <c r="R182" s="3">
        <v>0</v>
      </c>
      <c r="S182" s="3">
        <v>0</v>
      </c>
      <c r="T182" s="3">
        <v>36</v>
      </c>
      <c r="U182" s="3">
        <v>80</v>
      </c>
      <c r="V182" s="4">
        <f>IF(ISERROR(VLOOKUP($S$182,'TAR FIN'!$A$1:$O$85,15,0)),0,VLOOKUP($S$182,'TAR FIN'!$A$1:$O$85,15,0))</f>
        <v>0</v>
      </c>
      <c r="W182" s="4">
        <f>IF(ISERROR(VLOOKUP($T$182,'TAR FIN'!$A$1:$O$85,15,0)),0,VLOOKUP($T$182,'TAR FIN'!$A$1:$O$85,15,0))</f>
        <v>326.19</v>
      </c>
      <c r="X182" s="4">
        <f>IF(ISERROR(VLOOKUP($U$182,'TAR FIN'!$A$1:$O$85,15,0)),0,VLOOKUP($U$182,'TAR FIN'!$A$1:$O$85,15,0))</f>
        <v>256.83</v>
      </c>
      <c r="Y182" s="4"/>
      <c r="Z182" s="4">
        <f ca="1">('TUSD BE'!$AM$33+'TUSD BF'!$AM$33+'TUSD CVA'!$AM$33)*(1-CUSTOS!$M$38)</f>
        <v>403.45820595709068</v>
      </c>
      <c r="AA182" s="4">
        <f>('TE BE'!$AB$24+'TE BF'!$AB$24+'TE CVA'!$AB$24)*(1-CUSTOS!$M$38)</f>
        <v>200.94689439603792</v>
      </c>
      <c r="AB182" s="4">
        <f t="shared" si="14"/>
        <v>0</v>
      </c>
      <c r="AC182" s="4">
        <f>(L182-M182)*(W182+X182)+($W$128+$X$128-$W$182-$X$182)*(L182)</f>
        <v>163.98787000000004</v>
      </c>
      <c r="AD182" s="4">
        <f t="shared" si="15"/>
        <v>0</v>
      </c>
      <c r="AE182" s="4">
        <f ca="1">(L182-M182)*(Z182+AA182)+($Z$128+$AA$128-$Z$182-$AA$182)*(L182)</f>
        <v>79.588578001819357</v>
      </c>
      <c r="AF182" s="3" t="s">
        <v>597</v>
      </c>
    </row>
    <row r="183" spans="1:32" ht="11.25" customHeight="1" x14ac:dyDescent="0.3">
      <c r="A183" s="3" t="s">
        <v>21</v>
      </c>
      <c r="B183" s="3" t="s">
        <v>40</v>
      </c>
      <c r="C183" s="3" t="s">
        <v>23</v>
      </c>
      <c r="D183" s="3" t="s">
        <v>41</v>
      </c>
      <c r="E183" s="3" t="s">
        <v>50</v>
      </c>
      <c r="F183" s="3" t="s">
        <v>51</v>
      </c>
      <c r="G183" s="3" t="s">
        <v>25</v>
      </c>
      <c r="H183" s="3" t="s">
        <v>25</v>
      </c>
      <c r="I183" s="6">
        <v>44531</v>
      </c>
      <c r="J183" s="4">
        <v>0</v>
      </c>
      <c r="K183" s="4">
        <v>0</v>
      </c>
      <c r="L183" s="4">
        <v>115.495</v>
      </c>
      <c r="M183" s="4">
        <v>115.495</v>
      </c>
      <c r="N183" s="4">
        <v>115.495</v>
      </c>
      <c r="O183" s="4">
        <v>115.495</v>
      </c>
      <c r="P183" s="4">
        <v>0</v>
      </c>
      <c r="Q183" s="3" t="s">
        <v>26</v>
      </c>
      <c r="R183" s="3">
        <v>0</v>
      </c>
      <c r="S183" s="3">
        <v>0</v>
      </c>
      <c r="T183" s="3">
        <v>36</v>
      </c>
      <c r="U183" s="3">
        <v>80</v>
      </c>
      <c r="V183" s="4">
        <f>IF(ISERROR(VLOOKUP($S$183,'TAR FIN'!$A$1:$O$85,15,0)),0,VLOOKUP($S$183,'TAR FIN'!$A$1:$O$85,15,0))</f>
        <v>0</v>
      </c>
      <c r="W183" s="4">
        <f>IF(ISERROR(VLOOKUP($T$183,'TAR FIN'!$A$1:$O$85,15,0)),0,VLOOKUP($T$183,'TAR FIN'!$A$1:$O$85,15,0))</f>
        <v>326.19</v>
      </c>
      <c r="X183" s="4">
        <f>IF(ISERROR(VLOOKUP($U$183,'TAR FIN'!$A$1:$O$85,15,0)),0,VLOOKUP($U$183,'TAR FIN'!$A$1:$O$85,15,0))</f>
        <v>256.83</v>
      </c>
      <c r="Y183" s="4"/>
      <c r="Z183" s="4">
        <f ca="1">('TUSD BE'!$AM$33+'TUSD BF'!$AM$33+'TUSD CVA'!$AM$33)*(1-CUSTOS!$M$38)</f>
        <v>403.45820595709068</v>
      </c>
      <c r="AA183" s="4">
        <f>('TE BE'!$AB$24+'TE BF'!$AB$24+'TE CVA'!$AB$24)*(1-CUSTOS!$M$38)</f>
        <v>200.94689439603792</v>
      </c>
      <c r="AB183" s="4">
        <f t="shared" si="14"/>
        <v>0</v>
      </c>
      <c r="AC183" s="4">
        <f>(L183-M183)*(W183+X183)+($W$128+$X$128-$W$183-$X$183)*(L183)</f>
        <v>9180.6975500000008</v>
      </c>
      <c r="AD183" s="4">
        <f t="shared" si="15"/>
        <v>0</v>
      </c>
      <c r="AE183" s="4">
        <f ca="1">(L183-M183)*(Z183+AA183)+($Z$128+$AA$128-$Z$183-$AA$183)*(L183)</f>
        <v>4455.6872594862461</v>
      </c>
      <c r="AF183" s="3" t="s">
        <v>597</v>
      </c>
    </row>
    <row r="184" spans="1:32" ht="11.25" customHeight="1" x14ac:dyDescent="0.3">
      <c r="A184" s="3" t="s">
        <v>27</v>
      </c>
      <c r="B184" s="3" t="s">
        <v>40</v>
      </c>
      <c r="C184" s="3" t="s">
        <v>23</v>
      </c>
      <c r="D184" s="3" t="s">
        <v>41</v>
      </c>
      <c r="E184" s="3" t="s">
        <v>50</v>
      </c>
      <c r="F184" s="3" t="s">
        <v>51</v>
      </c>
      <c r="G184" s="3" t="s">
        <v>25</v>
      </c>
      <c r="H184" s="3" t="s">
        <v>25</v>
      </c>
      <c r="I184" s="6">
        <v>44531</v>
      </c>
      <c r="J184" s="4">
        <v>0</v>
      </c>
      <c r="K184" s="4">
        <v>0</v>
      </c>
      <c r="L184" s="4">
        <v>2.5190000000000001</v>
      </c>
      <c r="M184" s="4">
        <v>2.5190000000000001</v>
      </c>
      <c r="N184" s="4">
        <v>2.5190000000000001</v>
      </c>
      <c r="O184" s="4">
        <v>2.5190000000000001</v>
      </c>
      <c r="P184" s="4">
        <v>0</v>
      </c>
      <c r="Q184" s="3" t="s">
        <v>26</v>
      </c>
      <c r="R184" s="3">
        <v>0</v>
      </c>
      <c r="S184" s="3">
        <v>0</v>
      </c>
      <c r="T184" s="3">
        <v>36</v>
      </c>
      <c r="U184" s="3">
        <v>80</v>
      </c>
      <c r="V184" s="4">
        <f>IF(ISERROR(VLOOKUP($S$184,'TAR FIN'!$A$1:$O$85,15,0)),0,VLOOKUP($S$184,'TAR FIN'!$A$1:$O$85,15,0))</f>
        <v>0</v>
      </c>
      <c r="W184" s="4">
        <f>IF(ISERROR(VLOOKUP($T$184,'TAR FIN'!$A$1:$O$85,15,0)),0,VLOOKUP($T$184,'TAR FIN'!$A$1:$O$85,15,0))</f>
        <v>326.19</v>
      </c>
      <c r="X184" s="4">
        <f>IF(ISERROR(VLOOKUP($U$184,'TAR FIN'!$A$1:$O$85,15,0)),0,VLOOKUP($U$184,'TAR FIN'!$A$1:$O$85,15,0))</f>
        <v>256.83</v>
      </c>
      <c r="Y184" s="4"/>
      <c r="Z184" s="4">
        <f ca="1">('TUSD BE'!$AM$33+'TUSD BF'!$AM$33+'TUSD CVA'!$AM$33)*(1-CUSTOS!$M$38)</f>
        <v>403.45820595709068</v>
      </c>
      <c r="AA184" s="4">
        <f>('TE BE'!$AB$24+'TE BF'!$AB$24+'TE CVA'!$AB$24)*(1-CUSTOS!$M$38)</f>
        <v>200.94689439603792</v>
      </c>
      <c r="AB184" s="4">
        <f t="shared" si="14"/>
        <v>0</v>
      </c>
      <c r="AC184" s="4">
        <f>(L184-M184)*(W184+X184)+($W$128+$X$128-$W$184-$X$184)*(L184)</f>
        <v>200.23531000000003</v>
      </c>
      <c r="AD184" s="4">
        <f t="shared" si="15"/>
        <v>0</v>
      </c>
      <c r="AE184" s="4">
        <f ca="1">(L184-M184)*(Z184+AA184)+($Z$128+$AA$128-$Z$184-$AA$184)*(L184)</f>
        <v>97.18062432699125</v>
      </c>
      <c r="AF184" s="3" t="s">
        <v>597</v>
      </c>
    </row>
    <row r="185" spans="1:32" ht="11.25" customHeight="1" x14ac:dyDescent="0.3">
      <c r="A185" s="3" t="s">
        <v>21</v>
      </c>
      <c r="B185" s="3" t="s">
        <v>40</v>
      </c>
      <c r="C185" s="3" t="s">
        <v>23</v>
      </c>
      <c r="D185" s="3" t="s">
        <v>41</v>
      </c>
      <c r="E185" s="3" t="s">
        <v>50</v>
      </c>
      <c r="F185" s="3" t="s">
        <v>51</v>
      </c>
      <c r="G185" s="3" t="s">
        <v>25</v>
      </c>
      <c r="H185" s="3" t="s">
        <v>25</v>
      </c>
      <c r="I185" s="6">
        <v>44562</v>
      </c>
      <c r="J185" s="4">
        <v>0</v>
      </c>
      <c r="K185" s="4">
        <v>0</v>
      </c>
      <c r="L185" s="4">
        <v>131.422</v>
      </c>
      <c r="M185" s="4">
        <v>131.422</v>
      </c>
      <c r="N185" s="4">
        <v>131.422</v>
      </c>
      <c r="O185" s="4">
        <v>131.422</v>
      </c>
      <c r="P185" s="4">
        <v>0</v>
      </c>
      <c r="Q185" s="3" t="s">
        <v>26</v>
      </c>
      <c r="R185" s="3">
        <v>0</v>
      </c>
      <c r="S185" s="3">
        <v>0</v>
      </c>
      <c r="T185" s="3">
        <v>36</v>
      </c>
      <c r="U185" s="3">
        <v>80</v>
      </c>
      <c r="V185" s="4">
        <f>IF(ISERROR(VLOOKUP($S$185,'TAR FIN'!$A$1:$O$85,15,0)),0,VLOOKUP($S$185,'TAR FIN'!$A$1:$O$85,15,0))</f>
        <v>0</v>
      </c>
      <c r="W185" s="4">
        <f>IF(ISERROR(VLOOKUP($T$185,'TAR FIN'!$A$1:$O$85,15,0)),0,VLOOKUP($T$185,'TAR FIN'!$A$1:$O$85,15,0))</f>
        <v>326.19</v>
      </c>
      <c r="X185" s="4">
        <f>IF(ISERROR(VLOOKUP($U$185,'TAR FIN'!$A$1:$O$85,15,0)),0,VLOOKUP($U$185,'TAR FIN'!$A$1:$O$85,15,0))</f>
        <v>256.83</v>
      </c>
      <c r="Y185" s="4"/>
      <c r="Z185" s="4">
        <f ca="1">('TUSD BE'!$AM$33+'TUSD BF'!$AM$33+'TUSD CVA'!$AM$33)*(1-CUSTOS!$M$38)</f>
        <v>403.45820595709068</v>
      </c>
      <c r="AA185" s="4">
        <f>('TE BE'!$AB$24+'TE BF'!$AB$24+'TE CVA'!$AB$24)*(1-CUSTOS!$M$38)</f>
        <v>200.94689439603792</v>
      </c>
      <c r="AB185" s="4">
        <f t="shared" si="14"/>
        <v>0</v>
      </c>
      <c r="AC185" s="4">
        <f>(L185-M185)*(W185+X185)+($W$128+$X$128-$W$185-$X$185)*(L185)</f>
        <v>10446.734780000001</v>
      </c>
      <c r="AD185" s="4">
        <f t="shared" si="15"/>
        <v>0</v>
      </c>
      <c r="AE185" s="4">
        <f ca="1">(L185-M185)*(Z185+AA185)+($Z$128+$AA$128-$Z$185-$AA$185)*(L185)</f>
        <v>5070.135772251625</v>
      </c>
      <c r="AF185" s="3" t="s">
        <v>597</v>
      </c>
    </row>
    <row r="186" spans="1:32" ht="11.25" customHeight="1" x14ac:dyDescent="0.3">
      <c r="A186" s="3" t="s">
        <v>27</v>
      </c>
      <c r="B186" s="3" t="s">
        <v>40</v>
      </c>
      <c r="C186" s="3" t="s">
        <v>23</v>
      </c>
      <c r="D186" s="3" t="s">
        <v>41</v>
      </c>
      <c r="E186" s="3" t="s">
        <v>50</v>
      </c>
      <c r="F186" s="3" t="s">
        <v>51</v>
      </c>
      <c r="G186" s="3" t="s">
        <v>25</v>
      </c>
      <c r="H186" s="3" t="s">
        <v>25</v>
      </c>
      <c r="I186" s="6">
        <v>44562</v>
      </c>
      <c r="J186" s="4">
        <v>0</v>
      </c>
      <c r="K186" s="4">
        <v>0</v>
      </c>
      <c r="L186" s="4">
        <v>5.9550000000000001</v>
      </c>
      <c r="M186" s="4">
        <v>5.9550000000000001</v>
      </c>
      <c r="N186" s="4">
        <v>5.9550000000000001</v>
      </c>
      <c r="O186" s="4">
        <v>5.9550000000000001</v>
      </c>
      <c r="P186" s="4">
        <v>0</v>
      </c>
      <c r="Q186" s="3" t="s">
        <v>26</v>
      </c>
      <c r="R186" s="3">
        <v>0</v>
      </c>
      <c r="S186" s="3">
        <v>0</v>
      </c>
      <c r="T186" s="3">
        <v>36</v>
      </c>
      <c r="U186" s="3">
        <v>80</v>
      </c>
      <c r="V186" s="4">
        <f>IF(ISERROR(VLOOKUP($S$186,'TAR FIN'!$A$1:$O$85,15,0)),0,VLOOKUP($S$186,'TAR FIN'!$A$1:$O$85,15,0))</f>
        <v>0</v>
      </c>
      <c r="W186" s="4">
        <f>IF(ISERROR(VLOOKUP($T$186,'TAR FIN'!$A$1:$O$85,15,0)),0,VLOOKUP($T$186,'TAR FIN'!$A$1:$O$85,15,0))</f>
        <v>326.19</v>
      </c>
      <c r="X186" s="4">
        <f>IF(ISERROR(VLOOKUP($U$186,'TAR FIN'!$A$1:$O$85,15,0)),0,VLOOKUP($U$186,'TAR FIN'!$A$1:$O$85,15,0))</f>
        <v>256.83</v>
      </c>
      <c r="Y186" s="4"/>
      <c r="Z186" s="4">
        <f ca="1">('TUSD BE'!$AM$33+'TUSD BF'!$AM$33+'TUSD CVA'!$AM$33)*(1-CUSTOS!$M$38)</f>
        <v>403.45820595709068</v>
      </c>
      <c r="AA186" s="4">
        <f>('TE BE'!$AB$24+'TE BF'!$AB$24+'TE CVA'!$AB$24)*(1-CUSTOS!$M$38)</f>
        <v>200.94689439603792</v>
      </c>
      <c r="AB186" s="4">
        <f t="shared" si="14"/>
        <v>0</v>
      </c>
      <c r="AC186" s="4">
        <f>(L186-M186)*(W186+X186)+($W$128+$X$128-$W$186-$X$186)*(L186)</f>
        <v>473.36295000000007</v>
      </c>
      <c r="AD186" s="4">
        <f t="shared" si="15"/>
        <v>0</v>
      </c>
      <c r="AE186" s="4">
        <f ca="1">(L186-M186)*(Z186+AA186)+($Z$128+$AA$128-$Z$186-$AA$186)*(L186)</f>
        <v>229.73823654911985</v>
      </c>
      <c r="AF186" s="3" t="s">
        <v>597</v>
      </c>
    </row>
    <row r="187" spans="1:32" ht="11.25" customHeight="1" x14ac:dyDescent="0.3">
      <c r="A187" s="3" t="s">
        <v>21</v>
      </c>
      <c r="B187" s="3" t="s">
        <v>40</v>
      </c>
      <c r="C187" s="3" t="s">
        <v>23</v>
      </c>
      <c r="D187" s="3" t="s">
        <v>41</v>
      </c>
      <c r="E187" s="3" t="s">
        <v>50</v>
      </c>
      <c r="F187" s="3" t="s">
        <v>51</v>
      </c>
      <c r="G187" s="3" t="s">
        <v>25</v>
      </c>
      <c r="H187" s="3" t="s">
        <v>25</v>
      </c>
      <c r="I187" s="6">
        <v>44593</v>
      </c>
      <c r="J187" s="4">
        <v>0</v>
      </c>
      <c r="K187" s="4">
        <v>0</v>
      </c>
      <c r="L187" s="4">
        <v>146.76900000000001</v>
      </c>
      <c r="M187" s="4">
        <v>146.76900000000001</v>
      </c>
      <c r="N187" s="4">
        <v>146.76900000000001</v>
      </c>
      <c r="O187" s="4">
        <v>146.76900000000001</v>
      </c>
      <c r="P187" s="4">
        <v>0</v>
      </c>
      <c r="Q187" s="3" t="s">
        <v>26</v>
      </c>
      <c r="R187" s="3">
        <v>0</v>
      </c>
      <c r="S187" s="3">
        <v>0</v>
      </c>
      <c r="T187" s="3">
        <v>36</v>
      </c>
      <c r="U187" s="3">
        <v>80</v>
      </c>
      <c r="V187" s="4">
        <f>IF(ISERROR(VLOOKUP($S$187,'TAR FIN'!$A$1:$O$85,15,0)),0,VLOOKUP($S$187,'TAR FIN'!$A$1:$O$85,15,0))</f>
        <v>0</v>
      </c>
      <c r="W187" s="4">
        <f>IF(ISERROR(VLOOKUP($T$187,'TAR FIN'!$A$1:$O$85,15,0)),0,VLOOKUP($T$187,'TAR FIN'!$A$1:$O$85,15,0))</f>
        <v>326.19</v>
      </c>
      <c r="X187" s="4">
        <f>IF(ISERROR(VLOOKUP($U$187,'TAR FIN'!$A$1:$O$85,15,0)),0,VLOOKUP($U$187,'TAR FIN'!$A$1:$O$85,15,0))</f>
        <v>256.83</v>
      </c>
      <c r="Y187" s="4"/>
      <c r="Z187" s="4">
        <f ca="1">('TUSD BE'!$AM$33+'TUSD BF'!$AM$33+'TUSD CVA'!$AM$33)*(1-CUSTOS!$M$38)</f>
        <v>403.45820595709068</v>
      </c>
      <c r="AA187" s="4">
        <f>('TE BE'!$AB$24+'TE BF'!$AB$24+'TE CVA'!$AB$24)*(1-CUSTOS!$M$38)</f>
        <v>200.94689439603792</v>
      </c>
      <c r="AB187" s="4">
        <f t="shared" si="14"/>
        <v>0</v>
      </c>
      <c r="AC187" s="4">
        <f>(L187-M187)*(W187+X187)+($W$128+$X$128-$W$187-$X$187)*(L187)</f>
        <v>11666.667810000003</v>
      </c>
      <c r="AD187" s="4">
        <f t="shared" si="15"/>
        <v>0</v>
      </c>
      <c r="AE187" s="4">
        <f ca="1">(L187-M187)*(Z187+AA187)+($Z$128+$AA$128-$Z$187-$AA$187)*(L187)</f>
        <v>5662.2084366209529</v>
      </c>
      <c r="AF187" s="3" t="s">
        <v>597</v>
      </c>
    </row>
    <row r="188" spans="1:32" ht="11.25" customHeight="1" x14ac:dyDescent="0.3">
      <c r="A188" s="3" t="s">
        <v>27</v>
      </c>
      <c r="B188" s="3" t="s">
        <v>40</v>
      </c>
      <c r="C188" s="3" t="s">
        <v>23</v>
      </c>
      <c r="D188" s="3" t="s">
        <v>41</v>
      </c>
      <c r="E188" s="3" t="s">
        <v>50</v>
      </c>
      <c r="F188" s="3" t="s">
        <v>51</v>
      </c>
      <c r="G188" s="3" t="s">
        <v>25</v>
      </c>
      <c r="H188" s="3" t="s">
        <v>25</v>
      </c>
      <c r="I188" s="6">
        <v>44593</v>
      </c>
      <c r="J188" s="4">
        <v>0</v>
      </c>
      <c r="K188" s="4">
        <v>0</v>
      </c>
      <c r="L188" s="4">
        <v>3.589</v>
      </c>
      <c r="M188" s="4">
        <v>3.589</v>
      </c>
      <c r="N188" s="4">
        <v>3.589</v>
      </c>
      <c r="O188" s="4">
        <v>3.589</v>
      </c>
      <c r="P188" s="4">
        <v>0</v>
      </c>
      <c r="Q188" s="3" t="s">
        <v>26</v>
      </c>
      <c r="R188" s="3">
        <v>0</v>
      </c>
      <c r="S188" s="3">
        <v>0</v>
      </c>
      <c r="T188" s="3">
        <v>36</v>
      </c>
      <c r="U188" s="3">
        <v>80</v>
      </c>
      <c r="V188" s="4">
        <f>IF(ISERROR(VLOOKUP($S$188,'TAR FIN'!$A$1:$O$85,15,0)),0,VLOOKUP($S$188,'TAR FIN'!$A$1:$O$85,15,0))</f>
        <v>0</v>
      </c>
      <c r="W188" s="4">
        <f>IF(ISERROR(VLOOKUP($T$188,'TAR FIN'!$A$1:$O$85,15,0)),0,VLOOKUP($T$188,'TAR FIN'!$A$1:$O$85,15,0))</f>
        <v>326.19</v>
      </c>
      <c r="X188" s="4">
        <f>IF(ISERROR(VLOOKUP($U$188,'TAR FIN'!$A$1:$O$85,15,0)),0,VLOOKUP($U$188,'TAR FIN'!$A$1:$O$85,15,0))</f>
        <v>256.83</v>
      </c>
      <c r="Y188" s="4"/>
      <c r="Z188" s="4">
        <f ca="1">('TUSD BE'!$AM$33+'TUSD BF'!$AM$33+'TUSD CVA'!$AM$33)*(1-CUSTOS!$M$38)</f>
        <v>403.45820595709068</v>
      </c>
      <c r="AA188" s="4">
        <f>('TE BE'!$AB$24+'TE BF'!$AB$24+'TE CVA'!$AB$24)*(1-CUSTOS!$M$38)</f>
        <v>200.94689439603792</v>
      </c>
      <c r="AB188" s="4">
        <f t="shared" si="14"/>
        <v>0</v>
      </c>
      <c r="AC188" s="4">
        <f>(L188-M188)*(W188+X188)+($W$128+$X$128-$W$188-$X$188)*(L188)</f>
        <v>285.28961000000004</v>
      </c>
      <c r="AD188" s="4">
        <f t="shared" si="15"/>
        <v>0</v>
      </c>
      <c r="AE188" s="4">
        <f ca="1">(L188-M188)*(Z188+AA188)+($Z$128+$AA$128-$Z$188-$AA$188)*(L188)</f>
        <v>138.46020671281127</v>
      </c>
      <c r="AF188" s="3" t="s">
        <v>597</v>
      </c>
    </row>
    <row r="189" spans="1:32" ht="11.25" customHeight="1" x14ac:dyDescent="0.3">
      <c r="A189" s="3" t="s">
        <v>21</v>
      </c>
      <c r="B189" s="3" t="s">
        <v>40</v>
      </c>
      <c r="C189" s="3" t="s">
        <v>23</v>
      </c>
      <c r="D189" s="3" t="s">
        <v>41</v>
      </c>
      <c r="E189" s="3" t="s">
        <v>50</v>
      </c>
      <c r="F189" s="3" t="s">
        <v>51</v>
      </c>
      <c r="G189" s="3" t="s">
        <v>25</v>
      </c>
      <c r="H189" s="3" t="s">
        <v>25</v>
      </c>
      <c r="I189" s="6">
        <v>44621</v>
      </c>
      <c r="J189" s="4">
        <v>0</v>
      </c>
      <c r="K189" s="4">
        <v>0</v>
      </c>
      <c r="L189" s="4">
        <v>170.96600000000001</v>
      </c>
      <c r="M189" s="4">
        <v>170.96600000000001</v>
      </c>
      <c r="N189" s="4">
        <v>170.96600000000001</v>
      </c>
      <c r="O189" s="4">
        <v>170.96600000000001</v>
      </c>
      <c r="P189" s="4">
        <v>0</v>
      </c>
      <c r="Q189" s="3" t="s">
        <v>26</v>
      </c>
      <c r="R189" s="3">
        <v>0</v>
      </c>
      <c r="S189" s="3">
        <v>0</v>
      </c>
      <c r="T189" s="3">
        <v>36</v>
      </c>
      <c r="U189" s="3">
        <v>80</v>
      </c>
      <c r="V189" s="4">
        <f>IF(ISERROR(VLOOKUP($S$189,'TAR FIN'!$A$1:$O$85,15,0)),0,VLOOKUP($S$189,'TAR FIN'!$A$1:$O$85,15,0))</f>
        <v>0</v>
      </c>
      <c r="W189" s="4">
        <f>IF(ISERROR(VLOOKUP($T$189,'TAR FIN'!$A$1:$O$85,15,0)),0,VLOOKUP($T$189,'TAR FIN'!$A$1:$O$85,15,0))</f>
        <v>326.19</v>
      </c>
      <c r="X189" s="4">
        <f>IF(ISERROR(VLOOKUP($U$189,'TAR FIN'!$A$1:$O$85,15,0)),0,VLOOKUP($U$189,'TAR FIN'!$A$1:$O$85,15,0))</f>
        <v>256.83</v>
      </c>
      <c r="Y189" s="4"/>
      <c r="Z189" s="4">
        <f ca="1">('TUSD BE'!$AM$33+'TUSD BF'!$AM$33+'TUSD CVA'!$AM$33)*(1-CUSTOS!$M$38)</f>
        <v>403.45820595709068</v>
      </c>
      <c r="AA189" s="4">
        <f>('TE BE'!$AB$24+'TE BF'!$AB$24+'TE CVA'!$AB$24)*(1-CUSTOS!$M$38)</f>
        <v>200.94689439603792</v>
      </c>
      <c r="AB189" s="4">
        <f t="shared" si="14"/>
        <v>0</v>
      </c>
      <c r="AC189" s="4">
        <f>(L189-M189)*(W189+X189)+($W$128+$X$128-$W$189-$X$189)*(L189)</f>
        <v>13590.087340000002</v>
      </c>
      <c r="AD189" s="4">
        <f t="shared" si="15"/>
        <v>0</v>
      </c>
      <c r="AE189" s="4">
        <f ca="1">(L189-M189)*(Z189+AA189)+($Z$128+$AA$128-$Z$189-$AA$189)*(L189)</f>
        <v>6595.7056842748661</v>
      </c>
      <c r="AF189" s="3" t="s">
        <v>597</v>
      </c>
    </row>
    <row r="190" spans="1:32" ht="11.25" customHeight="1" x14ac:dyDescent="0.3">
      <c r="A190" s="3" t="s">
        <v>27</v>
      </c>
      <c r="B190" s="3" t="s">
        <v>40</v>
      </c>
      <c r="C190" s="3" t="s">
        <v>23</v>
      </c>
      <c r="D190" s="3" t="s">
        <v>41</v>
      </c>
      <c r="E190" s="3" t="s">
        <v>50</v>
      </c>
      <c r="F190" s="3" t="s">
        <v>51</v>
      </c>
      <c r="G190" s="3" t="s">
        <v>25</v>
      </c>
      <c r="H190" s="3" t="s">
        <v>25</v>
      </c>
      <c r="I190" s="6">
        <v>44621</v>
      </c>
      <c r="J190" s="4">
        <v>0</v>
      </c>
      <c r="K190" s="4">
        <v>0</v>
      </c>
      <c r="L190" s="4">
        <v>10.715</v>
      </c>
      <c r="M190" s="4">
        <v>10.715</v>
      </c>
      <c r="N190" s="4">
        <v>10.715</v>
      </c>
      <c r="O190" s="4">
        <v>10.715</v>
      </c>
      <c r="P190" s="4">
        <v>0</v>
      </c>
      <c r="Q190" s="3" t="s">
        <v>26</v>
      </c>
      <c r="R190" s="3">
        <v>0</v>
      </c>
      <c r="S190" s="3">
        <v>0</v>
      </c>
      <c r="T190" s="3">
        <v>36</v>
      </c>
      <c r="U190" s="3">
        <v>80</v>
      </c>
      <c r="V190" s="4">
        <f>IF(ISERROR(VLOOKUP($S$190,'TAR FIN'!$A$1:$O$85,15,0)),0,VLOOKUP($S$190,'TAR FIN'!$A$1:$O$85,15,0))</f>
        <v>0</v>
      </c>
      <c r="W190" s="4">
        <f>IF(ISERROR(VLOOKUP($T$190,'TAR FIN'!$A$1:$O$85,15,0)),0,VLOOKUP($T$190,'TAR FIN'!$A$1:$O$85,15,0))</f>
        <v>326.19</v>
      </c>
      <c r="X190" s="4">
        <f>IF(ISERROR(VLOOKUP($U$190,'TAR FIN'!$A$1:$O$85,15,0)),0,VLOOKUP($U$190,'TAR FIN'!$A$1:$O$85,15,0))</f>
        <v>256.83</v>
      </c>
      <c r="Y190" s="4"/>
      <c r="Z190" s="4">
        <f ca="1">('TUSD BE'!$AM$33+'TUSD BF'!$AM$33+'TUSD CVA'!$AM$33)*(1-CUSTOS!$M$38)</f>
        <v>403.45820595709068</v>
      </c>
      <c r="AA190" s="4">
        <f>('TE BE'!$AB$24+'TE BF'!$AB$24+'TE CVA'!$AB$24)*(1-CUSTOS!$M$38)</f>
        <v>200.94689439603792</v>
      </c>
      <c r="AB190" s="4">
        <f t="shared" si="14"/>
        <v>0</v>
      </c>
      <c r="AC190" s="4">
        <f>(L190-M190)*(W190+X190)+($W$128+$X$128-$W$190-$X$190)*(L190)</f>
        <v>851.73535000000004</v>
      </c>
      <c r="AD190" s="4">
        <f t="shared" si="15"/>
        <v>0</v>
      </c>
      <c r="AE190" s="4">
        <f ca="1">(L190-M190)*(Z190+AA190)+($Z$128+$AA$128-$Z$190-$AA$190)*(L190)</f>
        <v>413.37450959258086</v>
      </c>
      <c r="AF190" s="3" t="s">
        <v>597</v>
      </c>
    </row>
    <row r="191" spans="1:32" ht="11.25" customHeight="1" x14ac:dyDescent="0.3">
      <c r="A191" s="3" t="s">
        <v>21</v>
      </c>
      <c r="B191" s="3" t="s">
        <v>40</v>
      </c>
      <c r="C191" s="3" t="s">
        <v>23</v>
      </c>
      <c r="D191" s="3" t="s">
        <v>41</v>
      </c>
      <c r="E191" s="3" t="s">
        <v>50</v>
      </c>
      <c r="F191" s="3" t="s">
        <v>51</v>
      </c>
      <c r="G191" s="3" t="s">
        <v>25</v>
      </c>
      <c r="H191" s="3" t="s">
        <v>25</v>
      </c>
      <c r="I191" s="6">
        <v>44652</v>
      </c>
      <c r="J191" s="4">
        <v>0</v>
      </c>
      <c r="K191" s="4">
        <v>0</v>
      </c>
      <c r="L191" s="4">
        <v>165.13200000000001</v>
      </c>
      <c r="M191" s="4">
        <v>165.13200000000001</v>
      </c>
      <c r="N191" s="4">
        <v>165.13200000000001</v>
      </c>
      <c r="O191" s="4">
        <v>165.13200000000001</v>
      </c>
      <c r="P191" s="4">
        <v>0</v>
      </c>
      <c r="Q191" s="3" t="s">
        <v>26</v>
      </c>
      <c r="R191" s="3">
        <v>0</v>
      </c>
      <c r="S191" s="3">
        <v>0</v>
      </c>
      <c r="T191" s="3">
        <v>36</v>
      </c>
      <c r="U191" s="3">
        <v>80</v>
      </c>
      <c r="V191" s="4">
        <f>IF(ISERROR(VLOOKUP($S$191,'TAR FIN'!$A$1:$O$85,15,0)),0,VLOOKUP($S$191,'TAR FIN'!$A$1:$O$85,15,0))</f>
        <v>0</v>
      </c>
      <c r="W191" s="4">
        <f>IF(ISERROR(VLOOKUP($T$191,'TAR FIN'!$A$1:$O$85,15,0)),0,VLOOKUP($T$191,'TAR FIN'!$A$1:$O$85,15,0))</f>
        <v>326.19</v>
      </c>
      <c r="X191" s="4">
        <f>IF(ISERROR(VLOOKUP($U$191,'TAR FIN'!$A$1:$O$85,15,0)),0,VLOOKUP($U$191,'TAR FIN'!$A$1:$O$85,15,0))</f>
        <v>256.83</v>
      </c>
      <c r="Y191" s="4"/>
      <c r="Z191" s="4">
        <f ca="1">('TUSD BE'!$AM$33+'TUSD BF'!$AM$33+'TUSD CVA'!$AM$33)*(1-CUSTOS!$M$38)</f>
        <v>403.45820595709068</v>
      </c>
      <c r="AA191" s="4">
        <f>('TE BE'!$AB$24+'TE BF'!$AB$24+'TE CVA'!$AB$24)*(1-CUSTOS!$M$38)</f>
        <v>200.94689439603792</v>
      </c>
      <c r="AB191" s="4">
        <f t="shared" si="14"/>
        <v>0</v>
      </c>
      <c r="AC191" s="4">
        <f>(L191-M191)*(W191+X191)+($W$128+$X$128-$W$191-$X$191)*(L191)</f>
        <v>13126.342680000002</v>
      </c>
      <c r="AD191" s="4">
        <f t="shared" si="15"/>
        <v>0</v>
      </c>
      <c r="AE191" s="4">
        <f ca="1">(L191-M191)*(Z191+AA191)+($Z$128+$AA$128-$Z$191-$AA$191)*(L191)</f>
        <v>6370.6355126497501</v>
      </c>
      <c r="AF191" s="3" t="s">
        <v>597</v>
      </c>
    </row>
    <row r="192" spans="1:32" ht="11.25" customHeight="1" x14ac:dyDescent="0.3">
      <c r="A192" s="3" t="s">
        <v>48</v>
      </c>
      <c r="B192" s="3" t="s">
        <v>40</v>
      </c>
      <c r="C192" s="3" t="s">
        <v>23</v>
      </c>
      <c r="D192" s="3" t="s">
        <v>41</v>
      </c>
      <c r="E192" s="3" t="s">
        <v>50</v>
      </c>
      <c r="F192" s="3" t="s">
        <v>51</v>
      </c>
      <c r="G192" s="3" t="s">
        <v>25</v>
      </c>
      <c r="H192" s="3" t="s">
        <v>25</v>
      </c>
      <c r="I192" s="6">
        <v>44652</v>
      </c>
      <c r="J192" s="4">
        <v>0</v>
      </c>
      <c r="K192" s="4">
        <v>0</v>
      </c>
      <c r="L192" s="4">
        <v>-0.29399999999999998</v>
      </c>
      <c r="M192" s="4">
        <v>-0.29399999999999998</v>
      </c>
      <c r="N192" s="4">
        <v>-0.29399999999999998</v>
      </c>
      <c r="O192" s="4">
        <v>-0.29399999999999998</v>
      </c>
      <c r="P192" s="4">
        <v>0</v>
      </c>
      <c r="Q192" s="3" t="s">
        <v>26</v>
      </c>
      <c r="R192" s="3">
        <v>0</v>
      </c>
      <c r="S192" s="3">
        <v>0</v>
      </c>
      <c r="T192" s="3">
        <v>36</v>
      </c>
      <c r="U192" s="3">
        <v>80</v>
      </c>
      <c r="V192" s="4">
        <f>IF(ISERROR(VLOOKUP($S$192,'TAR FIN'!$A$1:$O$85,15,0)),0,VLOOKUP($S$192,'TAR FIN'!$A$1:$O$85,15,0))</f>
        <v>0</v>
      </c>
      <c r="W192" s="4">
        <f>IF(ISERROR(VLOOKUP($T$192,'TAR FIN'!$A$1:$O$85,15,0)),0,VLOOKUP($T$192,'TAR FIN'!$A$1:$O$85,15,0))</f>
        <v>326.19</v>
      </c>
      <c r="X192" s="4">
        <f>IF(ISERROR(VLOOKUP($U$192,'TAR FIN'!$A$1:$O$85,15,0)),0,VLOOKUP($U$192,'TAR FIN'!$A$1:$O$85,15,0))</f>
        <v>256.83</v>
      </c>
      <c r="Y192" s="4"/>
      <c r="Z192" s="4">
        <f ca="1">('TUSD BE'!$AM$33+'TUSD BF'!$AM$33+'TUSD CVA'!$AM$33)*(1-CUSTOS!$M$38)</f>
        <v>403.45820595709068</v>
      </c>
      <c r="AA192" s="4">
        <f>('TE BE'!$AB$24+'TE BF'!$AB$24+'TE CVA'!$AB$24)*(1-CUSTOS!$M$38)</f>
        <v>200.94689439603792</v>
      </c>
      <c r="AB192" s="4">
        <f t="shared" si="14"/>
        <v>0</v>
      </c>
      <c r="AC192" s="4">
        <f>(L192-M192)*(W192+X192)+($W$128+$X$128-$W$192-$X$192)*(L192)</f>
        <v>-23.370060000000002</v>
      </c>
      <c r="AD192" s="4">
        <f t="shared" si="15"/>
        <v>0</v>
      </c>
      <c r="AE192" s="4">
        <f ca="1">(L192-M192)*(Z192+AA192)+($Z$128+$AA$128-$Z$192-$AA$192)*(L192)</f>
        <v>-11.342240393860829</v>
      </c>
      <c r="AF192" s="3" t="s">
        <v>597</v>
      </c>
    </row>
    <row r="193" spans="1:32" ht="11.25" customHeight="1" x14ac:dyDescent="0.3">
      <c r="A193" s="3" t="s">
        <v>27</v>
      </c>
      <c r="B193" s="3" t="s">
        <v>40</v>
      </c>
      <c r="C193" s="3" t="s">
        <v>23</v>
      </c>
      <c r="D193" s="3" t="s">
        <v>41</v>
      </c>
      <c r="E193" s="3" t="s">
        <v>50</v>
      </c>
      <c r="F193" s="3" t="s">
        <v>51</v>
      </c>
      <c r="G193" s="3" t="s">
        <v>25</v>
      </c>
      <c r="H193" s="3" t="s">
        <v>25</v>
      </c>
      <c r="I193" s="6">
        <v>44652</v>
      </c>
      <c r="J193" s="4">
        <v>0</v>
      </c>
      <c r="K193" s="4">
        <v>0</v>
      </c>
      <c r="L193" s="4">
        <v>15.925000000000001</v>
      </c>
      <c r="M193" s="4">
        <v>15.925000000000001</v>
      </c>
      <c r="N193" s="4">
        <v>15.925000000000001</v>
      </c>
      <c r="O193" s="4">
        <v>15.925000000000001</v>
      </c>
      <c r="P193" s="4">
        <v>0</v>
      </c>
      <c r="Q193" s="3" t="s">
        <v>26</v>
      </c>
      <c r="R193" s="3">
        <v>0</v>
      </c>
      <c r="S193" s="3">
        <v>0</v>
      </c>
      <c r="T193" s="3">
        <v>36</v>
      </c>
      <c r="U193" s="3">
        <v>80</v>
      </c>
      <c r="V193" s="4">
        <f>IF(ISERROR(VLOOKUP($S$193,'TAR FIN'!$A$1:$O$85,15,0)),0,VLOOKUP($S$193,'TAR FIN'!$A$1:$O$85,15,0))</f>
        <v>0</v>
      </c>
      <c r="W193" s="4">
        <f>IF(ISERROR(VLOOKUP($T$193,'TAR FIN'!$A$1:$O$85,15,0)),0,VLOOKUP($T$193,'TAR FIN'!$A$1:$O$85,15,0))</f>
        <v>326.19</v>
      </c>
      <c r="X193" s="4">
        <f>IF(ISERROR(VLOOKUP($U$193,'TAR FIN'!$A$1:$O$85,15,0)),0,VLOOKUP($U$193,'TAR FIN'!$A$1:$O$85,15,0))</f>
        <v>256.83</v>
      </c>
      <c r="Y193" s="4"/>
      <c r="Z193" s="4">
        <f ca="1">('TUSD BE'!$AM$33+'TUSD BF'!$AM$33+'TUSD CVA'!$AM$33)*(1-CUSTOS!$M$38)</f>
        <v>403.45820595709068</v>
      </c>
      <c r="AA193" s="4">
        <f>('TE BE'!$AB$24+'TE BF'!$AB$24+'TE CVA'!$AB$24)*(1-CUSTOS!$M$38)</f>
        <v>200.94689439603792</v>
      </c>
      <c r="AB193" s="4">
        <f t="shared" si="14"/>
        <v>0</v>
      </c>
      <c r="AC193" s="4">
        <f>(L193-M193)*(W193+X193)+($W$128+$X$128-$W$193-$X$193)*(L193)</f>
        <v>1265.8782500000002</v>
      </c>
      <c r="AD193" s="4">
        <f t="shared" si="15"/>
        <v>0</v>
      </c>
      <c r="AE193" s="4">
        <f ca="1">(L193-M193)*(Z193+AA193)+($Z$128+$AA$128-$Z$193-$AA$193)*(L193)</f>
        <v>614.37135466746156</v>
      </c>
      <c r="AF193" s="3" t="s">
        <v>597</v>
      </c>
    </row>
    <row r="194" spans="1:32" ht="11.25" customHeight="1" x14ac:dyDescent="0.3">
      <c r="A194" s="3" t="s">
        <v>27</v>
      </c>
      <c r="B194" s="3" t="s">
        <v>40</v>
      </c>
      <c r="C194" s="3" t="s">
        <v>23</v>
      </c>
      <c r="D194" s="3" t="s">
        <v>41</v>
      </c>
      <c r="E194" s="3" t="s">
        <v>50</v>
      </c>
      <c r="F194" s="3" t="s">
        <v>51</v>
      </c>
      <c r="G194" s="3" t="s">
        <v>25</v>
      </c>
      <c r="H194" s="3" t="s">
        <v>25</v>
      </c>
      <c r="I194" s="6">
        <v>44652</v>
      </c>
      <c r="J194" s="4">
        <v>0</v>
      </c>
      <c r="K194" s="4">
        <v>0</v>
      </c>
      <c r="L194" s="4">
        <v>-14.53</v>
      </c>
      <c r="M194" s="4">
        <v>-14.53</v>
      </c>
      <c r="N194" s="4">
        <v>-14.53</v>
      </c>
      <c r="O194" s="4">
        <v>-14.53</v>
      </c>
      <c r="P194" s="4">
        <v>0</v>
      </c>
      <c r="Q194" s="3" t="s">
        <v>26</v>
      </c>
      <c r="R194" s="3">
        <v>0</v>
      </c>
      <c r="S194" s="3">
        <v>0</v>
      </c>
      <c r="T194" s="3">
        <v>36</v>
      </c>
      <c r="U194" s="3">
        <v>80</v>
      </c>
      <c r="V194" s="4">
        <f>IF(ISERROR(VLOOKUP($S$194,'TAR FIN'!$A$1:$O$85,15,0)),0,VLOOKUP($S$194,'TAR FIN'!$A$1:$O$85,15,0))</f>
        <v>0</v>
      </c>
      <c r="W194" s="4">
        <f>IF(ISERROR(VLOOKUP($T$194,'TAR FIN'!$A$1:$O$85,15,0)),0,VLOOKUP($T$194,'TAR FIN'!$A$1:$O$85,15,0))</f>
        <v>326.19</v>
      </c>
      <c r="X194" s="4">
        <f>IF(ISERROR(VLOOKUP($U$194,'TAR FIN'!$A$1:$O$85,15,0)),0,VLOOKUP($U$194,'TAR FIN'!$A$1:$O$85,15,0))</f>
        <v>256.83</v>
      </c>
      <c r="Y194" s="4"/>
      <c r="Z194" s="4">
        <f ca="1">('TUSD BE'!$AM$33+'TUSD BF'!$AM$33+'TUSD CVA'!$AM$33)*(1-CUSTOS!$M$38)</f>
        <v>403.45820595709068</v>
      </c>
      <c r="AA194" s="4">
        <f>('TE BE'!$AB$24+'TE BF'!$AB$24+'TE CVA'!$AB$24)*(1-CUSTOS!$M$38)</f>
        <v>200.94689439603792</v>
      </c>
      <c r="AB194" s="4">
        <f t="shared" ref="AB194:AB257" si="16">(J194-K194)*V194</f>
        <v>0</v>
      </c>
      <c r="AC194" s="4">
        <f>(L194-M194)*(W194+X194)+($W$128+$X$128-$W$194-$X$194)*(L194)</f>
        <v>-1154.9897000000001</v>
      </c>
      <c r="AD194" s="4">
        <f t="shared" ref="AD194:AD257" si="17">(J194-K194)*Y194</f>
        <v>0</v>
      </c>
      <c r="AE194" s="4">
        <f ca="1">(L194-M194)*(Z194+AA194)+($Z$128+$AA$128-$Z$194-$AA$194)*(L194)</f>
        <v>-560.55358137006067</v>
      </c>
      <c r="AF194" s="3" t="s">
        <v>597</v>
      </c>
    </row>
    <row r="195" spans="1:32" ht="11.25" customHeight="1" x14ac:dyDescent="0.3">
      <c r="A195" s="3" t="s">
        <v>21</v>
      </c>
      <c r="B195" s="3" t="s">
        <v>40</v>
      </c>
      <c r="C195" s="3" t="s">
        <v>23</v>
      </c>
      <c r="D195" s="3" t="s">
        <v>41</v>
      </c>
      <c r="E195" s="3" t="s">
        <v>50</v>
      </c>
      <c r="F195" s="3" t="s">
        <v>51</v>
      </c>
      <c r="G195" s="3" t="s">
        <v>25</v>
      </c>
      <c r="H195" s="3" t="s">
        <v>25</v>
      </c>
      <c r="I195" s="6">
        <v>44682</v>
      </c>
      <c r="J195" s="4">
        <v>0</v>
      </c>
      <c r="K195" s="4">
        <v>0</v>
      </c>
      <c r="L195" s="4">
        <v>155.02699999999999</v>
      </c>
      <c r="M195" s="4">
        <v>155.02699999999999</v>
      </c>
      <c r="N195" s="4">
        <v>155.02699999999999</v>
      </c>
      <c r="O195" s="4">
        <v>155.02699999999999</v>
      </c>
      <c r="P195" s="4">
        <v>0</v>
      </c>
      <c r="Q195" s="3" t="s">
        <v>26</v>
      </c>
      <c r="R195" s="3">
        <v>0</v>
      </c>
      <c r="S195" s="3">
        <v>0</v>
      </c>
      <c r="T195" s="3">
        <v>36</v>
      </c>
      <c r="U195" s="3">
        <v>80</v>
      </c>
      <c r="V195" s="4">
        <f>IF(ISERROR(VLOOKUP($S$195,'TAR FIN'!$A$1:$O$85,15,0)),0,VLOOKUP($S$195,'TAR FIN'!$A$1:$O$85,15,0))</f>
        <v>0</v>
      </c>
      <c r="W195" s="4">
        <f>IF(ISERROR(VLOOKUP($T$195,'TAR FIN'!$A$1:$O$85,15,0)),0,VLOOKUP($T$195,'TAR FIN'!$A$1:$O$85,15,0))</f>
        <v>326.19</v>
      </c>
      <c r="X195" s="4">
        <f>IF(ISERROR(VLOOKUP($U$195,'TAR FIN'!$A$1:$O$85,15,0)),0,VLOOKUP($U$195,'TAR FIN'!$A$1:$O$85,15,0))</f>
        <v>256.83</v>
      </c>
      <c r="Y195" s="4"/>
      <c r="Z195" s="4">
        <f ca="1">('TUSD BE'!$AM$33+'TUSD BF'!$AM$33+'TUSD CVA'!$AM$33)*(1-CUSTOS!$M$38)</f>
        <v>403.45820595709068</v>
      </c>
      <c r="AA195" s="4">
        <f>('TE BE'!$AB$24+'TE BF'!$AB$24+'TE CVA'!$AB$24)*(1-CUSTOS!$M$38)</f>
        <v>200.94689439603792</v>
      </c>
      <c r="AB195" s="4">
        <f t="shared" si="16"/>
        <v>0</v>
      </c>
      <c r="AC195" s="4">
        <f>(L195-M195)*(W195+X195)+($W$128+$X$128-$W$195-$X$195)*(L195)</f>
        <v>12323.096230000001</v>
      </c>
      <c r="AD195" s="4">
        <f t="shared" si="17"/>
        <v>0</v>
      </c>
      <c r="AE195" s="4">
        <f ca="1">(L195-M195)*(Z195+AA195)+($Z$128+$AA$128-$Z$195-$AA$195)*(L195)</f>
        <v>5980.7942229219816</v>
      </c>
      <c r="AF195" s="3" t="s">
        <v>597</v>
      </c>
    </row>
    <row r="196" spans="1:32" ht="11.25" customHeight="1" x14ac:dyDescent="0.3">
      <c r="A196" s="3" t="s">
        <v>27</v>
      </c>
      <c r="B196" s="3" t="s">
        <v>40</v>
      </c>
      <c r="C196" s="3" t="s">
        <v>23</v>
      </c>
      <c r="D196" s="3" t="s">
        <v>41</v>
      </c>
      <c r="E196" s="3" t="s">
        <v>50</v>
      </c>
      <c r="F196" s="3" t="s">
        <v>51</v>
      </c>
      <c r="G196" s="3" t="s">
        <v>25</v>
      </c>
      <c r="H196" s="3" t="s">
        <v>25</v>
      </c>
      <c r="I196" s="6">
        <v>44682</v>
      </c>
      <c r="J196" s="4">
        <v>0</v>
      </c>
      <c r="K196" s="4">
        <v>0</v>
      </c>
      <c r="L196" s="4">
        <v>3.8679999999999999</v>
      </c>
      <c r="M196" s="4">
        <v>3.8679999999999999</v>
      </c>
      <c r="N196" s="4">
        <v>3.8679999999999999</v>
      </c>
      <c r="O196" s="4">
        <v>3.8679999999999999</v>
      </c>
      <c r="P196" s="4">
        <v>0</v>
      </c>
      <c r="Q196" s="3" t="s">
        <v>26</v>
      </c>
      <c r="R196" s="3">
        <v>0</v>
      </c>
      <c r="S196" s="3">
        <v>0</v>
      </c>
      <c r="T196" s="3">
        <v>36</v>
      </c>
      <c r="U196" s="3">
        <v>80</v>
      </c>
      <c r="V196" s="4">
        <f>IF(ISERROR(VLOOKUP($S$196,'TAR FIN'!$A$1:$O$85,15,0)),0,VLOOKUP($S$196,'TAR FIN'!$A$1:$O$85,15,0))</f>
        <v>0</v>
      </c>
      <c r="W196" s="4">
        <f>IF(ISERROR(VLOOKUP($T$196,'TAR FIN'!$A$1:$O$85,15,0)),0,VLOOKUP($T$196,'TAR FIN'!$A$1:$O$85,15,0))</f>
        <v>326.19</v>
      </c>
      <c r="X196" s="4">
        <f>IF(ISERROR(VLOOKUP($U$196,'TAR FIN'!$A$1:$O$85,15,0)),0,VLOOKUP($U$196,'TAR FIN'!$A$1:$O$85,15,0))</f>
        <v>256.83</v>
      </c>
      <c r="Y196" s="4"/>
      <c r="Z196" s="4">
        <f ca="1">('TUSD BE'!$AM$33+'TUSD BF'!$AM$33+'TUSD CVA'!$AM$33)*(1-CUSTOS!$M$38)</f>
        <v>403.45820595709068</v>
      </c>
      <c r="AA196" s="4">
        <f>('TE BE'!$AB$24+'TE BF'!$AB$24+'TE CVA'!$AB$24)*(1-CUSTOS!$M$38)</f>
        <v>200.94689439603792</v>
      </c>
      <c r="AB196" s="4">
        <f t="shared" si="16"/>
        <v>0</v>
      </c>
      <c r="AC196" s="4">
        <f>(L196-M196)*(W196+X196)+($W$128+$X$128-$W$196-$X$196)*(L196)</f>
        <v>307.46732000000003</v>
      </c>
      <c r="AD196" s="4">
        <f t="shared" si="17"/>
        <v>0</v>
      </c>
      <c r="AE196" s="4">
        <f ca="1">(L196-M196)*(Z196+AA196)+($Z$128+$AA$128-$Z$196-$AA$196)*(L196)</f>
        <v>149.22376137229145</v>
      </c>
      <c r="AF196" s="3" t="s">
        <v>597</v>
      </c>
    </row>
    <row r="197" spans="1:32" ht="11.25" customHeight="1" x14ac:dyDescent="0.3">
      <c r="A197" s="3" t="s">
        <v>27</v>
      </c>
      <c r="B197" s="3" t="s">
        <v>40</v>
      </c>
      <c r="C197" s="3" t="s">
        <v>23</v>
      </c>
      <c r="D197" s="3" t="s">
        <v>41</v>
      </c>
      <c r="E197" s="3" t="s">
        <v>50</v>
      </c>
      <c r="F197" s="3" t="s">
        <v>51</v>
      </c>
      <c r="G197" s="3" t="s">
        <v>25</v>
      </c>
      <c r="H197" s="3" t="s">
        <v>25</v>
      </c>
      <c r="I197" s="6">
        <v>44682</v>
      </c>
      <c r="J197" s="4">
        <v>0</v>
      </c>
      <c r="K197" s="4">
        <v>0</v>
      </c>
      <c r="L197" s="4">
        <v>-11.319000000000001</v>
      </c>
      <c r="M197" s="4">
        <v>-11.319000000000001</v>
      </c>
      <c r="N197" s="4">
        <v>-11.319000000000001</v>
      </c>
      <c r="O197" s="4">
        <v>-11.319000000000001</v>
      </c>
      <c r="P197" s="4">
        <v>0</v>
      </c>
      <c r="Q197" s="3" t="s">
        <v>26</v>
      </c>
      <c r="R197" s="3">
        <v>0</v>
      </c>
      <c r="S197" s="3">
        <v>0</v>
      </c>
      <c r="T197" s="3">
        <v>36</v>
      </c>
      <c r="U197" s="3">
        <v>80</v>
      </c>
      <c r="V197" s="4">
        <f>IF(ISERROR(VLOOKUP($S$197,'TAR FIN'!$A$1:$O$85,15,0)),0,VLOOKUP($S$197,'TAR FIN'!$A$1:$O$85,15,0))</f>
        <v>0</v>
      </c>
      <c r="W197" s="4">
        <f>IF(ISERROR(VLOOKUP($T$197,'TAR FIN'!$A$1:$O$85,15,0)),0,VLOOKUP($T$197,'TAR FIN'!$A$1:$O$85,15,0))</f>
        <v>326.19</v>
      </c>
      <c r="X197" s="4">
        <f>IF(ISERROR(VLOOKUP($U$197,'TAR FIN'!$A$1:$O$85,15,0)),0,VLOOKUP($U$197,'TAR FIN'!$A$1:$O$85,15,0))</f>
        <v>256.83</v>
      </c>
      <c r="Y197" s="4"/>
      <c r="Z197" s="4">
        <f ca="1">('TUSD BE'!$AM$33+'TUSD BF'!$AM$33+'TUSD CVA'!$AM$33)*(1-CUSTOS!$M$38)</f>
        <v>403.45820595709068</v>
      </c>
      <c r="AA197" s="4">
        <f>('TE BE'!$AB$24+'TE BF'!$AB$24+'TE CVA'!$AB$24)*(1-CUSTOS!$M$38)</f>
        <v>200.94689439603792</v>
      </c>
      <c r="AB197" s="4">
        <f t="shared" si="16"/>
        <v>0</v>
      </c>
      <c r="AC197" s="4">
        <f>(L197-M197)*(W197+X197)+($W$128+$X$128-$W$197-$X$197)*(L197)</f>
        <v>-899.7473100000002</v>
      </c>
      <c r="AD197" s="4">
        <f t="shared" si="17"/>
        <v>0</v>
      </c>
      <c r="AE197" s="4">
        <f ca="1">(L197-M197)*(Z197+AA197)+($Z$128+$AA$128-$Z$197-$AA$197)*(L197)</f>
        <v>-436.67625516364194</v>
      </c>
      <c r="AF197" s="3" t="s">
        <v>597</v>
      </c>
    </row>
    <row r="198" spans="1:32" ht="11.25" customHeight="1" x14ac:dyDescent="0.3">
      <c r="A198" s="3" t="s">
        <v>21</v>
      </c>
      <c r="B198" s="3" t="s">
        <v>40</v>
      </c>
      <c r="C198" s="3" t="s">
        <v>23</v>
      </c>
      <c r="D198" s="3" t="s">
        <v>41</v>
      </c>
      <c r="E198" s="3" t="s">
        <v>50</v>
      </c>
      <c r="F198" s="3" t="s">
        <v>51</v>
      </c>
      <c r="G198" s="3" t="s">
        <v>25</v>
      </c>
      <c r="H198" s="3" t="s">
        <v>25</v>
      </c>
      <c r="I198" s="6">
        <v>44713</v>
      </c>
      <c r="J198" s="4">
        <v>0</v>
      </c>
      <c r="K198" s="4">
        <v>0</v>
      </c>
      <c r="L198" s="4">
        <v>138.32900000000001</v>
      </c>
      <c r="M198" s="4">
        <v>138.32900000000001</v>
      </c>
      <c r="N198" s="4">
        <v>138.32900000000001</v>
      </c>
      <c r="O198" s="4">
        <v>138.32900000000001</v>
      </c>
      <c r="P198" s="4">
        <v>0</v>
      </c>
      <c r="Q198" s="3" t="s">
        <v>26</v>
      </c>
      <c r="R198" s="3">
        <v>0</v>
      </c>
      <c r="S198" s="3">
        <v>0</v>
      </c>
      <c r="T198" s="3">
        <v>36</v>
      </c>
      <c r="U198" s="3">
        <v>80</v>
      </c>
      <c r="V198" s="4">
        <f>IF(ISERROR(VLOOKUP($S$198,'TAR FIN'!$A$1:$O$85,15,0)),0,VLOOKUP($S$198,'TAR FIN'!$A$1:$O$85,15,0))</f>
        <v>0</v>
      </c>
      <c r="W198" s="4">
        <f>IF(ISERROR(VLOOKUP($T$198,'TAR FIN'!$A$1:$O$85,15,0)),0,VLOOKUP($T$198,'TAR FIN'!$A$1:$O$85,15,0))</f>
        <v>326.19</v>
      </c>
      <c r="X198" s="4">
        <f>IF(ISERROR(VLOOKUP($U$198,'TAR FIN'!$A$1:$O$85,15,0)),0,VLOOKUP($U$198,'TAR FIN'!$A$1:$O$85,15,0))</f>
        <v>256.83</v>
      </c>
      <c r="Y198" s="4"/>
      <c r="Z198" s="4">
        <f ca="1">('TUSD BE'!$AM$33+'TUSD BF'!$AM$33+'TUSD CVA'!$AM$33)*(1-CUSTOS!$M$38)</f>
        <v>403.45820595709068</v>
      </c>
      <c r="AA198" s="4">
        <f>('TE BE'!$AB$24+'TE BF'!$AB$24+'TE CVA'!$AB$24)*(1-CUSTOS!$M$38)</f>
        <v>200.94689439603792</v>
      </c>
      <c r="AB198" s="4">
        <f t="shared" si="16"/>
        <v>0</v>
      </c>
      <c r="AC198" s="4">
        <f>(L198-M198)*(W198+X198)+($W$128+$X$128-$W$198-$X$198)*(L198)</f>
        <v>10995.772210000001</v>
      </c>
      <c r="AD198" s="4">
        <f t="shared" si="17"/>
        <v>0</v>
      </c>
      <c r="AE198" s="4">
        <f ca="1">(L198-M198)*(Z198+AA198)+($Z$128+$AA$128-$Z$198-$AA$198)*(L198)</f>
        <v>5336.6012634094377</v>
      </c>
      <c r="AF198" s="3" t="s">
        <v>597</v>
      </c>
    </row>
    <row r="199" spans="1:32" ht="11.25" customHeight="1" x14ac:dyDescent="0.3">
      <c r="A199" s="3" t="s">
        <v>48</v>
      </c>
      <c r="B199" s="3" t="s">
        <v>40</v>
      </c>
      <c r="C199" s="3" t="s">
        <v>23</v>
      </c>
      <c r="D199" s="3" t="s">
        <v>41</v>
      </c>
      <c r="E199" s="3" t="s">
        <v>50</v>
      </c>
      <c r="F199" s="3" t="s">
        <v>51</v>
      </c>
      <c r="G199" s="3" t="s">
        <v>25</v>
      </c>
      <c r="H199" s="3" t="s">
        <v>25</v>
      </c>
      <c r="I199" s="6">
        <v>44713</v>
      </c>
      <c r="J199" s="4">
        <v>0</v>
      </c>
      <c r="K199" s="4">
        <v>0</v>
      </c>
      <c r="L199" s="4">
        <v>2E-3</v>
      </c>
      <c r="M199" s="4">
        <v>2E-3</v>
      </c>
      <c r="N199" s="4">
        <v>2E-3</v>
      </c>
      <c r="O199" s="4">
        <v>2E-3</v>
      </c>
      <c r="P199" s="4">
        <v>0</v>
      </c>
      <c r="Q199" s="3" t="s">
        <v>26</v>
      </c>
      <c r="R199" s="3">
        <v>0</v>
      </c>
      <c r="S199" s="3">
        <v>0</v>
      </c>
      <c r="T199" s="3">
        <v>36</v>
      </c>
      <c r="U199" s="3">
        <v>80</v>
      </c>
      <c r="V199" s="4">
        <f>IF(ISERROR(VLOOKUP($S$199,'TAR FIN'!$A$1:$O$85,15,0)),0,VLOOKUP($S$199,'TAR FIN'!$A$1:$O$85,15,0))</f>
        <v>0</v>
      </c>
      <c r="W199" s="4">
        <f>IF(ISERROR(VLOOKUP($T$199,'TAR FIN'!$A$1:$O$85,15,0)),0,VLOOKUP($T$199,'TAR FIN'!$A$1:$O$85,15,0))</f>
        <v>326.19</v>
      </c>
      <c r="X199" s="4">
        <f>IF(ISERROR(VLOOKUP($U$199,'TAR FIN'!$A$1:$O$85,15,0)),0,VLOOKUP($U$199,'TAR FIN'!$A$1:$O$85,15,0))</f>
        <v>256.83</v>
      </c>
      <c r="Y199" s="4"/>
      <c r="Z199" s="4">
        <f ca="1">('TUSD BE'!$AM$33+'TUSD BF'!$AM$33+'TUSD CVA'!$AM$33)*(1-CUSTOS!$M$38)</f>
        <v>403.45820595709068</v>
      </c>
      <c r="AA199" s="4">
        <f>('TE BE'!$AB$24+'TE BF'!$AB$24+'TE CVA'!$AB$24)*(1-CUSTOS!$M$38)</f>
        <v>200.94689439603792</v>
      </c>
      <c r="AB199" s="4">
        <f t="shared" si="16"/>
        <v>0</v>
      </c>
      <c r="AC199" s="4">
        <f>(L199-M199)*(W199+X199)+($W$128+$X$128-$W$199-$X$199)*(L199)</f>
        <v>0.15898000000000001</v>
      </c>
      <c r="AD199" s="4">
        <f t="shared" si="17"/>
        <v>0</v>
      </c>
      <c r="AE199" s="4">
        <f ca="1">(L199-M199)*(Z199+AA199)+($Z$128+$AA$128-$Z$199-$AA$199)*(L199)</f>
        <v>7.7158097917420607E-2</v>
      </c>
      <c r="AF199" s="3" t="s">
        <v>597</v>
      </c>
    </row>
    <row r="200" spans="1:32" ht="11.25" customHeight="1" x14ac:dyDescent="0.3">
      <c r="A200" s="3" t="s">
        <v>27</v>
      </c>
      <c r="B200" s="3" t="s">
        <v>40</v>
      </c>
      <c r="C200" s="3" t="s">
        <v>23</v>
      </c>
      <c r="D200" s="3" t="s">
        <v>41</v>
      </c>
      <c r="E200" s="3" t="s">
        <v>50</v>
      </c>
      <c r="F200" s="3" t="s">
        <v>51</v>
      </c>
      <c r="G200" s="3" t="s">
        <v>25</v>
      </c>
      <c r="H200" s="3" t="s">
        <v>25</v>
      </c>
      <c r="I200" s="6">
        <v>44713</v>
      </c>
      <c r="J200" s="4">
        <v>0</v>
      </c>
      <c r="K200" s="4">
        <v>0</v>
      </c>
      <c r="L200" s="4">
        <v>3.1179999999999999</v>
      </c>
      <c r="M200" s="4">
        <v>3.1179999999999999</v>
      </c>
      <c r="N200" s="4">
        <v>3.1179999999999999</v>
      </c>
      <c r="O200" s="4">
        <v>3.1179999999999999</v>
      </c>
      <c r="P200" s="4">
        <v>0</v>
      </c>
      <c r="Q200" s="3" t="s">
        <v>26</v>
      </c>
      <c r="R200" s="3">
        <v>0</v>
      </c>
      <c r="S200" s="3">
        <v>0</v>
      </c>
      <c r="T200" s="3">
        <v>36</v>
      </c>
      <c r="U200" s="3">
        <v>80</v>
      </c>
      <c r="V200" s="4">
        <f>IF(ISERROR(VLOOKUP($S$200,'TAR FIN'!$A$1:$O$85,15,0)),0,VLOOKUP($S$200,'TAR FIN'!$A$1:$O$85,15,0))</f>
        <v>0</v>
      </c>
      <c r="W200" s="4">
        <f>IF(ISERROR(VLOOKUP($T$200,'TAR FIN'!$A$1:$O$85,15,0)),0,VLOOKUP($T$200,'TAR FIN'!$A$1:$O$85,15,0))</f>
        <v>326.19</v>
      </c>
      <c r="X200" s="4">
        <f>IF(ISERROR(VLOOKUP($U$200,'TAR FIN'!$A$1:$O$85,15,0)),0,VLOOKUP($U$200,'TAR FIN'!$A$1:$O$85,15,0))</f>
        <v>256.83</v>
      </c>
      <c r="Y200" s="4"/>
      <c r="Z200" s="4">
        <f ca="1">('TUSD BE'!$AM$33+'TUSD BF'!$AM$33+'TUSD CVA'!$AM$33)*(1-CUSTOS!$M$38)</f>
        <v>403.45820595709068</v>
      </c>
      <c r="AA200" s="4">
        <f>('TE BE'!$AB$24+'TE BF'!$AB$24+'TE CVA'!$AB$24)*(1-CUSTOS!$M$38)</f>
        <v>200.94689439603792</v>
      </c>
      <c r="AB200" s="4">
        <f t="shared" si="16"/>
        <v>0</v>
      </c>
      <c r="AC200" s="4">
        <f>(L200-M200)*(W200+X200)+($W$128+$X$128-$W$200-$X$200)*(L200)</f>
        <v>247.84982000000002</v>
      </c>
      <c r="AD200" s="4">
        <f t="shared" si="17"/>
        <v>0</v>
      </c>
      <c r="AE200" s="4">
        <f ca="1">(L200-M200)*(Z200+AA200)+($Z$128+$AA$128-$Z$200-$AA$200)*(L200)</f>
        <v>120.28947465325872</v>
      </c>
      <c r="AF200" s="3" t="s">
        <v>597</v>
      </c>
    </row>
    <row r="201" spans="1:32" ht="11.25" customHeight="1" x14ac:dyDescent="0.3">
      <c r="A201" s="3" t="s">
        <v>21</v>
      </c>
      <c r="B201" s="3" t="s">
        <v>40</v>
      </c>
      <c r="C201" s="3" t="s">
        <v>23</v>
      </c>
      <c r="D201" s="3" t="s">
        <v>41</v>
      </c>
      <c r="E201" s="3" t="s">
        <v>50</v>
      </c>
      <c r="F201" s="3" t="s">
        <v>51</v>
      </c>
      <c r="G201" s="3" t="s">
        <v>25</v>
      </c>
      <c r="H201" s="3" t="s">
        <v>25</v>
      </c>
      <c r="I201" s="6">
        <v>44743</v>
      </c>
      <c r="J201" s="4">
        <v>0</v>
      </c>
      <c r="K201" s="4">
        <v>0</v>
      </c>
      <c r="L201" s="4">
        <v>106.161</v>
      </c>
      <c r="M201" s="4">
        <v>106.161</v>
      </c>
      <c r="N201" s="4">
        <v>106.161</v>
      </c>
      <c r="O201" s="4">
        <v>106.161</v>
      </c>
      <c r="P201" s="4">
        <v>0</v>
      </c>
      <c r="Q201" s="3" t="s">
        <v>26</v>
      </c>
      <c r="R201" s="3">
        <v>0</v>
      </c>
      <c r="S201" s="3">
        <v>0</v>
      </c>
      <c r="T201" s="3">
        <v>36</v>
      </c>
      <c r="U201" s="3">
        <v>80</v>
      </c>
      <c r="V201" s="4">
        <f>IF(ISERROR(VLOOKUP($S$201,'TAR FIN'!$A$1:$O$85,15,0)),0,VLOOKUP($S$201,'TAR FIN'!$A$1:$O$85,15,0))</f>
        <v>0</v>
      </c>
      <c r="W201" s="4">
        <f>IF(ISERROR(VLOOKUP($T$201,'TAR FIN'!$A$1:$O$85,15,0)),0,VLOOKUP($T$201,'TAR FIN'!$A$1:$O$85,15,0))</f>
        <v>326.19</v>
      </c>
      <c r="X201" s="4">
        <f>IF(ISERROR(VLOOKUP($U$201,'TAR FIN'!$A$1:$O$85,15,0)),0,VLOOKUP($U$201,'TAR FIN'!$A$1:$O$85,15,0))</f>
        <v>256.83</v>
      </c>
      <c r="Y201" s="4"/>
      <c r="Z201" s="4">
        <f ca="1">('TUSD BE'!$AM$33+'TUSD BF'!$AM$33+'TUSD CVA'!$AM$33)*(1-CUSTOS!$M$38)</f>
        <v>403.45820595709068</v>
      </c>
      <c r="AA201" s="4">
        <f>('TE BE'!$AB$24+'TE BF'!$AB$24+'TE CVA'!$AB$24)*(1-CUSTOS!$M$38)</f>
        <v>200.94689439603792</v>
      </c>
      <c r="AB201" s="4">
        <f t="shared" si="16"/>
        <v>0</v>
      </c>
      <c r="AC201" s="4">
        <f>(L201-M201)*(W201+X201)+($W$128+$X$128-$W$201-$X$201)*(L201)</f>
        <v>8438.7378900000003</v>
      </c>
      <c r="AD201" s="4">
        <f t="shared" si="17"/>
        <v>0</v>
      </c>
      <c r="AE201" s="4">
        <f ca="1">(L201-M201)*(Z201+AA201)+($Z$128+$AA$128-$Z$201-$AA$201)*(L201)</f>
        <v>4095.5904165056445</v>
      </c>
      <c r="AF201" s="3" t="s">
        <v>597</v>
      </c>
    </row>
    <row r="202" spans="1:32" ht="11.25" customHeight="1" x14ac:dyDescent="0.3">
      <c r="A202" s="3" t="s">
        <v>27</v>
      </c>
      <c r="B202" s="3" t="s">
        <v>40</v>
      </c>
      <c r="C202" s="3" t="s">
        <v>23</v>
      </c>
      <c r="D202" s="3" t="s">
        <v>41</v>
      </c>
      <c r="E202" s="3" t="s">
        <v>50</v>
      </c>
      <c r="F202" s="3" t="s">
        <v>51</v>
      </c>
      <c r="G202" s="3" t="s">
        <v>25</v>
      </c>
      <c r="H202" s="3" t="s">
        <v>25</v>
      </c>
      <c r="I202" s="6">
        <v>44743</v>
      </c>
      <c r="J202" s="4">
        <v>0</v>
      </c>
      <c r="K202" s="4">
        <v>0</v>
      </c>
      <c r="L202" s="4">
        <v>6.8719999999999999</v>
      </c>
      <c r="M202" s="4">
        <v>6.8719999999999999</v>
      </c>
      <c r="N202" s="4">
        <v>6.8719999999999999</v>
      </c>
      <c r="O202" s="4">
        <v>6.8719999999999999</v>
      </c>
      <c r="P202" s="4">
        <v>0</v>
      </c>
      <c r="Q202" s="3" t="s">
        <v>26</v>
      </c>
      <c r="R202" s="3">
        <v>0</v>
      </c>
      <c r="S202" s="3">
        <v>0</v>
      </c>
      <c r="T202" s="3">
        <v>36</v>
      </c>
      <c r="U202" s="3">
        <v>80</v>
      </c>
      <c r="V202" s="4">
        <f>IF(ISERROR(VLOOKUP($S$202,'TAR FIN'!$A$1:$O$85,15,0)),0,VLOOKUP($S$202,'TAR FIN'!$A$1:$O$85,15,0))</f>
        <v>0</v>
      </c>
      <c r="W202" s="4">
        <f>IF(ISERROR(VLOOKUP($T$202,'TAR FIN'!$A$1:$O$85,15,0)),0,VLOOKUP($T$202,'TAR FIN'!$A$1:$O$85,15,0))</f>
        <v>326.19</v>
      </c>
      <c r="X202" s="4">
        <f>IF(ISERROR(VLOOKUP($U$202,'TAR FIN'!$A$1:$O$85,15,0)),0,VLOOKUP($U$202,'TAR FIN'!$A$1:$O$85,15,0))</f>
        <v>256.83</v>
      </c>
      <c r="Y202" s="4"/>
      <c r="Z202" s="4">
        <f ca="1">('TUSD BE'!$AM$33+'TUSD BF'!$AM$33+'TUSD CVA'!$AM$33)*(1-CUSTOS!$M$38)</f>
        <v>403.45820595709068</v>
      </c>
      <c r="AA202" s="4">
        <f>('TE BE'!$AB$24+'TE BF'!$AB$24+'TE CVA'!$AB$24)*(1-CUSTOS!$M$38)</f>
        <v>200.94689439603792</v>
      </c>
      <c r="AB202" s="4">
        <f t="shared" si="16"/>
        <v>0</v>
      </c>
      <c r="AC202" s="4">
        <f>(L202-M202)*(W202+X202)+($W$128+$X$128-$W$202-$X$202)*(L202)</f>
        <v>546.25528000000008</v>
      </c>
      <c r="AD202" s="4">
        <f t="shared" si="17"/>
        <v>0</v>
      </c>
      <c r="AE202" s="4">
        <f ca="1">(L202-M202)*(Z202+AA202)+($Z$128+$AA$128-$Z$202-$AA$202)*(L202)</f>
        <v>265.11522444425719</v>
      </c>
      <c r="AF202" s="3" t="s">
        <v>597</v>
      </c>
    </row>
    <row r="203" spans="1:32" ht="11.25" customHeight="1" x14ac:dyDescent="0.3">
      <c r="A203" s="3" t="s">
        <v>53</v>
      </c>
      <c r="B203" s="3" t="s">
        <v>40</v>
      </c>
      <c r="C203" s="3" t="s">
        <v>23</v>
      </c>
      <c r="D203" s="3" t="s">
        <v>41</v>
      </c>
      <c r="E203" s="3" t="s">
        <v>50</v>
      </c>
      <c r="F203" s="3" t="s">
        <v>51</v>
      </c>
      <c r="G203" s="3" t="s">
        <v>25</v>
      </c>
      <c r="H203" s="3" t="s">
        <v>25</v>
      </c>
      <c r="I203" s="6">
        <v>44774</v>
      </c>
      <c r="J203" s="4">
        <v>0</v>
      </c>
      <c r="K203" s="4">
        <v>0</v>
      </c>
      <c r="L203" s="4">
        <v>106.161</v>
      </c>
      <c r="M203" s="4">
        <v>106.161</v>
      </c>
      <c r="N203" s="4">
        <v>106.161</v>
      </c>
      <c r="O203" s="4">
        <v>106.161</v>
      </c>
      <c r="P203" s="4">
        <v>0</v>
      </c>
      <c r="Q203" s="3" t="s">
        <v>26</v>
      </c>
      <c r="R203" s="3">
        <v>0</v>
      </c>
      <c r="S203" s="3">
        <v>0</v>
      </c>
      <c r="T203" s="3">
        <v>36</v>
      </c>
      <c r="U203" s="3">
        <v>80</v>
      </c>
      <c r="V203" s="4">
        <f>IF(ISERROR(VLOOKUP($S$203,'TAR FIN'!$A$1:$O$85,15,0)),0,VLOOKUP($S$203,'TAR FIN'!$A$1:$O$85,15,0))</f>
        <v>0</v>
      </c>
      <c r="W203" s="4">
        <f>IF(ISERROR(VLOOKUP($T$203,'TAR FIN'!$A$1:$O$85,15,0)),0,VLOOKUP($T$203,'TAR FIN'!$A$1:$O$85,15,0))</f>
        <v>326.19</v>
      </c>
      <c r="X203" s="4">
        <f>IF(ISERROR(VLOOKUP($U$203,'TAR FIN'!$A$1:$O$85,15,0)),0,VLOOKUP($U$203,'TAR FIN'!$A$1:$O$85,15,0))</f>
        <v>256.83</v>
      </c>
      <c r="Y203" s="4"/>
      <c r="Z203" s="4">
        <f ca="1">('TUSD BE'!$AM$33+'TUSD BF'!$AM$33+'TUSD CVA'!$AM$33)*(1-CUSTOS!$M$38)</f>
        <v>403.45820595709068</v>
      </c>
      <c r="AA203" s="4">
        <f>('TE BE'!$AB$24+'TE BF'!$AB$24+'TE CVA'!$AB$24)*(1-CUSTOS!$M$38)</f>
        <v>200.94689439603792</v>
      </c>
      <c r="AB203" s="4">
        <f t="shared" si="16"/>
        <v>0</v>
      </c>
      <c r="AC203" s="4">
        <f>(L203-M203)*(W203+X203)+($W$128+$X$128-$W$203-$X$203)*(L203)</f>
        <v>8438.7378900000003</v>
      </c>
      <c r="AD203" s="4">
        <f t="shared" si="17"/>
        <v>0</v>
      </c>
      <c r="AE203" s="4">
        <f ca="1">(L203-M203)*(Z203+AA203)+($Z$128+$AA$128-$Z$203-$AA$203)*(L203)</f>
        <v>4095.5904165056445</v>
      </c>
      <c r="AF203" s="3" t="s">
        <v>597</v>
      </c>
    </row>
    <row r="204" spans="1:32" ht="11.25" customHeight="1" x14ac:dyDescent="0.3">
      <c r="A204" s="3" t="s">
        <v>53</v>
      </c>
      <c r="B204" s="3" t="s">
        <v>40</v>
      </c>
      <c r="C204" s="3" t="s">
        <v>23</v>
      </c>
      <c r="D204" s="3" t="s">
        <v>41</v>
      </c>
      <c r="E204" s="3" t="s">
        <v>50</v>
      </c>
      <c r="F204" s="3" t="s">
        <v>51</v>
      </c>
      <c r="G204" s="3" t="s">
        <v>25</v>
      </c>
      <c r="H204" s="3" t="s">
        <v>25</v>
      </c>
      <c r="I204" s="6">
        <v>44774</v>
      </c>
      <c r="J204" s="4">
        <v>0</v>
      </c>
      <c r="K204" s="4">
        <v>0</v>
      </c>
      <c r="L204" s="4">
        <v>6.8719999999999999</v>
      </c>
      <c r="M204" s="4">
        <v>6.8719999999999999</v>
      </c>
      <c r="N204" s="4">
        <v>6.8719999999999999</v>
      </c>
      <c r="O204" s="4">
        <v>6.8719999999999999</v>
      </c>
      <c r="P204" s="4">
        <v>0</v>
      </c>
      <c r="Q204" s="3" t="s">
        <v>26</v>
      </c>
      <c r="R204" s="3">
        <v>0</v>
      </c>
      <c r="S204" s="3">
        <v>0</v>
      </c>
      <c r="T204" s="3">
        <v>36</v>
      </c>
      <c r="U204" s="3">
        <v>80</v>
      </c>
      <c r="V204" s="4">
        <f>IF(ISERROR(VLOOKUP($S$204,'TAR FIN'!$A$1:$O$85,15,0)),0,VLOOKUP($S$204,'TAR FIN'!$A$1:$O$85,15,0))</f>
        <v>0</v>
      </c>
      <c r="W204" s="4">
        <f>IF(ISERROR(VLOOKUP($T$204,'TAR FIN'!$A$1:$O$85,15,0)),0,VLOOKUP($T$204,'TAR FIN'!$A$1:$O$85,15,0))</f>
        <v>326.19</v>
      </c>
      <c r="X204" s="4">
        <f>IF(ISERROR(VLOOKUP($U$204,'TAR FIN'!$A$1:$O$85,15,0)),0,VLOOKUP($U$204,'TAR FIN'!$A$1:$O$85,15,0))</f>
        <v>256.83</v>
      </c>
      <c r="Y204" s="4"/>
      <c r="Z204" s="4">
        <f ca="1">('TUSD BE'!$AM$33+'TUSD BF'!$AM$33+'TUSD CVA'!$AM$33)*(1-CUSTOS!$M$38)</f>
        <v>403.45820595709068</v>
      </c>
      <c r="AA204" s="4">
        <f>('TE BE'!$AB$24+'TE BF'!$AB$24+'TE CVA'!$AB$24)*(1-CUSTOS!$M$38)</f>
        <v>200.94689439603792</v>
      </c>
      <c r="AB204" s="4">
        <f t="shared" si="16"/>
        <v>0</v>
      </c>
      <c r="AC204" s="4">
        <f>(L204-M204)*(W204+X204)+($W$128+$X$128-$W$204-$X$204)*(L204)</f>
        <v>546.25528000000008</v>
      </c>
      <c r="AD204" s="4">
        <f t="shared" si="17"/>
        <v>0</v>
      </c>
      <c r="AE204" s="4">
        <f ca="1">(L204-M204)*(Z204+AA204)+($Z$128+$AA$128-$Z$204-$AA$204)*(L204)</f>
        <v>265.11522444425719</v>
      </c>
      <c r="AF204" s="3" t="s">
        <v>597</v>
      </c>
    </row>
    <row r="205" spans="1:32" ht="11.25" customHeight="1" x14ac:dyDescent="0.3">
      <c r="A205" s="3" t="s">
        <v>21</v>
      </c>
      <c r="B205" s="3" t="s">
        <v>40</v>
      </c>
      <c r="C205" s="3" t="s">
        <v>23</v>
      </c>
      <c r="D205" s="3" t="s">
        <v>41</v>
      </c>
      <c r="E205" s="3" t="s">
        <v>50</v>
      </c>
      <c r="F205" s="3" t="s">
        <v>52</v>
      </c>
      <c r="G205" s="3" t="s">
        <v>25</v>
      </c>
      <c r="H205" s="3" t="s">
        <v>25</v>
      </c>
      <c r="I205" s="6">
        <v>44440</v>
      </c>
      <c r="J205" s="4">
        <v>0</v>
      </c>
      <c r="K205" s="4">
        <v>0</v>
      </c>
      <c r="L205" s="4">
        <v>141.75899999999999</v>
      </c>
      <c r="M205" s="4">
        <v>56.703600000000002</v>
      </c>
      <c r="N205" s="4">
        <v>141.75899999999999</v>
      </c>
      <c r="O205" s="4">
        <v>56.703600000000002</v>
      </c>
      <c r="P205" s="4">
        <v>0</v>
      </c>
      <c r="Q205" s="3" t="s">
        <v>26</v>
      </c>
      <c r="R205" s="3">
        <v>0</v>
      </c>
      <c r="S205" s="3">
        <v>0</v>
      </c>
      <c r="T205" s="3">
        <v>36</v>
      </c>
      <c r="U205" s="3">
        <v>80</v>
      </c>
      <c r="V205" s="4">
        <f>IF(ISERROR(VLOOKUP($S$205,'TAR FIN'!$A$1:$O$85,15,0)),0,VLOOKUP($S$205,'TAR FIN'!$A$1:$O$85,15,0))</f>
        <v>0</v>
      </c>
      <c r="W205" s="4">
        <f>IF(ISERROR(VLOOKUP($T$205,'TAR FIN'!$A$1:$O$85,15,0)),0,VLOOKUP($T$205,'TAR FIN'!$A$1:$O$85,15,0))</f>
        <v>326.19</v>
      </c>
      <c r="X205" s="4">
        <f>IF(ISERROR(VLOOKUP($U$205,'TAR FIN'!$A$1:$O$85,15,0)),0,VLOOKUP($U$205,'TAR FIN'!$A$1:$O$85,15,0))</f>
        <v>256.83</v>
      </c>
      <c r="Y205" s="4"/>
      <c r="Z205" s="4">
        <f ca="1">('TUSD BE'!$AM$33+'TUSD BF'!$AM$33+'TUSD CVA'!$AM$33)*(1-CUSTOS!$M$38)</f>
        <v>403.45820595709068</v>
      </c>
      <c r="AA205" s="4">
        <f>('TE BE'!$AB$24+'TE BF'!$AB$24+'TE CVA'!$AB$24)*(1-CUSTOS!$M$38)</f>
        <v>200.94689439603792</v>
      </c>
      <c r="AB205" s="4">
        <f t="shared" si="16"/>
        <v>0</v>
      </c>
      <c r="AC205" s="4">
        <f>(L205-M205)*(W205+X205)+($W$128+$X$128-$W$205-$X$205)*(L205)</f>
        <v>60857.422217999992</v>
      </c>
      <c r="AD205" s="4">
        <f t="shared" si="17"/>
        <v>0</v>
      </c>
      <c r="AE205" s="4">
        <f ca="1">(L205-M205)*(Z205+AA205)+($Z$128+$AA$128-$Z$205-$AA$205)*(L205)</f>
        <v>56876.844973913299</v>
      </c>
      <c r="AF205" s="3" t="s">
        <v>599</v>
      </c>
    </row>
    <row r="206" spans="1:32" ht="11.25" customHeight="1" x14ac:dyDescent="0.3">
      <c r="A206" s="3" t="s">
        <v>27</v>
      </c>
      <c r="B206" s="3" t="s">
        <v>40</v>
      </c>
      <c r="C206" s="3" t="s">
        <v>23</v>
      </c>
      <c r="D206" s="3" t="s">
        <v>41</v>
      </c>
      <c r="E206" s="3" t="s">
        <v>50</v>
      </c>
      <c r="F206" s="3" t="s">
        <v>52</v>
      </c>
      <c r="G206" s="3" t="s">
        <v>25</v>
      </c>
      <c r="H206" s="3" t="s">
        <v>25</v>
      </c>
      <c r="I206" s="6">
        <v>44440</v>
      </c>
      <c r="J206" s="4">
        <v>0</v>
      </c>
      <c r="K206" s="4">
        <v>0</v>
      </c>
      <c r="L206" s="4">
        <v>5.782</v>
      </c>
      <c r="M206" s="4">
        <v>5.782</v>
      </c>
      <c r="N206" s="4">
        <v>5.782</v>
      </c>
      <c r="O206" s="4">
        <v>5.782</v>
      </c>
      <c r="P206" s="4">
        <v>0</v>
      </c>
      <c r="Q206" s="3" t="s">
        <v>26</v>
      </c>
      <c r="R206" s="3">
        <v>0</v>
      </c>
      <c r="S206" s="3">
        <v>0</v>
      </c>
      <c r="T206" s="3">
        <v>36</v>
      </c>
      <c r="U206" s="3">
        <v>80</v>
      </c>
      <c r="V206" s="4">
        <f>IF(ISERROR(VLOOKUP($S$206,'TAR FIN'!$A$1:$O$85,15,0)),0,VLOOKUP($S$206,'TAR FIN'!$A$1:$O$85,15,0))</f>
        <v>0</v>
      </c>
      <c r="W206" s="4">
        <f>IF(ISERROR(VLOOKUP($T$206,'TAR FIN'!$A$1:$O$85,15,0)),0,VLOOKUP($T$206,'TAR FIN'!$A$1:$O$85,15,0))</f>
        <v>326.19</v>
      </c>
      <c r="X206" s="4">
        <f>IF(ISERROR(VLOOKUP($U$206,'TAR FIN'!$A$1:$O$85,15,0)),0,VLOOKUP($U$206,'TAR FIN'!$A$1:$O$85,15,0))</f>
        <v>256.83</v>
      </c>
      <c r="Y206" s="4"/>
      <c r="Z206" s="4">
        <f ca="1">('TUSD BE'!$AM$33+'TUSD BF'!$AM$33+'TUSD CVA'!$AM$33)*(1-CUSTOS!$M$38)</f>
        <v>403.45820595709068</v>
      </c>
      <c r="AA206" s="4">
        <f>('TE BE'!$AB$24+'TE BF'!$AB$24+'TE CVA'!$AB$24)*(1-CUSTOS!$M$38)</f>
        <v>200.94689439603792</v>
      </c>
      <c r="AB206" s="4">
        <f t="shared" si="16"/>
        <v>0</v>
      </c>
      <c r="AC206" s="4">
        <f>(L206-M206)*(W206+X206)+($W$128+$X$128-$W$206-$X$206)*(L206)</f>
        <v>459.61118000000005</v>
      </c>
      <c r="AD206" s="4">
        <f t="shared" si="17"/>
        <v>0</v>
      </c>
      <c r="AE206" s="4">
        <f ca="1">(L206-M206)*(Z206+AA206)+($Z$128+$AA$128-$Z$206-$AA$206)*(L206)</f>
        <v>223.06406107926296</v>
      </c>
      <c r="AF206" s="3" t="s">
        <v>597</v>
      </c>
    </row>
    <row r="207" spans="1:32" ht="11.25" customHeight="1" x14ac:dyDescent="0.3">
      <c r="A207" s="3" t="s">
        <v>21</v>
      </c>
      <c r="B207" s="3" t="s">
        <v>40</v>
      </c>
      <c r="C207" s="3" t="s">
        <v>23</v>
      </c>
      <c r="D207" s="3" t="s">
        <v>41</v>
      </c>
      <c r="E207" s="3" t="s">
        <v>50</v>
      </c>
      <c r="F207" s="3" t="s">
        <v>52</v>
      </c>
      <c r="G207" s="3" t="s">
        <v>25</v>
      </c>
      <c r="H207" s="3" t="s">
        <v>25</v>
      </c>
      <c r="I207" s="6">
        <v>44470</v>
      </c>
      <c r="J207" s="4">
        <v>0</v>
      </c>
      <c r="K207" s="4">
        <v>0</v>
      </c>
      <c r="L207" s="4">
        <v>152.84700000000001</v>
      </c>
      <c r="M207" s="4">
        <v>61.138800000000003</v>
      </c>
      <c r="N207" s="4">
        <v>152.84700000000001</v>
      </c>
      <c r="O207" s="4">
        <v>61.138800000000003</v>
      </c>
      <c r="P207" s="4">
        <v>0</v>
      </c>
      <c r="Q207" s="3" t="s">
        <v>26</v>
      </c>
      <c r="R207" s="3">
        <v>0</v>
      </c>
      <c r="S207" s="3">
        <v>0</v>
      </c>
      <c r="T207" s="3">
        <v>36</v>
      </c>
      <c r="U207" s="3">
        <v>80</v>
      </c>
      <c r="V207" s="4">
        <f>IF(ISERROR(VLOOKUP($S$207,'TAR FIN'!$A$1:$O$85,15,0)),0,VLOOKUP($S$207,'TAR FIN'!$A$1:$O$85,15,0))</f>
        <v>0</v>
      </c>
      <c r="W207" s="4">
        <f>IF(ISERROR(VLOOKUP($T$207,'TAR FIN'!$A$1:$O$85,15,0)),0,VLOOKUP($T$207,'TAR FIN'!$A$1:$O$85,15,0))</f>
        <v>326.19</v>
      </c>
      <c r="X207" s="4">
        <f>IF(ISERROR(VLOOKUP($U$207,'TAR FIN'!$A$1:$O$85,15,0)),0,VLOOKUP($U$207,'TAR FIN'!$A$1:$O$85,15,0))</f>
        <v>256.83</v>
      </c>
      <c r="Y207" s="4"/>
      <c r="Z207" s="4">
        <f ca="1">('TUSD BE'!$AM$33+'TUSD BF'!$AM$33+'TUSD CVA'!$AM$33)*(1-CUSTOS!$M$38)</f>
        <v>403.45820595709068</v>
      </c>
      <c r="AA207" s="4">
        <f>('TE BE'!$AB$24+'TE BF'!$AB$24+'TE CVA'!$AB$24)*(1-CUSTOS!$M$38)</f>
        <v>200.94689439603792</v>
      </c>
      <c r="AB207" s="4">
        <f t="shared" si="16"/>
        <v>0</v>
      </c>
      <c r="AC207" s="4">
        <f>(L207-M207)*(W207+X207)+($W$128+$X$128-$W$207-$X$207)*(L207)</f>
        <v>65617.522794000004</v>
      </c>
      <c r="AD207" s="4">
        <f t="shared" si="17"/>
        <v>0</v>
      </c>
      <c r="AE207" s="4">
        <f ca="1">(L207-M207)*(Z207+AA207)+($Z$128+$AA$128-$Z$207-$AA$207)*(L207)</f>
        <v>61325.595720396785</v>
      </c>
      <c r="AF207" s="3" t="s">
        <v>599</v>
      </c>
    </row>
    <row r="208" spans="1:32" ht="11.25" customHeight="1" x14ac:dyDescent="0.3">
      <c r="A208" s="3" t="s">
        <v>27</v>
      </c>
      <c r="B208" s="3" t="s">
        <v>40</v>
      </c>
      <c r="C208" s="3" t="s">
        <v>23</v>
      </c>
      <c r="D208" s="3" t="s">
        <v>41</v>
      </c>
      <c r="E208" s="3" t="s">
        <v>50</v>
      </c>
      <c r="F208" s="3" t="s">
        <v>52</v>
      </c>
      <c r="G208" s="3" t="s">
        <v>25</v>
      </c>
      <c r="H208" s="3" t="s">
        <v>25</v>
      </c>
      <c r="I208" s="6">
        <v>44470</v>
      </c>
      <c r="J208" s="4">
        <v>0</v>
      </c>
      <c r="K208" s="4">
        <v>0</v>
      </c>
      <c r="L208" s="4">
        <v>5.9429999999999996</v>
      </c>
      <c r="M208" s="4">
        <v>5.9429999999999996</v>
      </c>
      <c r="N208" s="4">
        <v>5.9429999999999996</v>
      </c>
      <c r="O208" s="4">
        <v>5.9429999999999996</v>
      </c>
      <c r="P208" s="4">
        <v>0</v>
      </c>
      <c r="Q208" s="3" t="s">
        <v>26</v>
      </c>
      <c r="R208" s="3">
        <v>0</v>
      </c>
      <c r="S208" s="3">
        <v>0</v>
      </c>
      <c r="T208" s="3">
        <v>36</v>
      </c>
      <c r="U208" s="3">
        <v>80</v>
      </c>
      <c r="V208" s="4">
        <f>IF(ISERROR(VLOOKUP($S$208,'TAR FIN'!$A$1:$O$85,15,0)),0,VLOOKUP($S$208,'TAR FIN'!$A$1:$O$85,15,0))</f>
        <v>0</v>
      </c>
      <c r="W208" s="4">
        <f>IF(ISERROR(VLOOKUP($T$208,'TAR FIN'!$A$1:$O$85,15,0)),0,VLOOKUP($T$208,'TAR FIN'!$A$1:$O$85,15,0))</f>
        <v>326.19</v>
      </c>
      <c r="X208" s="4">
        <f>IF(ISERROR(VLOOKUP($U$208,'TAR FIN'!$A$1:$O$85,15,0)),0,VLOOKUP($U$208,'TAR FIN'!$A$1:$O$85,15,0))</f>
        <v>256.83</v>
      </c>
      <c r="Y208" s="4"/>
      <c r="Z208" s="4">
        <f ca="1">('TUSD BE'!$AM$33+'TUSD BF'!$AM$33+'TUSD CVA'!$AM$33)*(1-CUSTOS!$M$38)</f>
        <v>403.45820595709068</v>
      </c>
      <c r="AA208" s="4">
        <f>('TE BE'!$AB$24+'TE BF'!$AB$24+'TE CVA'!$AB$24)*(1-CUSTOS!$M$38)</f>
        <v>200.94689439603792</v>
      </c>
      <c r="AB208" s="4">
        <f t="shared" si="16"/>
        <v>0</v>
      </c>
      <c r="AC208" s="4">
        <f>(L208-M208)*(W208+X208)+($W$128+$X$128-$W$208-$X$208)*(L208)</f>
        <v>472.40907000000004</v>
      </c>
      <c r="AD208" s="4">
        <f t="shared" si="17"/>
        <v>0</v>
      </c>
      <c r="AE208" s="4">
        <f ca="1">(L208-M208)*(Z208+AA208)+($Z$128+$AA$128-$Z$208-$AA$208)*(L208)</f>
        <v>229.27528796161531</v>
      </c>
      <c r="AF208" s="3" t="s">
        <v>597</v>
      </c>
    </row>
    <row r="209" spans="1:32" ht="11.25" customHeight="1" x14ac:dyDescent="0.3">
      <c r="A209" s="3" t="s">
        <v>21</v>
      </c>
      <c r="B209" s="3" t="s">
        <v>40</v>
      </c>
      <c r="C209" s="3" t="s">
        <v>23</v>
      </c>
      <c r="D209" s="3" t="s">
        <v>41</v>
      </c>
      <c r="E209" s="3" t="s">
        <v>50</v>
      </c>
      <c r="F209" s="3" t="s">
        <v>52</v>
      </c>
      <c r="G209" s="3" t="s">
        <v>25</v>
      </c>
      <c r="H209" s="3" t="s">
        <v>25</v>
      </c>
      <c r="I209" s="6">
        <v>44501</v>
      </c>
      <c r="J209" s="4">
        <v>0</v>
      </c>
      <c r="K209" s="4">
        <v>0</v>
      </c>
      <c r="L209" s="4">
        <v>160.99299999999999</v>
      </c>
      <c r="M209" s="4">
        <v>64.397199999999998</v>
      </c>
      <c r="N209" s="4">
        <v>160.99299999999999</v>
      </c>
      <c r="O209" s="4">
        <v>64.397199999999998</v>
      </c>
      <c r="P209" s="4">
        <v>0</v>
      </c>
      <c r="Q209" s="3" t="s">
        <v>26</v>
      </c>
      <c r="R209" s="3">
        <v>0</v>
      </c>
      <c r="S209" s="3">
        <v>0</v>
      </c>
      <c r="T209" s="3">
        <v>36</v>
      </c>
      <c r="U209" s="3">
        <v>80</v>
      </c>
      <c r="V209" s="4">
        <f>IF(ISERROR(VLOOKUP($S$209,'TAR FIN'!$A$1:$O$85,15,0)),0,VLOOKUP($S$209,'TAR FIN'!$A$1:$O$85,15,0))</f>
        <v>0</v>
      </c>
      <c r="W209" s="4">
        <f>IF(ISERROR(VLOOKUP($T$209,'TAR FIN'!$A$1:$O$85,15,0)),0,VLOOKUP($T$209,'TAR FIN'!$A$1:$O$85,15,0))</f>
        <v>326.19</v>
      </c>
      <c r="X209" s="4">
        <f>IF(ISERROR(VLOOKUP($U$209,'TAR FIN'!$A$1:$O$85,15,0)),0,VLOOKUP($U$209,'TAR FIN'!$A$1:$O$85,15,0))</f>
        <v>256.83</v>
      </c>
      <c r="Y209" s="4"/>
      <c r="Z209" s="4">
        <f ca="1">('TUSD BE'!$AM$33+'TUSD BF'!$AM$33+'TUSD CVA'!$AM$33)*(1-CUSTOS!$M$38)</f>
        <v>403.45820595709068</v>
      </c>
      <c r="AA209" s="4">
        <f>('TE BE'!$AB$24+'TE BF'!$AB$24+'TE CVA'!$AB$24)*(1-CUSTOS!$M$38)</f>
        <v>200.94689439603792</v>
      </c>
      <c r="AB209" s="4">
        <f t="shared" si="16"/>
        <v>0</v>
      </c>
      <c r="AC209" s="4">
        <f>(L209-M209)*(W209+X209)+($W$128+$X$128-$W$209-$X$209)*(L209)</f>
        <v>69114.616885999989</v>
      </c>
      <c r="AD209" s="4">
        <f t="shared" si="17"/>
        <v>0</v>
      </c>
      <c r="AE209" s="4">
        <f ca="1">(L209-M209)*(Z209+AA209)+($Z$128+$AA$128-$Z$209-$AA$209)*(L209)</f>
        <v>64593.951021700384</v>
      </c>
      <c r="AF209" s="3" t="s">
        <v>599</v>
      </c>
    </row>
    <row r="210" spans="1:32" ht="11.25" customHeight="1" x14ac:dyDescent="0.3">
      <c r="A210" s="3" t="s">
        <v>27</v>
      </c>
      <c r="B210" s="3" t="s">
        <v>40</v>
      </c>
      <c r="C210" s="3" t="s">
        <v>23</v>
      </c>
      <c r="D210" s="3" t="s">
        <v>41</v>
      </c>
      <c r="E210" s="3" t="s">
        <v>50</v>
      </c>
      <c r="F210" s="3" t="s">
        <v>52</v>
      </c>
      <c r="G210" s="3" t="s">
        <v>25</v>
      </c>
      <c r="H210" s="3" t="s">
        <v>25</v>
      </c>
      <c r="I210" s="6">
        <v>44501</v>
      </c>
      <c r="J210" s="4">
        <v>0</v>
      </c>
      <c r="K210" s="4">
        <v>0</v>
      </c>
      <c r="L210" s="4">
        <v>6.2729999999999997</v>
      </c>
      <c r="M210" s="4">
        <v>6.2729999999999997</v>
      </c>
      <c r="N210" s="4">
        <v>6.2729999999999997</v>
      </c>
      <c r="O210" s="4">
        <v>6.2729999999999997</v>
      </c>
      <c r="P210" s="4">
        <v>0</v>
      </c>
      <c r="Q210" s="3" t="s">
        <v>26</v>
      </c>
      <c r="R210" s="3">
        <v>0</v>
      </c>
      <c r="S210" s="3">
        <v>0</v>
      </c>
      <c r="T210" s="3">
        <v>36</v>
      </c>
      <c r="U210" s="3">
        <v>80</v>
      </c>
      <c r="V210" s="4">
        <f>IF(ISERROR(VLOOKUP($S$210,'TAR FIN'!$A$1:$O$85,15,0)),0,VLOOKUP($S$210,'TAR FIN'!$A$1:$O$85,15,0))</f>
        <v>0</v>
      </c>
      <c r="W210" s="4">
        <f>IF(ISERROR(VLOOKUP($T$210,'TAR FIN'!$A$1:$O$85,15,0)),0,VLOOKUP($T$210,'TAR FIN'!$A$1:$O$85,15,0))</f>
        <v>326.19</v>
      </c>
      <c r="X210" s="4">
        <f>IF(ISERROR(VLOOKUP($U$210,'TAR FIN'!$A$1:$O$85,15,0)),0,VLOOKUP($U$210,'TAR FIN'!$A$1:$O$85,15,0))</f>
        <v>256.83</v>
      </c>
      <c r="Y210" s="4"/>
      <c r="Z210" s="4">
        <f ca="1">('TUSD BE'!$AM$33+'TUSD BF'!$AM$33+'TUSD CVA'!$AM$33)*(1-CUSTOS!$M$38)</f>
        <v>403.45820595709068</v>
      </c>
      <c r="AA210" s="4">
        <f>('TE BE'!$AB$24+'TE BF'!$AB$24+'TE CVA'!$AB$24)*(1-CUSTOS!$M$38)</f>
        <v>200.94689439603792</v>
      </c>
      <c r="AB210" s="4">
        <f t="shared" si="16"/>
        <v>0</v>
      </c>
      <c r="AC210" s="4">
        <f>(L210-M210)*(W210+X210)+($W$128+$X$128-$W$210-$X$210)*(L210)</f>
        <v>498.64077000000003</v>
      </c>
      <c r="AD210" s="4">
        <f t="shared" si="17"/>
        <v>0</v>
      </c>
      <c r="AE210" s="4">
        <f ca="1">(L210-M210)*(Z210+AA210)+($Z$128+$AA$128-$Z$210-$AA$210)*(L210)</f>
        <v>242.00637411798971</v>
      </c>
      <c r="AF210" s="3" t="s">
        <v>597</v>
      </c>
    </row>
    <row r="211" spans="1:32" ht="11.25" customHeight="1" x14ac:dyDescent="0.3">
      <c r="A211" s="3" t="s">
        <v>21</v>
      </c>
      <c r="B211" s="3" t="s">
        <v>40</v>
      </c>
      <c r="C211" s="3" t="s">
        <v>23</v>
      </c>
      <c r="D211" s="3" t="s">
        <v>41</v>
      </c>
      <c r="E211" s="3" t="s">
        <v>50</v>
      </c>
      <c r="F211" s="3" t="s">
        <v>52</v>
      </c>
      <c r="G211" s="3" t="s">
        <v>25</v>
      </c>
      <c r="H211" s="3" t="s">
        <v>25</v>
      </c>
      <c r="I211" s="6">
        <v>44531</v>
      </c>
      <c r="J211" s="4">
        <v>0</v>
      </c>
      <c r="K211" s="4">
        <v>0</v>
      </c>
      <c r="L211" s="4">
        <v>138.024</v>
      </c>
      <c r="M211" s="4">
        <v>55.209600000000002</v>
      </c>
      <c r="N211" s="4">
        <v>138.024</v>
      </c>
      <c r="O211" s="4">
        <v>55.209600000000002</v>
      </c>
      <c r="P211" s="4">
        <v>0</v>
      </c>
      <c r="Q211" s="3" t="s">
        <v>26</v>
      </c>
      <c r="R211" s="3">
        <v>0</v>
      </c>
      <c r="S211" s="3">
        <v>0</v>
      </c>
      <c r="T211" s="3">
        <v>36</v>
      </c>
      <c r="U211" s="3">
        <v>80</v>
      </c>
      <c r="V211" s="4">
        <f>IF(ISERROR(VLOOKUP($S$211,'TAR FIN'!$A$1:$O$85,15,0)),0,VLOOKUP($S$211,'TAR FIN'!$A$1:$O$85,15,0))</f>
        <v>0</v>
      </c>
      <c r="W211" s="4">
        <f>IF(ISERROR(VLOOKUP($T$211,'TAR FIN'!$A$1:$O$85,15,0)),0,VLOOKUP($T$211,'TAR FIN'!$A$1:$O$85,15,0))</f>
        <v>326.19</v>
      </c>
      <c r="X211" s="4">
        <f>IF(ISERROR(VLOOKUP($U$211,'TAR FIN'!$A$1:$O$85,15,0)),0,VLOOKUP($U$211,'TAR FIN'!$A$1:$O$85,15,0))</f>
        <v>256.83</v>
      </c>
      <c r="Y211" s="4"/>
      <c r="Z211" s="4">
        <f ca="1">('TUSD BE'!$AM$33+'TUSD BF'!$AM$33+'TUSD CVA'!$AM$33)*(1-CUSTOS!$M$38)</f>
        <v>403.45820595709068</v>
      </c>
      <c r="AA211" s="4">
        <f>('TE BE'!$AB$24+'TE BF'!$AB$24+'TE CVA'!$AB$24)*(1-CUSTOS!$M$38)</f>
        <v>200.94689439603792</v>
      </c>
      <c r="AB211" s="4">
        <f t="shared" si="16"/>
        <v>0</v>
      </c>
      <c r="AC211" s="4">
        <f>(L211-M211)*(W211+X211)+($W$128+$X$128-$W$211-$X$211)*(L211)</f>
        <v>59253.979248000003</v>
      </c>
      <c r="AD211" s="4">
        <f t="shared" si="17"/>
        <v>0</v>
      </c>
      <c r="AE211" s="4">
        <f ca="1">(L211-M211)*(Z211+AA211)+($Z$128+$AA$128-$Z$211-$AA$211)*(L211)</f>
        <v>55378.280396161164</v>
      </c>
      <c r="AF211" s="3" t="s">
        <v>599</v>
      </c>
    </row>
    <row r="212" spans="1:32" ht="11.25" customHeight="1" x14ac:dyDescent="0.3">
      <c r="A212" s="3" t="s">
        <v>27</v>
      </c>
      <c r="B212" s="3" t="s">
        <v>40</v>
      </c>
      <c r="C212" s="3" t="s">
        <v>23</v>
      </c>
      <c r="D212" s="3" t="s">
        <v>41</v>
      </c>
      <c r="E212" s="3" t="s">
        <v>50</v>
      </c>
      <c r="F212" s="3" t="s">
        <v>52</v>
      </c>
      <c r="G212" s="3" t="s">
        <v>25</v>
      </c>
      <c r="H212" s="3" t="s">
        <v>25</v>
      </c>
      <c r="I212" s="6">
        <v>44531</v>
      </c>
      <c r="J212" s="4">
        <v>0</v>
      </c>
      <c r="K212" s="4">
        <v>0</v>
      </c>
      <c r="L212" s="4">
        <v>7.1980000000000004</v>
      </c>
      <c r="M212" s="4">
        <v>7.1980000000000004</v>
      </c>
      <c r="N212" s="4">
        <v>7.1980000000000004</v>
      </c>
      <c r="O212" s="4">
        <v>7.1980000000000004</v>
      </c>
      <c r="P212" s="4">
        <v>0</v>
      </c>
      <c r="Q212" s="3" t="s">
        <v>26</v>
      </c>
      <c r="R212" s="3">
        <v>0</v>
      </c>
      <c r="S212" s="3">
        <v>0</v>
      </c>
      <c r="T212" s="3">
        <v>36</v>
      </c>
      <c r="U212" s="3">
        <v>80</v>
      </c>
      <c r="V212" s="4">
        <f>IF(ISERROR(VLOOKUP($S$212,'TAR FIN'!$A$1:$O$85,15,0)),0,VLOOKUP($S$212,'TAR FIN'!$A$1:$O$85,15,0))</f>
        <v>0</v>
      </c>
      <c r="W212" s="4">
        <f>IF(ISERROR(VLOOKUP($T$212,'TAR FIN'!$A$1:$O$85,15,0)),0,VLOOKUP($T$212,'TAR FIN'!$A$1:$O$85,15,0))</f>
        <v>326.19</v>
      </c>
      <c r="X212" s="4">
        <f>IF(ISERROR(VLOOKUP($U$212,'TAR FIN'!$A$1:$O$85,15,0)),0,VLOOKUP($U$212,'TAR FIN'!$A$1:$O$85,15,0))</f>
        <v>256.83</v>
      </c>
      <c r="Y212" s="4"/>
      <c r="Z212" s="4">
        <f ca="1">('TUSD BE'!$AM$33+'TUSD BF'!$AM$33+'TUSD CVA'!$AM$33)*(1-CUSTOS!$M$38)</f>
        <v>403.45820595709068</v>
      </c>
      <c r="AA212" s="4">
        <f>('TE BE'!$AB$24+'TE BF'!$AB$24+'TE CVA'!$AB$24)*(1-CUSTOS!$M$38)</f>
        <v>200.94689439603792</v>
      </c>
      <c r="AB212" s="4">
        <f t="shared" si="16"/>
        <v>0</v>
      </c>
      <c r="AC212" s="4">
        <f>(L212-M212)*(W212+X212)+($W$128+$X$128-$W$212-$X$212)*(L212)</f>
        <v>572.16902000000005</v>
      </c>
      <c r="AD212" s="4">
        <f t="shared" si="17"/>
        <v>0</v>
      </c>
      <c r="AE212" s="4">
        <f ca="1">(L212-M212)*(Z212+AA212)+($Z$128+$AA$128-$Z$212-$AA$212)*(L212)</f>
        <v>277.69199440479679</v>
      </c>
      <c r="AF212" s="3" t="s">
        <v>597</v>
      </c>
    </row>
    <row r="213" spans="1:32" ht="11.25" customHeight="1" x14ac:dyDescent="0.3">
      <c r="A213" s="3" t="s">
        <v>21</v>
      </c>
      <c r="B213" s="3" t="s">
        <v>40</v>
      </c>
      <c r="C213" s="3" t="s">
        <v>23</v>
      </c>
      <c r="D213" s="3" t="s">
        <v>41</v>
      </c>
      <c r="E213" s="3" t="s">
        <v>50</v>
      </c>
      <c r="F213" s="3" t="s">
        <v>52</v>
      </c>
      <c r="G213" s="3" t="s">
        <v>25</v>
      </c>
      <c r="H213" s="3" t="s">
        <v>25</v>
      </c>
      <c r="I213" s="6">
        <v>44562</v>
      </c>
      <c r="J213" s="4">
        <v>0</v>
      </c>
      <c r="K213" s="4">
        <v>0</v>
      </c>
      <c r="L213" s="4">
        <v>143.86799999999999</v>
      </c>
      <c r="M213" s="4">
        <v>57.547199999999997</v>
      </c>
      <c r="N213" s="4">
        <v>143.86799999999999</v>
      </c>
      <c r="O213" s="4">
        <v>57.547199999999997</v>
      </c>
      <c r="P213" s="4">
        <v>0</v>
      </c>
      <c r="Q213" s="3" t="s">
        <v>26</v>
      </c>
      <c r="R213" s="3">
        <v>0</v>
      </c>
      <c r="S213" s="3">
        <v>0</v>
      </c>
      <c r="T213" s="3">
        <v>36</v>
      </c>
      <c r="U213" s="3">
        <v>80</v>
      </c>
      <c r="V213" s="4">
        <f>IF(ISERROR(VLOOKUP($S$213,'TAR FIN'!$A$1:$O$85,15,0)),0,VLOOKUP($S$213,'TAR FIN'!$A$1:$O$85,15,0))</f>
        <v>0</v>
      </c>
      <c r="W213" s="4">
        <f>IF(ISERROR(VLOOKUP($T$213,'TAR FIN'!$A$1:$O$85,15,0)),0,VLOOKUP($T$213,'TAR FIN'!$A$1:$O$85,15,0))</f>
        <v>326.19</v>
      </c>
      <c r="X213" s="4">
        <f>IF(ISERROR(VLOOKUP($U$213,'TAR FIN'!$A$1:$O$85,15,0)),0,VLOOKUP($U$213,'TAR FIN'!$A$1:$O$85,15,0))</f>
        <v>256.83</v>
      </c>
      <c r="Y213" s="4"/>
      <c r="Z213" s="4">
        <f ca="1">('TUSD BE'!$AM$33+'TUSD BF'!$AM$33+'TUSD CVA'!$AM$33)*(1-CUSTOS!$M$38)</f>
        <v>403.45820595709068</v>
      </c>
      <c r="AA213" s="4">
        <f>('TE BE'!$AB$24+'TE BF'!$AB$24+'TE CVA'!$AB$24)*(1-CUSTOS!$M$38)</f>
        <v>200.94689439603792</v>
      </c>
      <c r="AB213" s="4">
        <f t="shared" si="16"/>
        <v>0</v>
      </c>
      <c r="AC213" s="4">
        <f>(L213-M213)*(W213+X213)+($W$128+$X$128-$W$213-$X$213)*(L213)</f>
        <v>61762.820135999995</v>
      </c>
      <c r="AD213" s="4">
        <f t="shared" si="17"/>
        <v>0</v>
      </c>
      <c r="AE213" s="4">
        <f ca="1">(L213-M213)*(Z213+AA213)+($Z$128+$AA$128-$Z$213-$AA$213)*(L213)</f>
        <v>57723.022402154063</v>
      </c>
      <c r="AF213" s="3" t="s">
        <v>599</v>
      </c>
    </row>
    <row r="214" spans="1:32" ht="11.25" customHeight="1" x14ac:dyDescent="0.3">
      <c r="A214" s="3" t="s">
        <v>27</v>
      </c>
      <c r="B214" s="3" t="s">
        <v>40</v>
      </c>
      <c r="C214" s="3" t="s">
        <v>23</v>
      </c>
      <c r="D214" s="3" t="s">
        <v>41</v>
      </c>
      <c r="E214" s="3" t="s">
        <v>50</v>
      </c>
      <c r="F214" s="3" t="s">
        <v>52</v>
      </c>
      <c r="G214" s="3" t="s">
        <v>25</v>
      </c>
      <c r="H214" s="3" t="s">
        <v>25</v>
      </c>
      <c r="I214" s="6">
        <v>44562</v>
      </c>
      <c r="J214" s="4">
        <v>0</v>
      </c>
      <c r="K214" s="4">
        <v>0</v>
      </c>
      <c r="L214" s="4">
        <v>6.5640000000000001</v>
      </c>
      <c r="M214" s="4">
        <v>6.5640000000000001</v>
      </c>
      <c r="N214" s="4">
        <v>6.5640000000000001</v>
      </c>
      <c r="O214" s="4">
        <v>6.5640000000000001</v>
      </c>
      <c r="P214" s="4">
        <v>0</v>
      </c>
      <c r="Q214" s="3" t="s">
        <v>26</v>
      </c>
      <c r="R214" s="3">
        <v>0</v>
      </c>
      <c r="S214" s="3">
        <v>0</v>
      </c>
      <c r="T214" s="3">
        <v>36</v>
      </c>
      <c r="U214" s="3">
        <v>80</v>
      </c>
      <c r="V214" s="4">
        <f>IF(ISERROR(VLOOKUP($S$214,'TAR FIN'!$A$1:$O$85,15,0)),0,VLOOKUP($S$214,'TAR FIN'!$A$1:$O$85,15,0))</f>
        <v>0</v>
      </c>
      <c r="W214" s="4">
        <f>IF(ISERROR(VLOOKUP($T$214,'TAR FIN'!$A$1:$O$85,15,0)),0,VLOOKUP($T$214,'TAR FIN'!$A$1:$O$85,15,0))</f>
        <v>326.19</v>
      </c>
      <c r="X214" s="4">
        <f>IF(ISERROR(VLOOKUP($U$214,'TAR FIN'!$A$1:$O$85,15,0)),0,VLOOKUP($U$214,'TAR FIN'!$A$1:$O$85,15,0))</f>
        <v>256.83</v>
      </c>
      <c r="Y214" s="4"/>
      <c r="Z214" s="4">
        <f ca="1">('TUSD BE'!$AM$33+'TUSD BF'!$AM$33+'TUSD CVA'!$AM$33)*(1-CUSTOS!$M$38)</f>
        <v>403.45820595709068</v>
      </c>
      <c r="AA214" s="4">
        <f>('TE BE'!$AB$24+'TE BF'!$AB$24+'TE CVA'!$AB$24)*(1-CUSTOS!$M$38)</f>
        <v>200.94689439603792</v>
      </c>
      <c r="AB214" s="4">
        <f t="shared" si="16"/>
        <v>0</v>
      </c>
      <c r="AC214" s="4">
        <f>(L214-M214)*(W214+X214)+($W$128+$X$128-$W$214-$X$214)*(L214)</f>
        <v>521.77236000000005</v>
      </c>
      <c r="AD214" s="4">
        <f t="shared" si="17"/>
        <v>0</v>
      </c>
      <c r="AE214" s="4">
        <f ca="1">(L214-M214)*(Z214+AA214)+($Z$128+$AA$128-$Z$214-$AA$214)*(L214)</f>
        <v>253.23287736497443</v>
      </c>
      <c r="AF214" s="3" t="s">
        <v>597</v>
      </c>
    </row>
    <row r="215" spans="1:32" ht="11.25" customHeight="1" x14ac:dyDescent="0.3">
      <c r="A215" s="3" t="s">
        <v>21</v>
      </c>
      <c r="B215" s="3" t="s">
        <v>40</v>
      </c>
      <c r="C215" s="3" t="s">
        <v>23</v>
      </c>
      <c r="D215" s="3" t="s">
        <v>41</v>
      </c>
      <c r="E215" s="3" t="s">
        <v>50</v>
      </c>
      <c r="F215" s="3" t="s">
        <v>52</v>
      </c>
      <c r="G215" s="3" t="s">
        <v>25</v>
      </c>
      <c r="H215" s="3" t="s">
        <v>25</v>
      </c>
      <c r="I215" s="6">
        <v>44593</v>
      </c>
      <c r="J215" s="4">
        <v>0</v>
      </c>
      <c r="K215" s="4">
        <v>0</v>
      </c>
      <c r="L215" s="4">
        <v>168.44300000000001</v>
      </c>
      <c r="M215" s="4">
        <v>67.377200000000002</v>
      </c>
      <c r="N215" s="4">
        <v>168.44300000000001</v>
      </c>
      <c r="O215" s="4">
        <v>67.377200000000002</v>
      </c>
      <c r="P215" s="4">
        <v>0</v>
      </c>
      <c r="Q215" s="3" t="s">
        <v>26</v>
      </c>
      <c r="R215" s="3">
        <v>0</v>
      </c>
      <c r="S215" s="3">
        <v>0</v>
      </c>
      <c r="T215" s="3">
        <v>36</v>
      </c>
      <c r="U215" s="3">
        <v>80</v>
      </c>
      <c r="V215" s="4">
        <f>IF(ISERROR(VLOOKUP($S$215,'TAR FIN'!$A$1:$O$85,15,0)),0,VLOOKUP($S$215,'TAR FIN'!$A$1:$O$85,15,0))</f>
        <v>0</v>
      </c>
      <c r="W215" s="4">
        <f>IF(ISERROR(VLOOKUP($T$215,'TAR FIN'!$A$1:$O$85,15,0)),0,VLOOKUP($T$215,'TAR FIN'!$A$1:$O$85,15,0))</f>
        <v>326.19</v>
      </c>
      <c r="X215" s="4">
        <f>IF(ISERROR(VLOOKUP($U$215,'TAR FIN'!$A$1:$O$85,15,0)),0,VLOOKUP($U$215,'TAR FIN'!$A$1:$O$85,15,0))</f>
        <v>256.83</v>
      </c>
      <c r="Y215" s="4"/>
      <c r="Z215" s="4">
        <f ca="1">('TUSD BE'!$AM$33+'TUSD BF'!$AM$33+'TUSD CVA'!$AM$33)*(1-CUSTOS!$M$38)</f>
        <v>403.45820595709068</v>
      </c>
      <c r="AA215" s="4">
        <f>('TE BE'!$AB$24+'TE BF'!$AB$24+'TE CVA'!$AB$24)*(1-CUSTOS!$M$38)</f>
        <v>200.94689439603792</v>
      </c>
      <c r="AB215" s="4">
        <f t="shared" si="16"/>
        <v>0</v>
      </c>
      <c r="AC215" s="4">
        <f>(L215-M215)*(W215+X215)+($W$128+$X$128-$W$215-$X$215)*(L215)</f>
        <v>72312.916786000016</v>
      </c>
      <c r="AD215" s="4">
        <f t="shared" si="17"/>
        <v>0</v>
      </c>
      <c r="AE215" s="4">
        <f ca="1">(L215-M215)*(Z215+AA215)+($Z$128+$AA$128-$Z$215-$AA$215)*(L215)</f>
        <v>67583.055735021262</v>
      </c>
      <c r="AF215" s="3" t="s">
        <v>599</v>
      </c>
    </row>
    <row r="216" spans="1:32" ht="11.25" customHeight="1" x14ac:dyDescent="0.3">
      <c r="A216" s="3" t="s">
        <v>27</v>
      </c>
      <c r="B216" s="3" t="s">
        <v>40</v>
      </c>
      <c r="C216" s="3" t="s">
        <v>23</v>
      </c>
      <c r="D216" s="3" t="s">
        <v>41</v>
      </c>
      <c r="E216" s="3" t="s">
        <v>50</v>
      </c>
      <c r="F216" s="3" t="s">
        <v>52</v>
      </c>
      <c r="G216" s="3" t="s">
        <v>25</v>
      </c>
      <c r="H216" s="3" t="s">
        <v>25</v>
      </c>
      <c r="I216" s="6">
        <v>44593</v>
      </c>
      <c r="J216" s="4">
        <v>0</v>
      </c>
      <c r="K216" s="4">
        <v>0</v>
      </c>
      <c r="L216" s="4">
        <v>4.17</v>
      </c>
      <c r="M216" s="4">
        <v>4.17</v>
      </c>
      <c r="N216" s="4">
        <v>4.17</v>
      </c>
      <c r="O216" s="4">
        <v>4.17</v>
      </c>
      <c r="P216" s="4">
        <v>0</v>
      </c>
      <c r="Q216" s="3" t="s">
        <v>26</v>
      </c>
      <c r="R216" s="3">
        <v>0</v>
      </c>
      <c r="S216" s="3">
        <v>0</v>
      </c>
      <c r="T216" s="3">
        <v>36</v>
      </c>
      <c r="U216" s="3">
        <v>80</v>
      </c>
      <c r="V216" s="4">
        <f>IF(ISERROR(VLOOKUP($S$216,'TAR FIN'!$A$1:$O$85,15,0)),0,VLOOKUP($S$216,'TAR FIN'!$A$1:$O$85,15,0))</f>
        <v>0</v>
      </c>
      <c r="W216" s="4">
        <f>IF(ISERROR(VLOOKUP($T$216,'TAR FIN'!$A$1:$O$85,15,0)),0,VLOOKUP($T$216,'TAR FIN'!$A$1:$O$85,15,0))</f>
        <v>326.19</v>
      </c>
      <c r="X216" s="4">
        <f>IF(ISERROR(VLOOKUP($U$216,'TAR FIN'!$A$1:$O$85,15,0)),0,VLOOKUP($U$216,'TAR FIN'!$A$1:$O$85,15,0))</f>
        <v>256.83</v>
      </c>
      <c r="Y216" s="4"/>
      <c r="Z216" s="4">
        <f ca="1">('TUSD BE'!$AM$33+'TUSD BF'!$AM$33+'TUSD CVA'!$AM$33)*(1-CUSTOS!$M$38)</f>
        <v>403.45820595709068</v>
      </c>
      <c r="AA216" s="4">
        <f>('TE BE'!$AB$24+'TE BF'!$AB$24+'TE CVA'!$AB$24)*(1-CUSTOS!$M$38)</f>
        <v>200.94689439603792</v>
      </c>
      <c r="AB216" s="4">
        <f t="shared" si="16"/>
        <v>0</v>
      </c>
      <c r="AC216" s="4">
        <f>(L216-M216)*(W216+X216)+($W$128+$X$128-$W$216-$X$216)*(L216)</f>
        <v>331.47330000000005</v>
      </c>
      <c r="AD216" s="4">
        <f t="shared" si="17"/>
        <v>0</v>
      </c>
      <c r="AE216" s="4">
        <f ca="1">(L216-M216)*(Z216+AA216)+($Z$128+$AA$128-$Z$216-$AA$216)*(L216)</f>
        <v>160.87463415782196</v>
      </c>
      <c r="AF216" s="3" t="s">
        <v>597</v>
      </c>
    </row>
    <row r="217" spans="1:32" ht="11.25" customHeight="1" x14ac:dyDescent="0.3">
      <c r="A217" s="3" t="s">
        <v>21</v>
      </c>
      <c r="B217" s="3" t="s">
        <v>40</v>
      </c>
      <c r="C217" s="3" t="s">
        <v>23</v>
      </c>
      <c r="D217" s="3" t="s">
        <v>41</v>
      </c>
      <c r="E217" s="3" t="s">
        <v>50</v>
      </c>
      <c r="F217" s="3" t="s">
        <v>52</v>
      </c>
      <c r="G217" s="3" t="s">
        <v>25</v>
      </c>
      <c r="H217" s="3" t="s">
        <v>25</v>
      </c>
      <c r="I217" s="6">
        <v>44621</v>
      </c>
      <c r="J217" s="4">
        <v>0</v>
      </c>
      <c r="K217" s="4">
        <v>0</v>
      </c>
      <c r="L217" s="4">
        <v>160.76499999999999</v>
      </c>
      <c r="M217" s="4">
        <v>64.305999999999997</v>
      </c>
      <c r="N217" s="4">
        <v>160.76499999999999</v>
      </c>
      <c r="O217" s="4">
        <v>64.305999999999997</v>
      </c>
      <c r="P217" s="4">
        <v>0</v>
      </c>
      <c r="Q217" s="3" t="s">
        <v>26</v>
      </c>
      <c r="R217" s="3">
        <v>0</v>
      </c>
      <c r="S217" s="3">
        <v>0</v>
      </c>
      <c r="T217" s="3">
        <v>36</v>
      </c>
      <c r="U217" s="3">
        <v>80</v>
      </c>
      <c r="V217" s="4">
        <f>IF(ISERROR(VLOOKUP($S$217,'TAR FIN'!$A$1:$O$85,15,0)),0,VLOOKUP($S$217,'TAR FIN'!$A$1:$O$85,15,0))</f>
        <v>0</v>
      </c>
      <c r="W217" s="4">
        <f>IF(ISERROR(VLOOKUP($T$217,'TAR FIN'!$A$1:$O$85,15,0)),0,VLOOKUP($T$217,'TAR FIN'!$A$1:$O$85,15,0))</f>
        <v>326.19</v>
      </c>
      <c r="X217" s="4">
        <f>IF(ISERROR(VLOOKUP($U$217,'TAR FIN'!$A$1:$O$85,15,0)),0,VLOOKUP($U$217,'TAR FIN'!$A$1:$O$85,15,0))</f>
        <v>256.83</v>
      </c>
      <c r="Y217" s="4"/>
      <c r="Z217" s="4">
        <f ca="1">('TUSD BE'!$AM$33+'TUSD BF'!$AM$33+'TUSD CVA'!$AM$33)*(1-CUSTOS!$M$38)</f>
        <v>403.45820595709068</v>
      </c>
      <c r="AA217" s="4">
        <f>('TE BE'!$AB$24+'TE BF'!$AB$24+'TE CVA'!$AB$24)*(1-CUSTOS!$M$38)</f>
        <v>200.94689439603792</v>
      </c>
      <c r="AB217" s="4">
        <f t="shared" si="16"/>
        <v>0</v>
      </c>
      <c r="AC217" s="4">
        <f>(L217-M217)*(W217+X217)+($W$128+$X$128-$W$217-$X$217)*(L217)</f>
        <v>69016.73603</v>
      </c>
      <c r="AD217" s="4">
        <f t="shared" si="17"/>
        <v>0</v>
      </c>
      <c r="AE217" s="4">
        <f ca="1">(L217-M217)*(Z217+AA217)+($Z$128+$AA$128-$Z$217-$AA$217)*(L217)</f>
        <v>64502.472380809479</v>
      </c>
      <c r="AF217" s="3" t="s">
        <v>599</v>
      </c>
    </row>
    <row r="218" spans="1:32" ht="11.25" customHeight="1" x14ac:dyDescent="0.3">
      <c r="A218" s="3" t="s">
        <v>27</v>
      </c>
      <c r="B218" s="3" t="s">
        <v>40</v>
      </c>
      <c r="C218" s="3" t="s">
        <v>23</v>
      </c>
      <c r="D218" s="3" t="s">
        <v>41</v>
      </c>
      <c r="E218" s="3" t="s">
        <v>50</v>
      </c>
      <c r="F218" s="3" t="s">
        <v>52</v>
      </c>
      <c r="G218" s="3" t="s">
        <v>25</v>
      </c>
      <c r="H218" s="3" t="s">
        <v>25</v>
      </c>
      <c r="I218" s="6">
        <v>44621</v>
      </c>
      <c r="J218" s="4">
        <v>0</v>
      </c>
      <c r="K218" s="4">
        <v>0</v>
      </c>
      <c r="L218" s="4">
        <v>10.577999999999999</v>
      </c>
      <c r="M218" s="4">
        <v>10.577999999999999</v>
      </c>
      <c r="N218" s="4">
        <v>10.577999999999999</v>
      </c>
      <c r="O218" s="4">
        <v>10.577999999999999</v>
      </c>
      <c r="P218" s="4">
        <v>0</v>
      </c>
      <c r="Q218" s="3" t="s">
        <v>26</v>
      </c>
      <c r="R218" s="3">
        <v>0</v>
      </c>
      <c r="S218" s="3">
        <v>0</v>
      </c>
      <c r="T218" s="3">
        <v>36</v>
      </c>
      <c r="U218" s="3">
        <v>80</v>
      </c>
      <c r="V218" s="4">
        <f>IF(ISERROR(VLOOKUP($S$218,'TAR FIN'!$A$1:$O$85,15,0)),0,VLOOKUP($S$218,'TAR FIN'!$A$1:$O$85,15,0))</f>
        <v>0</v>
      </c>
      <c r="W218" s="4">
        <f>IF(ISERROR(VLOOKUP($T$218,'TAR FIN'!$A$1:$O$85,15,0)),0,VLOOKUP($T$218,'TAR FIN'!$A$1:$O$85,15,0))</f>
        <v>326.19</v>
      </c>
      <c r="X218" s="4">
        <f>IF(ISERROR(VLOOKUP($U$218,'TAR FIN'!$A$1:$O$85,15,0)),0,VLOOKUP($U$218,'TAR FIN'!$A$1:$O$85,15,0))</f>
        <v>256.83</v>
      </c>
      <c r="Y218" s="4"/>
      <c r="Z218" s="4">
        <f ca="1">('TUSD BE'!$AM$33+'TUSD BF'!$AM$33+'TUSD CVA'!$AM$33)*(1-CUSTOS!$M$38)</f>
        <v>403.45820595709068</v>
      </c>
      <c r="AA218" s="4">
        <f>('TE BE'!$AB$24+'TE BF'!$AB$24+'TE CVA'!$AB$24)*(1-CUSTOS!$M$38)</f>
        <v>200.94689439603792</v>
      </c>
      <c r="AB218" s="4">
        <f t="shared" si="16"/>
        <v>0</v>
      </c>
      <c r="AC218" s="4">
        <f>(L218-M218)*(W218+X218)+($W$128+$X$128-$W$218-$X$218)*(L218)</f>
        <v>840.84522000000004</v>
      </c>
      <c r="AD218" s="4">
        <f t="shared" si="17"/>
        <v>0</v>
      </c>
      <c r="AE218" s="4">
        <f ca="1">(L218-M218)*(Z218+AA218)+($Z$128+$AA$128-$Z$218-$AA$218)*(L218)</f>
        <v>408.08917988523757</v>
      </c>
      <c r="AF218" s="3" t="s">
        <v>597</v>
      </c>
    </row>
    <row r="219" spans="1:32" ht="11.25" customHeight="1" x14ac:dyDescent="0.3">
      <c r="A219" s="3" t="s">
        <v>21</v>
      </c>
      <c r="B219" s="3" t="s">
        <v>40</v>
      </c>
      <c r="C219" s="3" t="s">
        <v>23</v>
      </c>
      <c r="D219" s="3" t="s">
        <v>41</v>
      </c>
      <c r="E219" s="3" t="s">
        <v>50</v>
      </c>
      <c r="F219" s="3" t="s">
        <v>52</v>
      </c>
      <c r="G219" s="3" t="s">
        <v>25</v>
      </c>
      <c r="H219" s="3" t="s">
        <v>25</v>
      </c>
      <c r="I219" s="6">
        <v>44652</v>
      </c>
      <c r="J219" s="4">
        <v>0</v>
      </c>
      <c r="K219" s="4">
        <v>0</v>
      </c>
      <c r="L219" s="4">
        <v>154.96299999999999</v>
      </c>
      <c r="M219" s="4">
        <v>61.985199999999999</v>
      </c>
      <c r="N219" s="4">
        <v>154.96299999999999</v>
      </c>
      <c r="O219" s="4">
        <v>61.985199999999999</v>
      </c>
      <c r="P219" s="4">
        <v>0</v>
      </c>
      <c r="Q219" s="3" t="s">
        <v>26</v>
      </c>
      <c r="R219" s="3">
        <v>0</v>
      </c>
      <c r="S219" s="3">
        <v>0</v>
      </c>
      <c r="T219" s="3">
        <v>36</v>
      </c>
      <c r="U219" s="3">
        <v>80</v>
      </c>
      <c r="V219" s="4">
        <f>IF(ISERROR(VLOOKUP($S$219,'TAR FIN'!$A$1:$O$85,15,0)),0,VLOOKUP($S$219,'TAR FIN'!$A$1:$O$85,15,0))</f>
        <v>0</v>
      </c>
      <c r="W219" s="4">
        <f>IF(ISERROR(VLOOKUP($T$219,'TAR FIN'!$A$1:$O$85,15,0)),0,VLOOKUP($T$219,'TAR FIN'!$A$1:$O$85,15,0))</f>
        <v>326.19</v>
      </c>
      <c r="X219" s="4">
        <f>IF(ISERROR(VLOOKUP($U$219,'TAR FIN'!$A$1:$O$85,15,0)),0,VLOOKUP($U$219,'TAR FIN'!$A$1:$O$85,15,0))</f>
        <v>256.83</v>
      </c>
      <c r="Y219" s="4"/>
      <c r="Z219" s="4">
        <f ca="1">('TUSD BE'!$AM$33+'TUSD BF'!$AM$33+'TUSD CVA'!$AM$33)*(1-CUSTOS!$M$38)</f>
        <v>403.45820595709068</v>
      </c>
      <c r="AA219" s="4">
        <f>('TE BE'!$AB$24+'TE BF'!$AB$24+'TE CVA'!$AB$24)*(1-CUSTOS!$M$38)</f>
        <v>200.94689439603792</v>
      </c>
      <c r="AB219" s="4">
        <f t="shared" si="16"/>
        <v>0</v>
      </c>
      <c r="AC219" s="4">
        <f>(L219-M219)*(W219+X219)+($W$128+$X$128-$W$219-$X$219)*(L219)</f>
        <v>66525.925826000006</v>
      </c>
      <c r="AD219" s="4">
        <f t="shared" si="17"/>
        <v>0</v>
      </c>
      <c r="AE219" s="4">
        <f ca="1">(L219-M219)*(Z219+AA219)+($Z$128+$AA$128-$Z$219-$AA$219)*(L219)</f>
        <v>62174.581703401738</v>
      </c>
      <c r="AF219" s="3" t="s">
        <v>599</v>
      </c>
    </row>
    <row r="220" spans="1:32" ht="11.25" customHeight="1" x14ac:dyDescent="0.3">
      <c r="A220" s="3" t="s">
        <v>48</v>
      </c>
      <c r="B220" s="3" t="s">
        <v>40</v>
      </c>
      <c r="C220" s="3" t="s">
        <v>23</v>
      </c>
      <c r="D220" s="3" t="s">
        <v>41</v>
      </c>
      <c r="E220" s="3" t="s">
        <v>50</v>
      </c>
      <c r="F220" s="3" t="s">
        <v>52</v>
      </c>
      <c r="G220" s="3" t="s">
        <v>25</v>
      </c>
      <c r="H220" s="3" t="s">
        <v>25</v>
      </c>
      <c r="I220" s="6">
        <v>44652</v>
      </c>
      <c r="J220" s="4">
        <v>0</v>
      </c>
      <c r="K220" s="4">
        <v>0</v>
      </c>
      <c r="L220" s="4">
        <v>0.29299999999999998</v>
      </c>
      <c r="M220" s="4">
        <v>0.1172</v>
      </c>
      <c r="N220" s="4">
        <v>0.29299999999999998</v>
      </c>
      <c r="O220" s="4">
        <v>0.1172</v>
      </c>
      <c r="P220" s="4">
        <v>0</v>
      </c>
      <c r="Q220" s="3" t="s">
        <v>26</v>
      </c>
      <c r="R220" s="3">
        <v>0</v>
      </c>
      <c r="S220" s="3">
        <v>0</v>
      </c>
      <c r="T220" s="3">
        <v>36</v>
      </c>
      <c r="U220" s="3">
        <v>80</v>
      </c>
      <c r="V220" s="4">
        <f>IF(ISERROR(VLOOKUP($S$220,'TAR FIN'!$A$1:$O$85,15,0)),0,VLOOKUP($S$220,'TAR FIN'!$A$1:$O$85,15,0))</f>
        <v>0</v>
      </c>
      <c r="W220" s="4">
        <f>IF(ISERROR(VLOOKUP($T$220,'TAR FIN'!$A$1:$O$85,15,0)),0,VLOOKUP($T$220,'TAR FIN'!$A$1:$O$85,15,0))</f>
        <v>326.19</v>
      </c>
      <c r="X220" s="4">
        <f>IF(ISERROR(VLOOKUP($U$220,'TAR FIN'!$A$1:$O$85,15,0)),0,VLOOKUP($U$220,'TAR FIN'!$A$1:$O$85,15,0))</f>
        <v>256.83</v>
      </c>
      <c r="Y220" s="4"/>
      <c r="Z220" s="4">
        <f ca="1">('TUSD BE'!$AM$33+'TUSD BF'!$AM$33+'TUSD CVA'!$AM$33)*(1-CUSTOS!$M$38)</f>
        <v>403.45820595709068</v>
      </c>
      <c r="AA220" s="4">
        <f>('TE BE'!$AB$24+'TE BF'!$AB$24+'TE CVA'!$AB$24)*(1-CUSTOS!$M$38)</f>
        <v>200.94689439603792</v>
      </c>
      <c r="AB220" s="4">
        <f t="shared" si="16"/>
        <v>0</v>
      </c>
      <c r="AC220" s="4">
        <f>(L220-M220)*(W220+X220)+($W$128+$X$128-$W$220-$X$220)*(L220)</f>
        <v>125.78548599999999</v>
      </c>
      <c r="AD220" s="4">
        <f t="shared" si="17"/>
        <v>0</v>
      </c>
      <c r="AE220" s="4">
        <f ca="1">(L220-M220)*(Z220+AA220)+($Z$128+$AA$128-$Z$220-$AA$220)*(L220)</f>
        <v>117.55807798698211</v>
      </c>
      <c r="AF220" s="3" t="s">
        <v>599</v>
      </c>
    </row>
    <row r="221" spans="1:32" ht="11.25" customHeight="1" x14ac:dyDescent="0.3">
      <c r="A221" s="3" t="s">
        <v>27</v>
      </c>
      <c r="B221" s="3" t="s">
        <v>40</v>
      </c>
      <c r="C221" s="3" t="s">
        <v>23</v>
      </c>
      <c r="D221" s="3" t="s">
        <v>41</v>
      </c>
      <c r="E221" s="3" t="s">
        <v>50</v>
      </c>
      <c r="F221" s="3" t="s">
        <v>52</v>
      </c>
      <c r="G221" s="3" t="s">
        <v>25</v>
      </c>
      <c r="H221" s="3" t="s">
        <v>25</v>
      </c>
      <c r="I221" s="6">
        <v>44652</v>
      </c>
      <c r="J221" s="4">
        <v>0</v>
      </c>
      <c r="K221" s="4">
        <v>0</v>
      </c>
      <c r="L221" s="4">
        <v>19.370999999999999</v>
      </c>
      <c r="M221" s="4">
        <v>19.370999999999999</v>
      </c>
      <c r="N221" s="4">
        <v>19.370999999999999</v>
      </c>
      <c r="O221" s="4">
        <v>19.370999999999999</v>
      </c>
      <c r="P221" s="4">
        <v>0</v>
      </c>
      <c r="Q221" s="3" t="s">
        <v>26</v>
      </c>
      <c r="R221" s="3">
        <v>0</v>
      </c>
      <c r="S221" s="3">
        <v>0</v>
      </c>
      <c r="T221" s="3">
        <v>36</v>
      </c>
      <c r="U221" s="3">
        <v>80</v>
      </c>
      <c r="V221" s="4">
        <f>IF(ISERROR(VLOOKUP($S$221,'TAR FIN'!$A$1:$O$85,15,0)),0,VLOOKUP($S$221,'TAR FIN'!$A$1:$O$85,15,0))</f>
        <v>0</v>
      </c>
      <c r="W221" s="4">
        <f>IF(ISERROR(VLOOKUP($T$221,'TAR FIN'!$A$1:$O$85,15,0)),0,VLOOKUP($T$221,'TAR FIN'!$A$1:$O$85,15,0))</f>
        <v>326.19</v>
      </c>
      <c r="X221" s="4">
        <f>IF(ISERROR(VLOOKUP($U$221,'TAR FIN'!$A$1:$O$85,15,0)),0,VLOOKUP($U$221,'TAR FIN'!$A$1:$O$85,15,0))</f>
        <v>256.83</v>
      </c>
      <c r="Y221" s="4"/>
      <c r="Z221" s="4">
        <f ca="1">('TUSD BE'!$AM$33+'TUSD BF'!$AM$33+'TUSD CVA'!$AM$33)*(1-CUSTOS!$M$38)</f>
        <v>403.45820595709068</v>
      </c>
      <c r="AA221" s="4">
        <f>('TE BE'!$AB$24+'TE BF'!$AB$24+'TE CVA'!$AB$24)*(1-CUSTOS!$M$38)</f>
        <v>200.94689439603792</v>
      </c>
      <c r="AB221" s="4">
        <f t="shared" si="16"/>
        <v>0</v>
      </c>
      <c r="AC221" s="4">
        <f>(L221-M221)*(W221+X221)+($W$128+$X$128-$W$221-$X$221)*(L221)</f>
        <v>1539.80079</v>
      </c>
      <c r="AD221" s="4">
        <f t="shared" si="17"/>
        <v>0</v>
      </c>
      <c r="AE221" s="4">
        <f ca="1">(L221-M221)*(Z221+AA221)+($Z$128+$AA$128-$Z$221-$AA$221)*(L221)</f>
        <v>747.31475737917719</v>
      </c>
      <c r="AF221" s="3" t="s">
        <v>597</v>
      </c>
    </row>
    <row r="222" spans="1:32" ht="11.25" customHeight="1" x14ac:dyDescent="0.3">
      <c r="A222" s="3" t="s">
        <v>27</v>
      </c>
      <c r="B222" s="3" t="s">
        <v>40</v>
      </c>
      <c r="C222" s="3" t="s">
        <v>23</v>
      </c>
      <c r="D222" s="3" t="s">
        <v>41</v>
      </c>
      <c r="E222" s="3" t="s">
        <v>50</v>
      </c>
      <c r="F222" s="3" t="s">
        <v>52</v>
      </c>
      <c r="G222" s="3" t="s">
        <v>25</v>
      </c>
      <c r="H222" s="3" t="s">
        <v>25</v>
      </c>
      <c r="I222" s="6">
        <v>44652</v>
      </c>
      <c r="J222" s="4">
        <v>0</v>
      </c>
      <c r="K222" s="4">
        <v>0</v>
      </c>
      <c r="L222" s="4">
        <v>14.53</v>
      </c>
      <c r="M222" s="4">
        <v>14.53</v>
      </c>
      <c r="N222" s="4">
        <v>14.53</v>
      </c>
      <c r="O222" s="4">
        <v>14.53</v>
      </c>
      <c r="P222" s="4">
        <v>0</v>
      </c>
      <c r="Q222" s="3" t="s">
        <v>26</v>
      </c>
      <c r="R222" s="3">
        <v>0</v>
      </c>
      <c r="S222" s="3">
        <v>0</v>
      </c>
      <c r="T222" s="3">
        <v>36</v>
      </c>
      <c r="U222" s="3">
        <v>80</v>
      </c>
      <c r="V222" s="4">
        <f>IF(ISERROR(VLOOKUP($S$222,'TAR FIN'!$A$1:$O$85,15,0)),0,VLOOKUP($S$222,'TAR FIN'!$A$1:$O$85,15,0))</f>
        <v>0</v>
      </c>
      <c r="W222" s="4">
        <f>IF(ISERROR(VLOOKUP($T$222,'TAR FIN'!$A$1:$O$85,15,0)),0,VLOOKUP($T$222,'TAR FIN'!$A$1:$O$85,15,0))</f>
        <v>326.19</v>
      </c>
      <c r="X222" s="4">
        <f>IF(ISERROR(VLOOKUP($U$222,'TAR FIN'!$A$1:$O$85,15,0)),0,VLOOKUP($U$222,'TAR FIN'!$A$1:$O$85,15,0))</f>
        <v>256.83</v>
      </c>
      <c r="Y222" s="4"/>
      <c r="Z222" s="4">
        <f ca="1">('TUSD BE'!$AM$33+'TUSD BF'!$AM$33+'TUSD CVA'!$AM$33)*(1-CUSTOS!$M$38)</f>
        <v>403.45820595709068</v>
      </c>
      <c r="AA222" s="4">
        <f>('TE BE'!$AB$24+'TE BF'!$AB$24+'TE CVA'!$AB$24)*(1-CUSTOS!$M$38)</f>
        <v>200.94689439603792</v>
      </c>
      <c r="AB222" s="4">
        <f t="shared" si="16"/>
        <v>0</v>
      </c>
      <c r="AC222" s="4">
        <f>(L222-M222)*(W222+X222)+($W$128+$X$128-$W$222-$X$222)*(L222)</f>
        <v>1154.9897000000001</v>
      </c>
      <c r="AD222" s="4">
        <f t="shared" si="17"/>
        <v>0</v>
      </c>
      <c r="AE222" s="4">
        <f ca="1">(L222-M222)*(Z222+AA222)+($Z$128+$AA$128-$Z$222-$AA$222)*(L222)</f>
        <v>560.55358137006067</v>
      </c>
      <c r="AF222" s="3" t="s">
        <v>597</v>
      </c>
    </row>
    <row r="223" spans="1:32" ht="11.25" customHeight="1" x14ac:dyDescent="0.3">
      <c r="A223" s="3" t="s">
        <v>21</v>
      </c>
      <c r="B223" s="3" t="s">
        <v>40</v>
      </c>
      <c r="C223" s="3" t="s">
        <v>23</v>
      </c>
      <c r="D223" s="3" t="s">
        <v>41</v>
      </c>
      <c r="E223" s="3" t="s">
        <v>50</v>
      </c>
      <c r="F223" s="3" t="s">
        <v>52</v>
      </c>
      <c r="G223" s="3" t="s">
        <v>25</v>
      </c>
      <c r="H223" s="3" t="s">
        <v>25</v>
      </c>
      <c r="I223" s="6">
        <v>44682</v>
      </c>
      <c r="J223" s="4">
        <v>0</v>
      </c>
      <c r="K223" s="4">
        <v>0</v>
      </c>
      <c r="L223" s="4">
        <v>165.768</v>
      </c>
      <c r="M223" s="4">
        <v>66.307199999999995</v>
      </c>
      <c r="N223" s="4">
        <v>165.768</v>
      </c>
      <c r="O223" s="4">
        <v>66.307199999999995</v>
      </c>
      <c r="P223" s="4">
        <v>0</v>
      </c>
      <c r="Q223" s="3" t="s">
        <v>26</v>
      </c>
      <c r="R223" s="3">
        <v>0</v>
      </c>
      <c r="S223" s="3">
        <v>0</v>
      </c>
      <c r="T223" s="3">
        <v>36</v>
      </c>
      <c r="U223" s="3">
        <v>80</v>
      </c>
      <c r="V223" s="4">
        <f>IF(ISERROR(VLOOKUP($S$223,'TAR FIN'!$A$1:$O$85,15,0)),0,VLOOKUP($S$223,'TAR FIN'!$A$1:$O$85,15,0))</f>
        <v>0</v>
      </c>
      <c r="W223" s="4">
        <f>IF(ISERROR(VLOOKUP($T$223,'TAR FIN'!$A$1:$O$85,15,0)),0,VLOOKUP($T$223,'TAR FIN'!$A$1:$O$85,15,0))</f>
        <v>326.19</v>
      </c>
      <c r="X223" s="4">
        <f>IF(ISERROR(VLOOKUP($U$223,'TAR FIN'!$A$1:$O$85,15,0)),0,VLOOKUP($U$223,'TAR FIN'!$A$1:$O$85,15,0))</f>
        <v>256.83</v>
      </c>
      <c r="Y223" s="4"/>
      <c r="Z223" s="4">
        <f ca="1">('TUSD BE'!$AM$33+'TUSD BF'!$AM$33+'TUSD CVA'!$AM$33)*(1-CUSTOS!$M$38)</f>
        <v>403.45820595709068</v>
      </c>
      <c r="AA223" s="4">
        <f>('TE BE'!$AB$24+'TE BF'!$AB$24+'TE CVA'!$AB$24)*(1-CUSTOS!$M$38)</f>
        <v>200.94689439603792</v>
      </c>
      <c r="AB223" s="4">
        <f t="shared" si="16"/>
        <v>0</v>
      </c>
      <c r="AC223" s="4">
        <f>(L223-M223)*(W223+X223)+($W$128+$X$128-$W$223-$X$223)*(L223)</f>
        <v>71164.533936000007</v>
      </c>
      <c r="AD223" s="4">
        <f t="shared" si="17"/>
        <v>0</v>
      </c>
      <c r="AE223" s="4">
        <f ca="1">(L223-M223)*(Z223+AA223)+($Z$128+$AA$128-$Z$223-$AA$223)*(L223)</f>
        <v>66509.786592989942</v>
      </c>
      <c r="AF223" s="3" t="s">
        <v>599</v>
      </c>
    </row>
    <row r="224" spans="1:32" ht="11.25" customHeight="1" x14ac:dyDescent="0.3">
      <c r="A224" s="3" t="s">
        <v>27</v>
      </c>
      <c r="B224" s="3" t="s">
        <v>40</v>
      </c>
      <c r="C224" s="3" t="s">
        <v>23</v>
      </c>
      <c r="D224" s="3" t="s">
        <v>41</v>
      </c>
      <c r="E224" s="3" t="s">
        <v>50</v>
      </c>
      <c r="F224" s="3" t="s">
        <v>52</v>
      </c>
      <c r="G224" s="3" t="s">
        <v>25</v>
      </c>
      <c r="H224" s="3" t="s">
        <v>25</v>
      </c>
      <c r="I224" s="6">
        <v>44682</v>
      </c>
      <c r="J224" s="4">
        <v>0</v>
      </c>
      <c r="K224" s="4">
        <v>0</v>
      </c>
      <c r="L224" s="4">
        <v>19.545000000000002</v>
      </c>
      <c r="M224" s="4">
        <v>19.545000000000002</v>
      </c>
      <c r="N224" s="4">
        <v>19.545000000000002</v>
      </c>
      <c r="O224" s="4">
        <v>19.545000000000002</v>
      </c>
      <c r="P224" s="4">
        <v>0</v>
      </c>
      <c r="Q224" s="3" t="s">
        <v>26</v>
      </c>
      <c r="R224" s="3">
        <v>0</v>
      </c>
      <c r="S224" s="3">
        <v>0</v>
      </c>
      <c r="T224" s="3">
        <v>36</v>
      </c>
      <c r="U224" s="3">
        <v>80</v>
      </c>
      <c r="V224" s="4">
        <f>IF(ISERROR(VLOOKUP($S$224,'TAR FIN'!$A$1:$O$85,15,0)),0,VLOOKUP($S$224,'TAR FIN'!$A$1:$O$85,15,0))</f>
        <v>0</v>
      </c>
      <c r="W224" s="4">
        <f>IF(ISERROR(VLOOKUP($T$224,'TAR FIN'!$A$1:$O$85,15,0)),0,VLOOKUP($T$224,'TAR FIN'!$A$1:$O$85,15,0))</f>
        <v>326.19</v>
      </c>
      <c r="X224" s="4">
        <f>IF(ISERROR(VLOOKUP($U$224,'TAR FIN'!$A$1:$O$85,15,0)),0,VLOOKUP($U$224,'TAR FIN'!$A$1:$O$85,15,0))</f>
        <v>256.83</v>
      </c>
      <c r="Y224" s="4"/>
      <c r="Z224" s="4">
        <f ca="1">('TUSD BE'!$AM$33+'TUSD BF'!$AM$33+'TUSD CVA'!$AM$33)*(1-CUSTOS!$M$38)</f>
        <v>403.45820595709068</v>
      </c>
      <c r="AA224" s="4">
        <f>('TE BE'!$AB$24+'TE BF'!$AB$24+'TE CVA'!$AB$24)*(1-CUSTOS!$M$38)</f>
        <v>200.94689439603792</v>
      </c>
      <c r="AB224" s="4">
        <f t="shared" si="16"/>
        <v>0</v>
      </c>
      <c r="AC224" s="4">
        <f>(L224-M224)*(W224+X224)+($W$128+$X$128-$W$224-$X$224)*(L224)</f>
        <v>1553.6320500000004</v>
      </c>
      <c r="AD224" s="4">
        <f t="shared" si="17"/>
        <v>0</v>
      </c>
      <c r="AE224" s="4">
        <f ca="1">(L224-M224)*(Z224+AA224)+($Z$128+$AA$128-$Z$224-$AA$224)*(L224)</f>
        <v>754.02751189799289</v>
      </c>
      <c r="AF224" s="3" t="s">
        <v>597</v>
      </c>
    </row>
    <row r="225" spans="1:32" ht="11.25" customHeight="1" x14ac:dyDescent="0.3">
      <c r="A225" s="3" t="s">
        <v>27</v>
      </c>
      <c r="B225" s="3" t="s">
        <v>40</v>
      </c>
      <c r="C225" s="3" t="s">
        <v>23</v>
      </c>
      <c r="D225" s="3" t="s">
        <v>41</v>
      </c>
      <c r="E225" s="3" t="s">
        <v>50</v>
      </c>
      <c r="F225" s="3" t="s">
        <v>52</v>
      </c>
      <c r="G225" s="3" t="s">
        <v>25</v>
      </c>
      <c r="H225" s="3" t="s">
        <v>25</v>
      </c>
      <c r="I225" s="6">
        <v>44682</v>
      </c>
      <c r="J225" s="4">
        <v>0</v>
      </c>
      <c r="K225" s="4">
        <v>0</v>
      </c>
      <c r="L225" s="4">
        <v>12.291</v>
      </c>
      <c r="M225" s="4">
        <v>12.291</v>
      </c>
      <c r="N225" s="4">
        <v>12.291</v>
      </c>
      <c r="O225" s="4">
        <v>12.291</v>
      </c>
      <c r="P225" s="4">
        <v>0</v>
      </c>
      <c r="Q225" s="3" t="s">
        <v>26</v>
      </c>
      <c r="R225" s="3">
        <v>0</v>
      </c>
      <c r="S225" s="3">
        <v>0</v>
      </c>
      <c r="T225" s="3">
        <v>36</v>
      </c>
      <c r="U225" s="3">
        <v>80</v>
      </c>
      <c r="V225" s="4">
        <f>IF(ISERROR(VLOOKUP($S$225,'TAR FIN'!$A$1:$O$85,15,0)),0,VLOOKUP($S$225,'TAR FIN'!$A$1:$O$85,15,0))</f>
        <v>0</v>
      </c>
      <c r="W225" s="4">
        <f>IF(ISERROR(VLOOKUP($T$225,'TAR FIN'!$A$1:$O$85,15,0)),0,VLOOKUP($T$225,'TAR FIN'!$A$1:$O$85,15,0))</f>
        <v>326.19</v>
      </c>
      <c r="X225" s="4">
        <f>IF(ISERROR(VLOOKUP($U$225,'TAR FIN'!$A$1:$O$85,15,0)),0,VLOOKUP($U$225,'TAR FIN'!$A$1:$O$85,15,0))</f>
        <v>256.83</v>
      </c>
      <c r="Y225" s="4"/>
      <c r="Z225" s="4">
        <f ca="1">('TUSD BE'!$AM$33+'TUSD BF'!$AM$33+'TUSD CVA'!$AM$33)*(1-CUSTOS!$M$38)</f>
        <v>403.45820595709068</v>
      </c>
      <c r="AA225" s="4">
        <f>('TE BE'!$AB$24+'TE BF'!$AB$24+'TE CVA'!$AB$24)*(1-CUSTOS!$M$38)</f>
        <v>200.94689439603792</v>
      </c>
      <c r="AB225" s="4">
        <f t="shared" si="16"/>
        <v>0</v>
      </c>
      <c r="AC225" s="4">
        <f>(L225-M225)*(W225+X225)+($W$128+$X$128-$W$225-$X$225)*(L225)</f>
        <v>977.01159000000018</v>
      </c>
      <c r="AD225" s="4">
        <f t="shared" si="17"/>
        <v>0</v>
      </c>
      <c r="AE225" s="4">
        <f ca="1">(L225-M225)*(Z225+AA225)+($Z$128+$AA$128-$Z$225-$AA$225)*(L225)</f>
        <v>474.17509075150832</v>
      </c>
      <c r="AF225" s="3" t="s">
        <v>597</v>
      </c>
    </row>
    <row r="226" spans="1:32" ht="11.25" customHeight="1" x14ac:dyDescent="0.3">
      <c r="A226" s="3" t="s">
        <v>21</v>
      </c>
      <c r="B226" s="3" t="s">
        <v>40</v>
      </c>
      <c r="C226" s="3" t="s">
        <v>23</v>
      </c>
      <c r="D226" s="3" t="s">
        <v>41</v>
      </c>
      <c r="E226" s="3" t="s">
        <v>50</v>
      </c>
      <c r="F226" s="3" t="s">
        <v>52</v>
      </c>
      <c r="G226" s="3" t="s">
        <v>25</v>
      </c>
      <c r="H226" s="3" t="s">
        <v>25</v>
      </c>
      <c r="I226" s="6">
        <v>44713</v>
      </c>
      <c r="J226" s="4">
        <v>0</v>
      </c>
      <c r="K226" s="4">
        <v>0</v>
      </c>
      <c r="L226" s="4">
        <v>146.125</v>
      </c>
      <c r="M226" s="4">
        <v>58.45</v>
      </c>
      <c r="N226" s="4">
        <v>146.125</v>
      </c>
      <c r="O226" s="4">
        <v>58.45</v>
      </c>
      <c r="P226" s="4">
        <v>0</v>
      </c>
      <c r="Q226" s="3" t="s">
        <v>26</v>
      </c>
      <c r="R226" s="3">
        <v>0</v>
      </c>
      <c r="S226" s="3">
        <v>0</v>
      </c>
      <c r="T226" s="3">
        <v>36</v>
      </c>
      <c r="U226" s="3">
        <v>80</v>
      </c>
      <c r="V226" s="4">
        <f>IF(ISERROR(VLOOKUP($S$226,'TAR FIN'!$A$1:$O$85,15,0)),0,VLOOKUP($S$226,'TAR FIN'!$A$1:$O$85,15,0))</f>
        <v>0</v>
      </c>
      <c r="W226" s="4">
        <f>IF(ISERROR(VLOOKUP($T$226,'TAR FIN'!$A$1:$O$85,15,0)),0,VLOOKUP($T$226,'TAR FIN'!$A$1:$O$85,15,0))</f>
        <v>326.19</v>
      </c>
      <c r="X226" s="4">
        <f>IF(ISERROR(VLOOKUP($U$226,'TAR FIN'!$A$1:$O$85,15,0)),0,VLOOKUP($U$226,'TAR FIN'!$A$1:$O$85,15,0))</f>
        <v>256.83</v>
      </c>
      <c r="Y226" s="4"/>
      <c r="Z226" s="4">
        <f ca="1">('TUSD BE'!$AM$33+'TUSD BF'!$AM$33+'TUSD CVA'!$AM$33)*(1-CUSTOS!$M$38)</f>
        <v>403.45820595709068</v>
      </c>
      <c r="AA226" s="4">
        <f>('TE BE'!$AB$24+'TE BF'!$AB$24+'TE CVA'!$AB$24)*(1-CUSTOS!$M$38)</f>
        <v>200.94689439603792</v>
      </c>
      <c r="AB226" s="4">
        <f t="shared" si="16"/>
        <v>0</v>
      </c>
      <c r="AC226" s="4">
        <f>(L226-M226)*(W226+X226)+($W$128+$X$128-$W$226-$X$226)*(L226)</f>
        <v>62731.75475</v>
      </c>
      <c r="AD226" s="4">
        <f t="shared" si="17"/>
        <v>0</v>
      </c>
      <c r="AE226" s="4">
        <f ca="1">(L226-M226)*(Z226+AA226)+($Z$128+$AA$128-$Z$226-$AA$226)*(L226)</f>
        <v>58628.580702552084</v>
      </c>
      <c r="AF226" s="3" t="s">
        <v>599</v>
      </c>
    </row>
    <row r="227" spans="1:32" ht="11.25" customHeight="1" x14ac:dyDescent="0.3">
      <c r="A227" s="3" t="s">
        <v>48</v>
      </c>
      <c r="B227" s="3" t="s">
        <v>40</v>
      </c>
      <c r="C227" s="3" t="s">
        <v>23</v>
      </c>
      <c r="D227" s="3" t="s">
        <v>41</v>
      </c>
      <c r="E227" s="3" t="s">
        <v>50</v>
      </c>
      <c r="F227" s="3" t="s">
        <v>52</v>
      </c>
      <c r="G227" s="3" t="s">
        <v>25</v>
      </c>
      <c r="H227" s="3" t="s">
        <v>25</v>
      </c>
      <c r="I227" s="6">
        <v>44713</v>
      </c>
      <c r="J227" s="4">
        <v>0</v>
      </c>
      <c r="K227" s="4">
        <v>0</v>
      </c>
      <c r="L227" s="4">
        <v>-12.4</v>
      </c>
      <c r="M227" s="4">
        <v>-4.96</v>
      </c>
      <c r="N227" s="4">
        <v>-12.4</v>
      </c>
      <c r="O227" s="4">
        <v>-4.96</v>
      </c>
      <c r="P227" s="4">
        <v>0</v>
      </c>
      <c r="Q227" s="3" t="s">
        <v>26</v>
      </c>
      <c r="R227" s="3">
        <v>0</v>
      </c>
      <c r="S227" s="3">
        <v>0</v>
      </c>
      <c r="T227" s="3">
        <v>36</v>
      </c>
      <c r="U227" s="3">
        <v>80</v>
      </c>
      <c r="V227" s="4">
        <f>IF(ISERROR(VLOOKUP($S$227,'TAR FIN'!$A$1:$O$85,15,0)),0,VLOOKUP($S$227,'TAR FIN'!$A$1:$O$85,15,0))</f>
        <v>0</v>
      </c>
      <c r="W227" s="4">
        <f>IF(ISERROR(VLOOKUP($T$227,'TAR FIN'!$A$1:$O$85,15,0)),0,VLOOKUP($T$227,'TAR FIN'!$A$1:$O$85,15,0))</f>
        <v>326.19</v>
      </c>
      <c r="X227" s="4">
        <f>IF(ISERROR(VLOOKUP($U$227,'TAR FIN'!$A$1:$O$85,15,0)),0,VLOOKUP($U$227,'TAR FIN'!$A$1:$O$85,15,0))</f>
        <v>256.83</v>
      </c>
      <c r="Y227" s="4"/>
      <c r="Z227" s="4">
        <f ca="1">('TUSD BE'!$AM$33+'TUSD BF'!$AM$33+'TUSD CVA'!$AM$33)*(1-CUSTOS!$M$38)</f>
        <v>403.45820595709068</v>
      </c>
      <c r="AA227" s="4">
        <f>('TE BE'!$AB$24+'TE BF'!$AB$24+'TE CVA'!$AB$24)*(1-CUSTOS!$M$38)</f>
        <v>200.94689439603792</v>
      </c>
      <c r="AB227" s="4">
        <f t="shared" si="16"/>
        <v>0</v>
      </c>
      <c r="AC227" s="4">
        <f>(L227-M227)*(W227+X227)+($W$128+$X$128-$W$227-$X$227)*(L227)</f>
        <v>-5323.3448000000008</v>
      </c>
      <c r="AD227" s="4">
        <f t="shared" si="17"/>
        <v>0</v>
      </c>
      <c r="AE227" s="4">
        <f ca="1">(L227-M227)*(Z227+AA227)+($Z$128+$AA$128-$Z$227-$AA$227)*(L227)</f>
        <v>-4975.1541537152843</v>
      </c>
      <c r="AF227" s="3" t="s">
        <v>599</v>
      </c>
    </row>
    <row r="228" spans="1:32" ht="11.25" customHeight="1" x14ac:dyDescent="0.3">
      <c r="A228" s="3" t="s">
        <v>27</v>
      </c>
      <c r="B228" s="3" t="s">
        <v>40</v>
      </c>
      <c r="C228" s="3" t="s">
        <v>23</v>
      </c>
      <c r="D228" s="3" t="s">
        <v>41</v>
      </c>
      <c r="E228" s="3" t="s">
        <v>50</v>
      </c>
      <c r="F228" s="3" t="s">
        <v>52</v>
      </c>
      <c r="G228" s="3" t="s">
        <v>25</v>
      </c>
      <c r="H228" s="3" t="s">
        <v>25</v>
      </c>
      <c r="I228" s="6">
        <v>44713</v>
      </c>
      <c r="J228" s="4">
        <v>0</v>
      </c>
      <c r="K228" s="4">
        <v>0</v>
      </c>
      <c r="L228" s="4">
        <v>13.478999999999999</v>
      </c>
      <c r="M228" s="4">
        <v>13.478999999999999</v>
      </c>
      <c r="N228" s="4">
        <v>13.478999999999999</v>
      </c>
      <c r="O228" s="4">
        <v>13.478999999999999</v>
      </c>
      <c r="P228" s="4">
        <v>0</v>
      </c>
      <c r="Q228" s="3" t="s">
        <v>26</v>
      </c>
      <c r="R228" s="3">
        <v>0</v>
      </c>
      <c r="S228" s="3">
        <v>0</v>
      </c>
      <c r="T228" s="3">
        <v>36</v>
      </c>
      <c r="U228" s="3">
        <v>80</v>
      </c>
      <c r="V228" s="4">
        <f>IF(ISERROR(VLOOKUP($S$228,'TAR FIN'!$A$1:$O$85,15,0)),0,VLOOKUP($S$228,'TAR FIN'!$A$1:$O$85,15,0))</f>
        <v>0</v>
      </c>
      <c r="W228" s="4">
        <f>IF(ISERROR(VLOOKUP($T$228,'TAR FIN'!$A$1:$O$85,15,0)),0,VLOOKUP($T$228,'TAR FIN'!$A$1:$O$85,15,0))</f>
        <v>326.19</v>
      </c>
      <c r="X228" s="4">
        <f>IF(ISERROR(VLOOKUP($U$228,'TAR FIN'!$A$1:$O$85,15,0)),0,VLOOKUP($U$228,'TAR FIN'!$A$1:$O$85,15,0))</f>
        <v>256.83</v>
      </c>
      <c r="Y228" s="4"/>
      <c r="Z228" s="4">
        <f ca="1">('TUSD BE'!$AM$33+'TUSD BF'!$AM$33+'TUSD CVA'!$AM$33)*(1-CUSTOS!$M$38)</f>
        <v>403.45820595709068</v>
      </c>
      <c r="AA228" s="4">
        <f>('TE BE'!$AB$24+'TE BF'!$AB$24+'TE CVA'!$AB$24)*(1-CUSTOS!$M$38)</f>
        <v>200.94689439603792</v>
      </c>
      <c r="AB228" s="4">
        <f t="shared" si="16"/>
        <v>0</v>
      </c>
      <c r="AC228" s="4">
        <f>(L228-M228)*(W228+X228)+($W$128+$X$128-$W$228-$X$228)*(L228)</f>
        <v>1071.44571</v>
      </c>
      <c r="AD228" s="4">
        <f t="shared" si="17"/>
        <v>0</v>
      </c>
      <c r="AE228" s="4">
        <f ca="1">(L228-M228)*(Z228+AA228)+($Z$128+$AA$128-$Z$228-$AA$228)*(L228)</f>
        <v>520.00700091445617</v>
      </c>
      <c r="AF228" s="3" t="s">
        <v>597</v>
      </c>
    </row>
    <row r="229" spans="1:32" ht="11.25" customHeight="1" x14ac:dyDescent="0.3">
      <c r="A229" s="3" t="s">
        <v>21</v>
      </c>
      <c r="B229" s="3" t="s">
        <v>40</v>
      </c>
      <c r="C229" s="3" t="s">
        <v>23</v>
      </c>
      <c r="D229" s="3" t="s">
        <v>41</v>
      </c>
      <c r="E229" s="3" t="s">
        <v>50</v>
      </c>
      <c r="F229" s="3" t="s">
        <v>52</v>
      </c>
      <c r="G229" s="3" t="s">
        <v>25</v>
      </c>
      <c r="H229" s="3" t="s">
        <v>25</v>
      </c>
      <c r="I229" s="6">
        <v>44743</v>
      </c>
      <c r="J229" s="4">
        <v>0</v>
      </c>
      <c r="K229" s="4">
        <v>0</v>
      </c>
      <c r="L229" s="4">
        <v>120.61499999999999</v>
      </c>
      <c r="M229" s="4">
        <v>48.246000000000002</v>
      </c>
      <c r="N229" s="4">
        <v>120.61499999999999</v>
      </c>
      <c r="O229" s="4">
        <v>48.246000000000002</v>
      </c>
      <c r="P229" s="4">
        <v>0</v>
      </c>
      <c r="Q229" s="3" t="s">
        <v>26</v>
      </c>
      <c r="R229" s="3">
        <v>0</v>
      </c>
      <c r="S229" s="3">
        <v>0</v>
      </c>
      <c r="T229" s="3">
        <v>36</v>
      </c>
      <c r="U229" s="3">
        <v>80</v>
      </c>
      <c r="V229" s="4">
        <f>IF(ISERROR(VLOOKUP($S$229,'TAR FIN'!$A$1:$O$85,15,0)),0,VLOOKUP($S$229,'TAR FIN'!$A$1:$O$85,15,0))</f>
        <v>0</v>
      </c>
      <c r="W229" s="4">
        <f>IF(ISERROR(VLOOKUP($T$229,'TAR FIN'!$A$1:$O$85,15,0)),0,VLOOKUP($T$229,'TAR FIN'!$A$1:$O$85,15,0))</f>
        <v>326.19</v>
      </c>
      <c r="X229" s="4">
        <f>IF(ISERROR(VLOOKUP($U$229,'TAR FIN'!$A$1:$O$85,15,0)),0,VLOOKUP($U$229,'TAR FIN'!$A$1:$O$85,15,0))</f>
        <v>256.83</v>
      </c>
      <c r="Y229" s="4"/>
      <c r="Z229" s="4">
        <f ca="1">('TUSD BE'!$AM$33+'TUSD BF'!$AM$33+'TUSD CVA'!$AM$33)*(1-CUSTOS!$M$38)</f>
        <v>403.45820595709068</v>
      </c>
      <c r="AA229" s="4">
        <f>('TE BE'!$AB$24+'TE BF'!$AB$24+'TE CVA'!$AB$24)*(1-CUSTOS!$M$38)</f>
        <v>200.94689439603792</v>
      </c>
      <c r="AB229" s="4">
        <f t="shared" si="16"/>
        <v>0</v>
      </c>
      <c r="AC229" s="4">
        <f>(L229-M229)*(W229+X229)+($W$128+$X$128-$W$229-$X$229)*(L229)</f>
        <v>51780.260729999995</v>
      </c>
      <c r="AD229" s="4">
        <f t="shared" si="17"/>
        <v>0</v>
      </c>
      <c r="AE229" s="4">
        <f ca="1">(L229-M229)*(Z229+AA229)+($Z$128+$AA$128-$Z$229-$AA$229)*(L229)</f>
        <v>48393.4046976104</v>
      </c>
      <c r="AF229" s="3" t="s">
        <v>599</v>
      </c>
    </row>
    <row r="230" spans="1:32" ht="11.25" customHeight="1" x14ac:dyDescent="0.3">
      <c r="A230" s="3" t="s">
        <v>27</v>
      </c>
      <c r="B230" s="3" t="s">
        <v>40</v>
      </c>
      <c r="C230" s="3" t="s">
        <v>23</v>
      </c>
      <c r="D230" s="3" t="s">
        <v>41</v>
      </c>
      <c r="E230" s="3" t="s">
        <v>50</v>
      </c>
      <c r="F230" s="3" t="s">
        <v>52</v>
      </c>
      <c r="G230" s="3" t="s">
        <v>25</v>
      </c>
      <c r="H230" s="3" t="s">
        <v>25</v>
      </c>
      <c r="I230" s="6">
        <v>44743</v>
      </c>
      <c r="J230" s="4">
        <v>0</v>
      </c>
      <c r="K230" s="4">
        <v>0</v>
      </c>
      <c r="L230" s="4">
        <v>19.254000000000001</v>
      </c>
      <c r="M230" s="4">
        <v>19.254000000000001</v>
      </c>
      <c r="N230" s="4">
        <v>19.254000000000001</v>
      </c>
      <c r="O230" s="4">
        <v>19.254000000000001</v>
      </c>
      <c r="P230" s="4">
        <v>0</v>
      </c>
      <c r="Q230" s="3" t="s">
        <v>26</v>
      </c>
      <c r="R230" s="3">
        <v>0</v>
      </c>
      <c r="S230" s="3">
        <v>0</v>
      </c>
      <c r="T230" s="3">
        <v>36</v>
      </c>
      <c r="U230" s="3">
        <v>80</v>
      </c>
      <c r="V230" s="4">
        <f>IF(ISERROR(VLOOKUP($S$230,'TAR FIN'!$A$1:$O$85,15,0)),0,VLOOKUP($S$230,'TAR FIN'!$A$1:$O$85,15,0))</f>
        <v>0</v>
      </c>
      <c r="W230" s="4">
        <f>IF(ISERROR(VLOOKUP($T$230,'TAR FIN'!$A$1:$O$85,15,0)),0,VLOOKUP($T$230,'TAR FIN'!$A$1:$O$85,15,0))</f>
        <v>326.19</v>
      </c>
      <c r="X230" s="4">
        <f>IF(ISERROR(VLOOKUP($U$230,'TAR FIN'!$A$1:$O$85,15,0)),0,VLOOKUP($U$230,'TAR FIN'!$A$1:$O$85,15,0))</f>
        <v>256.83</v>
      </c>
      <c r="Y230" s="4"/>
      <c r="Z230" s="4">
        <f ca="1">('TUSD BE'!$AM$33+'TUSD BF'!$AM$33+'TUSD CVA'!$AM$33)*(1-CUSTOS!$M$38)</f>
        <v>403.45820595709068</v>
      </c>
      <c r="AA230" s="4">
        <f>('TE BE'!$AB$24+'TE BF'!$AB$24+'TE CVA'!$AB$24)*(1-CUSTOS!$M$38)</f>
        <v>200.94689439603792</v>
      </c>
      <c r="AB230" s="4">
        <f t="shared" si="16"/>
        <v>0</v>
      </c>
      <c r="AC230" s="4">
        <f>(L230-M230)*(W230+X230)+($W$128+$X$128-$W$230-$X$230)*(L230)</f>
        <v>1530.5004600000002</v>
      </c>
      <c r="AD230" s="4">
        <f t="shared" si="17"/>
        <v>0</v>
      </c>
      <c r="AE230" s="4">
        <f ca="1">(L230-M230)*(Z230+AA230)+($Z$128+$AA$128-$Z$230-$AA$230)*(L230)</f>
        <v>742.80100865100826</v>
      </c>
      <c r="AF230" s="3" t="s">
        <v>597</v>
      </c>
    </row>
    <row r="231" spans="1:32" ht="11.25" customHeight="1" x14ac:dyDescent="0.3">
      <c r="A231" s="3" t="s">
        <v>53</v>
      </c>
      <c r="B231" s="3" t="s">
        <v>40</v>
      </c>
      <c r="C231" s="3" t="s">
        <v>23</v>
      </c>
      <c r="D231" s="3" t="s">
        <v>41</v>
      </c>
      <c r="E231" s="3" t="s">
        <v>50</v>
      </c>
      <c r="F231" s="3" t="s">
        <v>52</v>
      </c>
      <c r="G231" s="3" t="s">
        <v>25</v>
      </c>
      <c r="H231" s="3" t="s">
        <v>25</v>
      </c>
      <c r="I231" s="6">
        <v>44774</v>
      </c>
      <c r="J231" s="4">
        <v>0</v>
      </c>
      <c r="K231" s="4">
        <v>0</v>
      </c>
      <c r="L231" s="4">
        <v>120.61499999999999</v>
      </c>
      <c r="M231" s="4">
        <v>48.246000000000002</v>
      </c>
      <c r="N231" s="4">
        <v>120.61499999999999</v>
      </c>
      <c r="O231" s="4">
        <v>48.246000000000002</v>
      </c>
      <c r="P231" s="4">
        <v>0</v>
      </c>
      <c r="Q231" s="3" t="s">
        <v>26</v>
      </c>
      <c r="R231" s="3">
        <v>0</v>
      </c>
      <c r="S231" s="3">
        <v>0</v>
      </c>
      <c r="T231" s="3">
        <v>36</v>
      </c>
      <c r="U231" s="3">
        <v>80</v>
      </c>
      <c r="V231" s="4">
        <f>IF(ISERROR(VLOOKUP($S$231,'TAR FIN'!$A$1:$O$85,15,0)),0,VLOOKUP($S$231,'TAR FIN'!$A$1:$O$85,15,0))</f>
        <v>0</v>
      </c>
      <c r="W231" s="4">
        <f>IF(ISERROR(VLOOKUP($T$231,'TAR FIN'!$A$1:$O$85,15,0)),0,VLOOKUP($T$231,'TAR FIN'!$A$1:$O$85,15,0))</f>
        <v>326.19</v>
      </c>
      <c r="X231" s="4">
        <f>IF(ISERROR(VLOOKUP($U$231,'TAR FIN'!$A$1:$O$85,15,0)),0,VLOOKUP($U$231,'TAR FIN'!$A$1:$O$85,15,0))</f>
        <v>256.83</v>
      </c>
      <c r="Y231" s="4"/>
      <c r="Z231" s="4">
        <f ca="1">('TUSD BE'!$AM$33+'TUSD BF'!$AM$33+'TUSD CVA'!$AM$33)*(1-CUSTOS!$M$38)</f>
        <v>403.45820595709068</v>
      </c>
      <c r="AA231" s="4">
        <f>('TE BE'!$AB$24+'TE BF'!$AB$24+'TE CVA'!$AB$24)*(1-CUSTOS!$M$38)</f>
        <v>200.94689439603792</v>
      </c>
      <c r="AB231" s="4">
        <f t="shared" si="16"/>
        <v>0</v>
      </c>
      <c r="AC231" s="4">
        <f>(L231-M231)*(W231+X231)+($W$128+$X$128-$W$231-$X$231)*(L231)</f>
        <v>51780.260729999995</v>
      </c>
      <c r="AD231" s="4">
        <f t="shared" si="17"/>
        <v>0</v>
      </c>
      <c r="AE231" s="4">
        <f ca="1">(L231-M231)*(Z231+AA231)+($Z$128+$AA$128-$Z$231-$AA$231)*(L231)</f>
        <v>48393.4046976104</v>
      </c>
      <c r="AF231" s="3" t="s">
        <v>599</v>
      </c>
    </row>
    <row r="232" spans="1:32" ht="11.25" customHeight="1" x14ac:dyDescent="0.3">
      <c r="A232" s="3" t="s">
        <v>53</v>
      </c>
      <c r="B232" s="3" t="s">
        <v>40</v>
      </c>
      <c r="C232" s="3" t="s">
        <v>23</v>
      </c>
      <c r="D232" s="3" t="s">
        <v>41</v>
      </c>
      <c r="E232" s="3" t="s">
        <v>50</v>
      </c>
      <c r="F232" s="3" t="s">
        <v>52</v>
      </c>
      <c r="G232" s="3" t="s">
        <v>25</v>
      </c>
      <c r="H232" s="3" t="s">
        <v>25</v>
      </c>
      <c r="I232" s="6">
        <v>44774</v>
      </c>
      <c r="J232" s="4">
        <v>0</v>
      </c>
      <c r="K232" s="4">
        <v>0</v>
      </c>
      <c r="L232" s="4">
        <v>19.254000000000001</v>
      </c>
      <c r="M232" s="4">
        <v>19.254000000000001</v>
      </c>
      <c r="N232" s="4">
        <v>19.254000000000001</v>
      </c>
      <c r="O232" s="4">
        <v>19.254000000000001</v>
      </c>
      <c r="P232" s="4">
        <v>0</v>
      </c>
      <c r="Q232" s="3" t="s">
        <v>26</v>
      </c>
      <c r="R232" s="3">
        <v>0</v>
      </c>
      <c r="S232" s="3">
        <v>0</v>
      </c>
      <c r="T232" s="3">
        <v>36</v>
      </c>
      <c r="U232" s="3">
        <v>80</v>
      </c>
      <c r="V232" s="4">
        <f>IF(ISERROR(VLOOKUP($S$232,'TAR FIN'!$A$1:$O$85,15,0)),0,VLOOKUP($S$232,'TAR FIN'!$A$1:$O$85,15,0))</f>
        <v>0</v>
      </c>
      <c r="W232" s="4">
        <f>IF(ISERROR(VLOOKUP($T$232,'TAR FIN'!$A$1:$O$85,15,0)),0,VLOOKUP($T$232,'TAR FIN'!$A$1:$O$85,15,0))</f>
        <v>326.19</v>
      </c>
      <c r="X232" s="4">
        <f>IF(ISERROR(VLOOKUP($U$232,'TAR FIN'!$A$1:$O$85,15,0)),0,VLOOKUP($U$232,'TAR FIN'!$A$1:$O$85,15,0))</f>
        <v>256.83</v>
      </c>
      <c r="Y232" s="4"/>
      <c r="Z232" s="4">
        <f ca="1">('TUSD BE'!$AM$33+'TUSD BF'!$AM$33+'TUSD CVA'!$AM$33)*(1-CUSTOS!$M$38)</f>
        <v>403.45820595709068</v>
      </c>
      <c r="AA232" s="4">
        <f>('TE BE'!$AB$24+'TE BF'!$AB$24+'TE CVA'!$AB$24)*(1-CUSTOS!$M$38)</f>
        <v>200.94689439603792</v>
      </c>
      <c r="AB232" s="4">
        <f t="shared" si="16"/>
        <v>0</v>
      </c>
      <c r="AC232" s="4">
        <f>(L232-M232)*(W232+X232)+($W$128+$X$128-$W$232-$X$232)*(L232)</f>
        <v>1530.5004600000002</v>
      </c>
      <c r="AD232" s="4">
        <f t="shared" si="17"/>
        <v>0</v>
      </c>
      <c r="AE232" s="4">
        <f ca="1">(L232-M232)*(Z232+AA232)+($Z$128+$AA$128-$Z$232-$AA$232)*(L232)</f>
        <v>742.80100865100826</v>
      </c>
      <c r="AF232" s="3" t="s">
        <v>597</v>
      </c>
    </row>
    <row r="233" spans="1:32" ht="11.25" customHeight="1" x14ac:dyDescent="0.3">
      <c r="A233" s="3" t="s">
        <v>21</v>
      </c>
      <c r="B233" s="3" t="s">
        <v>40</v>
      </c>
      <c r="C233" s="3" t="s">
        <v>23</v>
      </c>
      <c r="D233" s="3" t="s">
        <v>41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44440</v>
      </c>
      <c r="J233" s="4">
        <v>0</v>
      </c>
      <c r="K233" s="4">
        <v>0</v>
      </c>
      <c r="L233" s="4">
        <v>945.65700000000004</v>
      </c>
      <c r="M233" s="4">
        <v>945.65700000000004</v>
      </c>
      <c r="N233" s="4">
        <v>945.65700000000004</v>
      </c>
      <c r="O233" s="4">
        <v>945.65700000000004</v>
      </c>
      <c r="P233" s="4">
        <v>2502</v>
      </c>
      <c r="Q233" s="3" t="s">
        <v>26</v>
      </c>
      <c r="R233" s="3">
        <v>0</v>
      </c>
      <c r="S233" s="3">
        <v>0</v>
      </c>
      <c r="T233" s="3">
        <v>36</v>
      </c>
      <c r="U233" s="3">
        <v>80</v>
      </c>
      <c r="V233" s="4">
        <f>IF(ISERROR(VLOOKUP($S$233,'TAR FIN'!$A$1:$O$85,15,0)),0,VLOOKUP($S$233,'TAR FIN'!$A$1:$O$85,15,0))</f>
        <v>0</v>
      </c>
      <c r="W233" s="4">
        <f>IF(ISERROR(VLOOKUP($T$233,'TAR FIN'!$A$1:$O$85,15,0)),0,VLOOKUP($T$233,'TAR FIN'!$A$1:$O$85,15,0))</f>
        <v>326.19</v>
      </c>
      <c r="X233" s="4">
        <f>IF(ISERROR(VLOOKUP($U$233,'TAR FIN'!$A$1:$O$85,15,0)),0,VLOOKUP($U$233,'TAR FIN'!$A$1:$O$85,15,0))</f>
        <v>256.83</v>
      </c>
      <c r="Y233" s="4"/>
      <c r="Z233" s="4">
        <f ca="1">('TUSD BE'!$AM$33+'TUSD BF'!$AM$33+'TUSD CVA'!$AM$33)*(1-CUSTOS!$M$38)</f>
        <v>403.45820595709068</v>
      </c>
      <c r="AA233" s="4">
        <f>('TE BE'!$AB$24+'TE BF'!$AB$24+'TE CVA'!$AB$24)*(1-CUSTOS!$M$38)</f>
        <v>200.94689439603792</v>
      </c>
      <c r="AB233" s="4">
        <f t="shared" si="16"/>
        <v>0</v>
      </c>
      <c r="AC233" s="4">
        <f>(L233-M233)*(W233+X233)+($W$128+$X$128-$W$233-$X$233)*(L233)</f>
        <v>75170.274930000014</v>
      </c>
      <c r="AD233" s="4">
        <f t="shared" si="17"/>
        <v>0</v>
      </c>
      <c r="AE233" s="4">
        <f ca="1">(L233-M233)*(Z233+AA233)+($Z$128+$AA$128-$Z$233-$AA$233)*(L233)</f>
        <v>36482.547701147108</v>
      </c>
      <c r="AF233" s="3" t="s">
        <v>597</v>
      </c>
    </row>
    <row r="234" spans="1:32" ht="11.25" customHeight="1" x14ac:dyDescent="0.3">
      <c r="A234" s="3" t="s">
        <v>27</v>
      </c>
      <c r="B234" s="3" t="s">
        <v>40</v>
      </c>
      <c r="C234" s="3" t="s">
        <v>23</v>
      </c>
      <c r="D234" s="3" t="s">
        <v>41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44440</v>
      </c>
      <c r="J234" s="4">
        <v>0</v>
      </c>
      <c r="K234" s="4">
        <v>0</v>
      </c>
      <c r="L234" s="4">
        <v>51.381</v>
      </c>
      <c r="M234" s="4">
        <v>51.381</v>
      </c>
      <c r="N234" s="4">
        <v>51.381</v>
      </c>
      <c r="O234" s="4">
        <v>51.381</v>
      </c>
      <c r="P234" s="4">
        <v>82</v>
      </c>
      <c r="Q234" s="3" t="s">
        <v>26</v>
      </c>
      <c r="R234" s="3">
        <v>0</v>
      </c>
      <c r="S234" s="3">
        <v>0</v>
      </c>
      <c r="T234" s="3">
        <v>36</v>
      </c>
      <c r="U234" s="3">
        <v>80</v>
      </c>
      <c r="V234" s="4">
        <f>IF(ISERROR(VLOOKUP($S$234,'TAR FIN'!$A$1:$O$85,15,0)),0,VLOOKUP($S$234,'TAR FIN'!$A$1:$O$85,15,0))</f>
        <v>0</v>
      </c>
      <c r="W234" s="4">
        <f>IF(ISERROR(VLOOKUP($T$234,'TAR FIN'!$A$1:$O$85,15,0)),0,VLOOKUP($T$234,'TAR FIN'!$A$1:$O$85,15,0))</f>
        <v>326.19</v>
      </c>
      <c r="X234" s="4">
        <f>IF(ISERROR(VLOOKUP($U$234,'TAR FIN'!$A$1:$O$85,15,0)),0,VLOOKUP($U$234,'TAR FIN'!$A$1:$O$85,15,0))</f>
        <v>256.83</v>
      </c>
      <c r="Y234" s="4"/>
      <c r="Z234" s="4">
        <f ca="1">('TUSD BE'!$AM$33+'TUSD BF'!$AM$33+'TUSD CVA'!$AM$33)*(1-CUSTOS!$M$38)</f>
        <v>403.45820595709068</v>
      </c>
      <c r="AA234" s="4">
        <f>('TE BE'!$AB$24+'TE BF'!$AB$24+'TE CVA'!$AB$24)*(1-CUSTOS!$M$38)</f>
        <v>200.94689439603792</v>
      </c>
      <c r="AB234" s="4">
        <f t="shared" si="16"/>
        <v>0</v>
      </c>
      <c r="AC234" s="4">
        <f>(L234-M234)*(W234+X234)+($W$128+$X$128-$W$234-$X$234)*(L234)</f>
        <v>4084.2756900000004</v>
      </c>
      <c r="AD234" s="4">
        <f t="shared" si="17"/>
        <v>0</v>
      </c>
      <c r="AE234" s="4">
        <f ca="1">(L234-M234)*(Z234+AA234)+($Z$128+$AA$128-$Z$234-$AA$234)*(L234)</f>
        <v>1982.2301145474942</v>
      </c>
      <c r="AF234" s="3" t="s">
        <v>597</v>
      </c>
    </row>
    <row r="235" spans="1:32" ht="11.25" customHeight="1" x14ac:dyDescent="0.3">
      <c r="A235" s="3" t="s">
        <v>21</v>
      </c>
      <c r="B235" s="3" t="s">
        <v>40</v>
      </c>
      <c r="C235" s="3" t="s">
        <v>23</v>
      </c>
      <c r="D235" s="3" t="s">
        <v>41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44470</v>
      </c>
      <c r="J235" s="4">
        <v>0</v>
      </c>
      <c r="K235" s="4">
        <v>0</v>
      </c>
      <c r="L235" s="4">
        <v>962.3</v>
      </c>
      <c r="M235" s="4">
        <v>962.3</v>
      </c>
      <c r="N235" s="4">
        <v>962.3</v>
      </c>
      <c r="O235" s="4">
        <v>962.3</v>
      </c>
      <c r="P235" s="4">
        <v>2496</v>
      </c>
      <c r="Q235" s="3" t="s">
        <v>26</v>
      </c>
      <c r="R235" s="3">
        <v>0</v>
      </c>
      <c r="S235" s="3">
        <v>0</v>
      </c>
      <c r="T235" s="3">
        <v>36</v>
      </c>
      <c r="U235" s="3">
        <v>80</v>
      </c>
      <c r="V235" s="4">
        <f>IF(ISERROR(VLOOKUP($S$235,'TAR FIN'!$A$1:$O$85,15,0)),0,VLOOKUP($S$235,'TAR FIN'!$A$1:$O$85,15,0))</f>
        <v>0</v>
      </c>
      <c r="W235" s="4">
        <f>IF(ISERROR(VLOOKUP($T$235,'TAR FIN'!$A$1:$O$85,15,0)),0,VLOOKUP($T$235,'TAR FIN'!$A$1:$O$85,15,0))</f>
        <v>326.19</v>
      </c>
      <c r="X235" s="4">
        <f>IF(ISERROR(VLOOKUP($U$235,'TAR FIN'!$A$1:$O$85,15,0)),0,VLOOKUP($U$235,'TAR FIN'!$A$1:$O$85,15,0))</f>
        <v>256.83</v>
      </c>
      <c r="Y235" s="4"/>
      <c r="Z235" s="4">
        <f ca="1">('TUSD BE'!$AM$33+'TUSD BF'!$AM$33+'TUSD CVA'!$AM$33)*(1-CUSTOS!$M$38)</f>
        <v>403.45820595709068</v>
      </c>
      <c r="AA235" s="4">
        <f>('TE BE'!$AB$24+'TE BF'!$AB$24+'TE CVA'!$AB$24)*(1-CUSTOS!$M$38)</f>
        <v>200.94689439603792</v>
      </c>
      <c r="AB235" s="4">
        <f t="shared" si="16"/>
        <v>0</v>
      </c>
      <c r="AC235" s="4">
        <f>(L235-M235)*(W235+X235)+($W$128+$X$128-$W$235-$X$235)*(L235)</f>
        <v>76493.226999999999</v>
      </c>
      <c r="AD235" s="4">
        <f t="shared" si="17"/>
        <v>0</v>
      </c>
      <c r="AE235" s="4">
        <f ca="1">(L235-M235)*(Z235+AA235)+($Z$128+$AA$128-$Z$235-$AA$235)*(L235)</f>
        <v>37124.618812966924</v>
      </c>
      <c r="AF235" s="3" t="s">
        <v>597</v>
      </c>
    </row>
    <row r="236" spans="1:32" ht="11.25" customHeight="1" x14ac:dyDescent="0.3">
      <c r="A236" s="3" t="s">
        <v>48</v>
      </c>
      <c r="B236" s="3" t="s">
        <v>40</v>
      </c>
      <c r="C236" s="3" t="s">
        <v>23</v>
      </c>
      <c r="D236" s="3" t="s">
        <v>41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44470</v>
      </c>
      <c r="J236" s="4">
        <v>0</v>
      </c>
      <c r="K236" s="4">
        <v>0</v>
      </c>
      <c r="L236" s="4">
        <v>-0.17899999999999999</v>
      </c>
      <c r="M236" s="4">
        <v>-0.17899999999999999</v>
      </c>
      <c r="N236" s="4">
        <v>-0.17899999999999999</v>
      </c>
      <c r="O236" s="4">
        <v>-0.17899999999999999</v>
      </c>
      <c r="P236" s="4">
        <v>0</v>
      </c>
      <c r="Q236" s="3" t="s">
        <v>26</v>
      </c>
      <c r="R236" s="3">
        <v>0</v>
      </c>
      <c r="S236" s="3">
        <v>0</v>
      </c>
      <c r="T236" s="3">
        <v>36</v>
      </c>
      <c r="U236" s="3">
        <v>80</v>
      </c>
      <c r="V236" s="4">
        <f>IF(ISERROR(VLOOKUP($S$236,'TAR FIN'!$A$1:$O$85,15,0)),0,VLOOKUP($S$236,'TAR FIN'!$A$1:$O$85,15,0))</f>
        <v>0</v>
      </c>
      <c r="W236" s="4">
        <f>IF(ISERROR(VLOOKUP($T$236,'TAR FIN'!$A$1:$O$85,15,0)),0,VLOOKUP($T$236,'TAR FIN'!$A$1:$O$85,15,0))</f>
        <v>326.19</v>
      </c>
      <c r="X236" s="4">
        <f>IF(ISERROR(VLOOKUP($U$236,'TAR FIN'!$A$1:$O$85,15,0)),0,VLOOKUP($U$236,'TAR FIN'!$A$1:$O$85,15,0))</f>
        <v>256.83</v>
      </c>
      <c r="Y236" s="4"/>
      <c r="Z236" s="4">
        <f ca="1">('TUSD BE'!$AM$33+'TUSD BF'!$AM$33+'TUSD CVA'!$AM$33)*(1-CUSTOS!$M$38)</f>
        <v>403.45820595709068</v>
      </c>
      <c r="AA236" s="4">
        <f>('TE BE'!$AB$24+'TE BF'!$AB$24+'TE CVA'!$AB$24)*(1-CUSTOS!$M$38)</f>
        <v>200.94689439603792</v>
      </c>
      <c r="AB236" s="4">
        <f t="shared" si="16"/>
        <v>0</v>
      </c>
      <c r="AC236" s="4">
        <f>(L236-M236)*(W236+X236)+($W$128+$X$128-$W$236-$X$236)*(L236)</f>
        <v>-14.228710000000001</v>
      </c>
      <c r="AD236" s="4">
        <f t="shared" si="17"/>
        <v>0</v>
      </c>
      <c r="AE236" s="4">
        <f ca="1">(L236-M236)*(Z236+AA236)+($Z$128+$AA$128-$Z$236-$AA$236)*(L236)</f>
        <v>-6.9056497636091443</v>
      </c>
      <c r="AF236" s="3" t="s">
        <v>597</v>
      </c>
    </row>
    <row r="237" spans="1:32" ht="11.25" customHeight="1" x14ac:dyDescent="0.3">
      <c r="A237" s="3" t="s">
        <v>27</v>
      </c>
      <c r="B237" s="3" t="s">
        <v>40</v>
      </c>
      <c r="C237" s="3" t="s">
        <v>23</v>
      </c>
      <c r="D237" s="3" t="s">
        <v>41</v>
      </c>
      <c r="E237" s="3" t="s">
        <v>25</v>
      </c>
      <c r="F237" s="3" t="s">
        <v>25</v>
      </c>
      <c r="G237" s="3" t="s">
        <v>25</v>
      </c>
      <c r="H237" s="3" t="s">
        <v>25</v>
      </c>
      <c r="I237" s="6">
        <v>44470</v>
      </c>
      <c r="J237" s="4">
        <v>0</v>
      </c>
      <c r="K237" s="4">
        <v>0</v>
      </c>
      <c r="L237" s="4">
        <v>66.06</v>
      </c>
      <c r="M237" s="4">
        <v>66.06</v>
      </c>
      <c r="N237" s="4">
        <v>66.06</v>
      </c>
      <c r="O237" s="4">
        <v>66.06</v>
      </c>
      <c r="P237" s="4">
        <v>85</v>
      </c>
      <c r="Q237" s="3" t="s">
        <v>26</v>
      </c>
      <c r="R237" s="3">
        <v>0</v>
      </c>
      <c r="S237" s="3">
        <v>0</v>
      </c>
      <c r="T237" s="3">
        <v>36</v>
      </c>
      <c r="U237" s="3">
        <v>80</v>
      </c>
      <c r="V237" s="4">
        <f>IF(ISERROR(VLOOKUP($S$237,'TAR FIN'!$A$1:$O$85,15,0)),0,VLOOKUP($S$237,'TAR FIN'!$A$1:$O$85,15,0))</f>
        <v>0</v>
      </c>
      <c r="W237" s="4">
        <f>IF(ISERROR(VLOOKUP($T$237,'TAR FIN'!$A$1:$O$85,15,0)),0,VLOOKUP($T$237,'TAR FIN'!$A$1:$O$85,15,0))</f>
        <v>326.19</v>
      </c>
      <c r="X237" s="4">
        <f>IF(ISERROR(VLOOKUP($U$237,'TAR FIN'!$A$1:$O$85,15,0)),0,VLOOKUP($U$237,'TAR FIN'!$A$1:$O$85,15,0))</f>
        <v>256.83</v>
      </c>
      <c r="Y237" s="4"/>
      <c r="Z237" s="4">
        <f ca="1">('TUSD BE'!$AM$33+'TUSD BF'!$AM$33+'TUSD CVA'!$AM$33)*(1-CUSTOS!$M$38)</f>
        <v>403.45820595709068</v>
      </c>
      <c r="AA237" s="4">
        <f>('TE BE'!$AB$24+'TE BF'!$AB$24+'TE CVA'!$AB$24)*(1-CUSTOS!$M$38)</f>
        <v>200.94689439603792</v>
      </c>
      <c r="AB237" s="4">
        <f t="shared" si="16"/>
        <v>0</v>
      </c>
      <c r="AC237" s="4">
        <f>(L237-M237)*(W237+X237)+($W$128+$X$128-$W$237-$X$237)*(L237)</f>
        <v>5251.1094000000012</v>
      </c>
      <c r="AD237" s="4">
        <f t="shared" si="17"/>
        <v>0</v>
      </c>
      <c r="AE237" s="4">
        <f ca="1">(L237-M237)*(Z237+AA237)+($Z$128+$AA$128-$Z$237-$AA$237)*(L237)</f>
        <v>2548.5319742124025</v>
      </c>
      <c r="AF237" s="3" t="s">
        <v>597</v>
      </c>
    </row>
    <row r="238" spans="1:32" ht="11.25" customHeight="1" x14ac:dyDescent="0.3">
      <c r="A238" s="3" t="s">
        <v>21</v>
      </c>
      <c r="B238" s="3" t="s">
        <v>40</v>
      </c>
      <c r="C238" s="3" t="s">
        <v>23</v>
      </c>
      <c r="D238" s="3" t="s">
        <v>41</v>
      </c>
      <c r="E238" s="3" t="s">
        <v>25</v>
      </c>
      <c r="F238" s="3" t="s">
        <v>25</v>
      </c>
      <c r="G238" s="3" t="s">
        <v>25</v>
      </c>
      <c r="H238" s="3" t="s">
        <v>25</v>
      </c>
      <c r="I238" s="6">
        <v>44501</v>
      </c>
      <c r="J238" s="4">
        <v>0</v>
      </c>
      <c r="K238" s="4">
        <v>0</v>
      </c>
      <c r="L238" s="4">
        <v>1024.6300000000001</v>
      </c>
      <c r="M238" s="4">
        <v>1024.6300000000001</v>
      </c>
      <c r="N238" s="4">
        <v>1024.6300000000001</v>
      </c>
      <c r="O238" s="4">
        <v>1024.6300000000001</v>
      </c>
      <c r="P238" s="4">
        <v>2475</v>
      </c>
      <c r="Q238" s="3" t="s">
        <v>26</v>
      </c>
      <c r="R238" s="3">
        <v>0</v>
      </c>
      <c r="S238" s="3">
        <v>0</v>
      </c>
      <c r="T238" s="3">
        <v>36</v>
      </c>
      <c r="U238" s="3">
        <v>80</v>
      </c>
      <c r="V238" s="4">
        <f>IF(ISERROR(VLOOKUP($S$238,'TAR FIN'!$A$1:$O$85,15,0)),0,VLOOKUP($S$238,'TAR FIN'!$A$1:$O$85,15,0))</f>
        <v>0</v>
      </c>
      <c r="W238" s="4">
        <f>IF(ISERROR(VLOOKUP($T$238,'TAR FIN'!$A$1:$O$85,15,0)),0,VLOOKUP($T$238,'TAR FIN'!$A$1:$O$85,15,0))</f>
        <v>326.19</v>
      </c>
      <c r="X238" s="4">
        <f>IF(ISERROR(VLOOKUP($U$238,'TAR FIN'!$A$1:$O$85,15,0)),0,VLOOKUP($U$238,'TAR FIN'!$A$1:$O$85,15,0))</f>
        <v>256.83</v>
      </c>
      <c r="Y238" s="4"/>
      <c r="Z238" s="4">
        <f ca="1">('TUSD BE'!$AM$33+'TUSD BF'!$AM$33+'TUSD CVA'!$AM$33)*(1-CUSTOS!$M$38)</f>
        <v>403.45820595709068</v>
      </c>
      <c r="AA238" s="4">
        <f>('TE BE'!$AB$24+'TE BF'!$AB$24+'TE CVA'!$AB$24)*(1-CUSTOS!$M$38)</f>
        <v>200.94689439603792</v>
      </c>
      <c r="AB238" s="4">
        <f t="shared" si="16"/>
        <v>0</v>
      </c>
      <c r="AC238" s="4">
        <f>(L238-M238)*(W238+X238)+($W$128+$X$128-$W$238-$X$238)*(L238)</f>
        <v>81447.838700000022</v>
      </c>
      <c r="AD238" s="4">
        <f t="shared" si="17"/>
        <v>0</v>
      </c>
      <c r="AE238" s="4">
        <f ca="1">(L238-M238)*(Z238+AA238)+($Z$128+$AA$128-$Z$238-$AA$238)*(L238)</f>
        <v>39529.250934563344</v>
      </c>
      <c r="AF238" s="3" t="s">
        <v>597</v>
      </c>
    </row>
    <row r="239" spans="1:32" ht="11.25" customHeight="1" x14ac:dyDescent="0.3">
      <c r="A239" s="3" t="s">
        <v>27</v>
      </c>
      <c r="B239" s="3" t="s">
        <v>40</v>
      </c>
      <c r="C239" s="3" t="s">
        <v>23</v>
      </c>
      <c r="D239" s="3" t="s">
        <v>41</v>
      </c>
      <c r="E239" s="3" t="s">
        <v>25</v>
      </c>
      <c r="F239" s="3" t="s">
        <v>25</v>
      </c>
      <c r="G239" s="3" t="s">
        <v>25</v>
      </c>
      <c r="H239" s="3" t="s">
        <v>25</v>
      </c>
      <c r="I239" s="6">
        <v>44501</v>
      </c>
      <c r="J239" s="4">
        <v>0</v>
      </c>
      <c r="K239" s="4">
        <v>0</v>
      </c>
      <c r="L239" s="4">
        <v>22.878</v>
      </c>
      <c r="M239" s="4">
        <v>22.878</v>
      </c>
      <c r="N239" s="4">
        <v>22.878</v>
      </c>
      <c r="O239" s="4">
        <v>22.878</v>
      </c>
      <c r="P239" s="4">
        <v>99</v>
      </c>
      <c r="Q239" s="3" t="s">
        <v>26</v>
      </c>
      <c r="R239" s="3">
        <v>0</v>
      </c>
      <c r="S239" s="3">
        <v>0</v>
      </c>
      <c r="T239" s="3">
        <v>36</v>
      </c>
      <c r="U239" s="3">
        <v>80</v>
      </c>
      <c r="V239" s="4">
        <f>IF(ISERROR(VLOOKUP($S$239,'TAR FIN'!$A$1:$O$85,15,0)),0,VLOOKUP($S$239,'TAR FIN'!$A$1:$O$85,15,0))</f>
        <v>0</v>
      </c>
      <c r="W239" s="4">
        <f>IF(ISERROR(VLOOKUP($T$239,'TAR FIN'!$A$1:$O$85,15,0)),0,VLOOKUP($T$239,'TAR FIN'!$A$1:$O$85,15,0))</f>
        <v>326.19</v>
      </c>
      <c r="X239" s="4">
        <f>IF(ISERROR(VLOOKUP($U$239,'TAR FIN'!$A$1:$O$85,15,0)),0,VLOOKUP($U$239,'TAR FIN'!$A$1:$O$85,15,0))</f>
        <v>256.83</v>
      </c>
      <c r="Y239" s="4"/>
      <c r="Z239" s="4">
        <f ca="1">('TUSD BE'!$AM$33+'TUSD BF'!$AM$33+'TUSD CVA'!$AM$33)*(1-CUSTOS!$M$38)</f>
        <v>403.45820595709068</v>
      </c>
      <c r="AA239" s="4">
        <f>('TE BE'!$AB$24+'TE BF'!$AB$24+'TE CVA'!$AB$24)*(1-CUSTOS!$M$38)</f>
        <v>200.94689439603792</v>
      </c>
      <c r="AB239" s="4">
        <f t="shared" si="16"/>
        <v>0</v>
      </c>
      <c r="AC239" s="4">
        <f>(L239-M239)*(W239+X239)+($W$128+$X$128-$W$239-$X$239)*(L239)</f>
        <v>1818.5722200000002</v>
      </c>
      <c r="AD239" s="4">
        <f t="shared" si="17"/>
        <v>0</v>
      </c>
      <c r="AE239" s="4">
        <f ca="1">(L239-M239)*(Z239+AA239)+($Z$128+$AA$128-$Z$239-$AA$239)*(L239)</f>
        <v>882.61148207737426</v>
      </c>
      <c r="AF239" s="3" t="s">
        <v>597</v>
      </c>
    </row>
    <row r="240" spans="1:32" ht="11.25" customHeight="1" x14ac:dyDescent="0.3">
      <c r="A240" s="3" t="s">
        <v>21</v>
      </c>
      <c r="B240" s="3" t="s">
        <v>40</v>
      </c>
      <c r="C240" s="3" t="s">
        <v>23</v>
      </c>
      <c r="D240" s="3" t="s">
        <v>41</v>
      </c>
      <c r="E240" s="3" t="s">
        <v>25</v>
      </c>
      <c r="F240" s="3" t="s">
        <v>25</v>
      </c>
      <c r="G240" s="3" t="s">
        <v>25</v>
      </c>
      <c r="H240" s="3" t="s">
        <v>25</v>
      </c>
      <c r="I240" s="6">
        <v>44531</v>
      </c>
      <c r="J240" s="4">
        <v>0</v>
      </c>
      <c r="K240" s="4">
        <v>0</v>
      </c>
      <c r="L240" s="4">
        <v>861.80700000000002</v>
      </c>
      <c r="M240" s="4">
        <v>861.80700000000002</v>
      </c>
      <c r="N240" s="4">
        <v>861.80700000000002</v>
      </c>
      <c r="O240" s="4">
        <v>861.80700000000002</v>
      </c>
      <c r="P240" s="4">
        <v>2464</v>
      </c>
      <c r="Q240" s="3" t="s">
        <v>26</v>
      </c>
      <c r="R240" s="3">
        <v>0</v>
      </c>
      <c r="S240" s="3">
        <v>0</v>
      </c>
      <c r="T240" s="3">
        <v>36</v>
      </c>
      <c r="U240" s="3">
        <v>80</v>
      </c>
      <c r="V240" s="4">
        <f>IF(ISERROR(VLOOKUP($S$240,'TAR FIN'!$A$1:$O$85,15,0)),0,VLOOKUP($S$240,'TAR FIN'!$A$1:$O$85,15,0))</f>
        <v>0</v>
      </c>
      <c r="W240" s="4">
        <f>IF(ISERROR(VLOOKUP($T$240,'TAR FIN'!$A$1:$O$85,15,0)),0,VLOOKUP($T$240,'TAR FIN'!$A$1:$O$85,15,0))</f>
        <v>326.19</v>
      </c>
      <c r="X240" s="4">
        <f>IF(ISERROR(VLOOKUP($U$240,'TAR FIN'!$A$1:$O$85,15,0)),0,VLOOKUP($U$240,'TAR FIN'!$A$1:$O$85,15,0))</f>
        <v>256.83</v>
      </c>
      <c r="Y240" s="4"/>
      <c r="Z240" s="4">
        <f ca="1">('TUSD BE'!$AM$33+'TUSD BF'!$AM$33+'TUSD CVA'!$AM$33)*(1-CUSTOS!$M$38)</f>
        <v>403.45820595709068</v>
      </c>
      <c r="AA240" s="4">
        <f>('TE BE'!$AB$24+'TE BF'!$AB$24+'TE CVA'!$AB$24)*(1-CUSTOS!$M$38)</f>
        <v>200.94689439603792</v>
      </c>
      <c r="AB240" s="4">
        <f t="shared" si="16"/>
        <v>0</v>
      </c>
      <c r="AC240" s="4">
        <f>(L240-M240)*(W240+X240)+($W$128+$X$128-$W$240-$X$240)*(L240)</f>
        <v>68505.038430000015</v>
      </c>
      <c r="AD240" s="4">
        <f t="shared" si="17"/>
        <v>0</v>
      </c>
      <c r="AE240" s="4">
        <f ca="1">(L240-M240)*(Z240+AA240)+($Z$128+$AA$128-$Z$240-$AA$240)*(L240)</f>
        <v>33247.694445959249</v>
      </c>
      <c r="AF240" s="3" t="s">
        <v>597</v>
      </c>
    </row>
    <row r="241" spans="1:32" ht="11.25" customHeight="1" x14ac:dyDescent="0.3">
      <c r="A241" s="3" t="s">
        <v>27</v>
      </c>
      <c r="B241" s="3" t="s">
        <v>40</v>
      </c>
      <c r="C241" s="3" t="s">
        <v>23</v>
      </c>
      <c r="D241" s="3" t="s">
        <v>41</v>
      </c>
      <c r="E241" s="3" t="s">
        <v>25</v>
      </c>
      <c r="F241" s="3" t="s">
        <v>25</v>
      </c>
      <c r="G241" s="3" t="s">
        <v>25</v>
      </c>
      <c r="H241" s="3" t="s">
        <v>25</v>
      </c>
      <c r="I241" s="6">
        <v>44531</v>
      </c>
      <c r="J241" s="4">
        <v>0</v>
      </c>
      <c r="K241" s="4">
        <v>0</v>
      </c>
      <c r="L241" s="4">
        <v>47.197000000000003</v>
      </c>
      <c r="M241" s="4">
        <v>47.197000000000003</v>
      </c>
      <c r="N241" s="4">
        <v>47.197000000000003</v>
      </c>
      <c r="O241" s="4">
        <v>47.197000000000003</v>
      </c>
      <c r="P241" s="4">
        <v>109</v>
      </c>
      <c r="Q241" s="3" t="s">
        <v>26</v>
      </c>
      <c r="R241" s="3">
        <v>0</v>
      </c>
      <c r="S241" s="3">
        <v>0</v>
      </c>
      <c r="T241" s="3">
        <v>36</v>
      </c>
      <c r="U241" s="3">
        <v>80</v>
      </c>
      <c r="V241" s="4">
        <f>IF(ISERROR(VLOOKUP($S$241,'TAR FIN'!$A$1:$O$85,15,0)),0,VLOOKUP($S$241,'TAR FIN'!$A$1:$O$85,15,0))</f>
        <v>0</v>
      </c>
      <c r="W241" s="4">
        <f>IF(ISERROR(VLOOKUP($T$241,'TAR FIN'!$A$1:$O$85,15,0)),0,VLOOKUP($T$241,'TAR FIN'!$A$1:$O$85,15,0))</f>
        <v>326.19</v>
      </c>
      <c r="X241" s="4">
        <f>IF(ISERROR(VLOOKUP($U$241,'TAR FIN'!$A$1:$O$85,15,0)),0,VLOOKUP($U$241,'TAR FIN'!$A$1:$O$85,15,0))</f>
        <v>256.83</v>
      </c>
      <c r="Y241" s="4"/>
      <c r="Z241" s="4">
        <f ca="1">('TUSD BE'!$AM$33+'TUSD BF'!$AM$33+'TUSD CVA'!$AM$33)*(1-CUSTOS!$M$38)</f>
        <v>403.45820595709068</v>
      </c>
      <c r="AA241" s="4">
        <f>('TE BE'!$AB$24+'TE BF'!$AB$24+'TE CVA'!$AB$24)*(1-CUSTOS!$M$38)</f>
        <v>200.94689439603792</v>
      </c>
      <c r="AB241" s="4">
        <f t="shared" si="16"/>
        <v>0</v>
      </c>
      <c r="AC241" s="4">
        <f>(L241-M241)*(W241+X241)+($W$128+$X$128-$W$241-$X$241)*(L241)</f>
        <v>3751.6895300000006</v>
      </c>
      <c r="AD241" s="4">
        <f t="shared" si="17"/>
        <v>0</v>
      </c>
      <c r="AE241" s="4">
        <f ca="1">(L241-M241)*(Z241+AA241)+($Z$128+$AA$128-$Z$241-$AA$241)*(L241)</f>
        <v>1820.8153737042503</v>
      </c>
      <c r="AF241" s="3" t="s">
        <v>597</v>
      </c>
    </row>
    <row r="242" spans="1:32" ht="11.25" customHeight="1" x14ac:dyDescent="0.3">
      <c r="A242" s="3" t="s">
        <v>21</v>
      </c>
      <c r="B242" s="3" t="s">
        <v>40</v>
      </c>
      <c r="C242" s="3" t="s">
        <v>23</v>
      </c>
      <c r="D242" s="3" t="s">
        <v>41</v>
      </c>
      <c r="E242" s="3" t="s">
        <v>25</v>
      </c>
      <c r="F242" s="3" t="s">
        <v>25</v>
      </c>
      <c r="G242" s="3" t="s">
        <v>25</v>
      </c>
      <c r="H242" s="3" t="s">
        <v>25</v>
      </c>
      <c r="I242" s="6">
        <v>44562</v>
      </c>
      <c r="J242" s="4">
        <v>0</v>
      </c>
      <c r="K242" s="4">
        <v>0</v>
      </c>
      <c r="L242" s="4">
        <v>940.94</v>
      </c>
      <c r="M242" s="4">
        <v>940.94</v>
      </c>
      <c r="N242" s="4">
        <v>940.94</v>
      </c>
      <c r="O242" s="4">
        <v>940.94</v>
      </c>
      <c r="P242" s="4">
        <v>2457</v>
      </c>
      <c r="Q242" s="3" t="s">
        <v>26</v>
      </c>
      <c r="R242" s="3">
        <v>0</v>
      </c>
      <c r="S242" s="3">
        <v>0</v>
      </c>
      <c r="T242" s="3">
        <v>36</v>
      </c>
      <c r="U242" s="3">
        <v>80</v>
      </c>
      <c r="V242" s="4">
        <f>IF(ISERROR(VLOOKUP($S$242,'TAR FIN'!$A$1:$O$85,15,0)),0,VLOOKUP($S$242,'TAR FIN'!$A$1:$O$85,15,0))</f>
        <v>0</v>
      </c>
      <c r="W242" s="4">
        <f>IF(ISERROR(VLOOKUP($T$242,'TAR FIN'!$A$1:$O$85,15,0)),0,VLOOKUP($T$242,'TAR FIN'!$A$1:$O$85,15,0))</f>
        <v>326.19</v>
      </c>
      <c r="X242" s="4">
        <f>IF(ISERROR(VLOOKUP($U$242,'TAR FIN'!$A$1:$O$85,15,0)),0,VLOOKUP($U$242,'TAR FIN'!$A$1:$O$85,15,0))</f>
        <v>256.83</v>
      </c>
      <c r="Y242" s="4"/>
      <c r="Z242" s="4">
        <f ca="1">('TUSD BE'!$AM$33+'TUSD BF'!$AM$33+'TUSD CVA'!$AM$33)*(1-CUSTOS!$M$38)</f>
        <v>403.45820595709068</v>
      </c>
      <c r="AA242" s="4">
        <f>('TE BE'!$AB$24+'TE BF'!$AB$24+'TE CVA'!$AB$24)*(1-CUSTOS!$M$38)</f>
        <v>200.94689439603792</v>
      </c>
      <c r="AB242" s="4">
        <f t="shared" si="16"/>
        <v>0</v>
      </c>
      <c r="AC242" s="4">
        <f>(L242-M242)*(W242+X242)+($W$128+$X$128-$W$242-$X$242)*(L242)</f>
        <v>74795.320600000006</v>
      </c>
      <c r="AD242" s="4">
        <f t="shared" si="17"/>
        <v>0</v>
      </c>
      <c r="AE242" s="4">
        <f ca="1">(L242-M242)*(Z242+AA242)+($Z$128+$AA$128-$Z$242-$AA$242)*(L242)</f>
        <v>36300.570327208872</v>
      </c>
      <c r="AF242" s="3" t="s">
        <v>597</v>
      </c>
    </row>
    <row r="243" spans="1:32" ht="11.25" customHeight="1" x14ac:dyDescent="0.3">
      <c r="A243" s="3" t="s">
        <v>27</v>
      </c>
      <c r="B243" s="3" t="s">
        <v>40</v>
      </c>
      <c r="C243" s="3" t="s">
        <v>23</v>
      </c>
      <c r="D243" s="3" t="s">
        <v>41</v>
      </c>
      <c r="E243" s="3" t="s">
        <v>25</v>
      </c>
      <c r="F243" s="3" t="s">
        <v>25</v>
      </c>
      <c r="G243" s="3" t="s">
        <v>25</v>
      </c>
      <c r="H243" s="3" t="s">
        <v>25</v>
      </c>
      <c r="I243" s="6">
        <v>44562</v>
      </c>
      <c r="J243" s="4">
        <v>0</v>
      </c>
      <c r="K243" s="4">
        <v>0</v>
      </c>
      <c r="L243" s="4">
        <v>43.276000000000003</v>
      </c>
      <c r="M243" s="4">
        <v>43.276000000000003</v>
      </c>
      <c r="N243" s="4">
        <v>43.276000000000003</v>
      </c>
      <c r="O243" s="4">
        <v>43.276000000000003</v>
      </c>
      <c r="P243" s="4">
        <v>112</v>
      </c>
      <c r="Q243" s="3" t="s">
        <v>26</v>
      </c>
      <c r="R243" s="3">
        <v>0</v>
      </c>
      <c r="S243" s="3">
        <v>0</v>
      </c>
      <c r="T243" s="3">
        <v>36</v>
      </c>
      <c r="U243" s="3">
        <v>80</v>
      </c>
      <c r="V243" s="4">
        <f>IF(ISERROR(VLOOKUP($S$243,'TAR FIN'!$A$1:$O$85,15,0)),0,VLOOKUP($S$243,'TAR FIN'!$A$1:$O$85,15,0))</f>
        <v>0</v>
      </c>
      <c r="W243" s="4">
        <f>IF(ISERROR(VLOOKUP($T$243,'TAR FIN'!$A$1:$O$85,15,0)),0,VLOOKUP($T$243,'TAR FIN'!$A$1:$O$85,15,0))</f>
        <v>326.19</v>
      </c>
      <c r="X243" s="4">
        <f>IF(ISERROR(VLOOKUP($U$243,'TAR FIN'!$A$1:$O$85,15,0)),0,VLOOKUP($U$243,'TAR FIN'!$A$1:$O$85,15,0))</f>
        <v>256.83</v>
      </c>
      <c r="Y243" s="4"/>
      <c r="Z243" s="4">
        <f ca="1">('TUSD BE'!$AM$33+'TUSD BF'!$AM$33+'TUSD CVA'!$AM$33)*(1-CUSTOS!$M$38)</f>
        <v>403.45820595709068</v>
      </c>
      <c r="AA243" s="4">
        <f>('TE BE'!$AB$24+'TE BF'!$AB$24+'TE CVA'!$AB$24)*(1-CUSTOS!$M$38)</f>
        <v>200.94689439603792</v>
      </c>
      <c r="AB243" s="4">
        <f t="shared" si="16"/>
        <v>0</v>
      </c>
      <c r="AC243" s="4">
        <f>(L243-M243)*(W243+X243)+($W$128+$X$128-$W$243-$X$243)*(L243)</f>
        <v>3440.0092400000008</v>
      </c>
      <c r="AD243" s="4">
        <f t="shared" si="17"/>
        <v>0</v>
      </c>
      <c r="AE243" s="4">
        <f ca="1">(L243-M243)*(Z243+AA243)+($Z$128+$AA$128-$Z$243-$AA$243)*(L243)</f>
        <v>1669.5469227371473</v>
      </c>
      <c r="AF243" s="3" t="s">
        <v>597</v>
      </c>
    </row>
    <row r="244" spans="1:32" ht="11.25" customHeight="1" x14ac:dyDescent="0.3">
      <c r="A244" s="3" t="s">
        <v>21</v>
      </c>
      <c r="B244" s="3" t="s">
        <v>40</v>
      </c>
      <c r="C244" s="3" t="s">
        <v>23</v>
      </c>
      <c r="D244" s="3" t="s">
        <v>41</v>
      </c>
      <c r="E244" s="3" t="s">
        <v>25</v>
      </c>
      <c r="F244" s="3" t="s">
        <v>25</v>
      </c>
      <c r="G244" s="3" t="s">
        <v>25</v>
      </c>
      <c r="H244" s="3" t="s">
        <v>25</v>
      </c>
      <c r="I244" s="6">
        <v>44593</v>
      </c>
      <c r="J244" s="4">
        <v>0</v>
      </c>
      <c r="K244" s="4">
        <v>0</v>
      </c>
      <c r="L244" s="4">
        <v>1002.748</v>
      </c>
      <c r="M244" s="4">
        <v>1002.748</v>
      </c>
      <c r="N244" s="4">
        <v>1002.748</v>
      </c>
      <c r="O244" s="4">
        <v>1002.748</v>
      </c>
      <c r="P244" s="4">
        <v>2447</v>
      </c>
      <c r="Q244" s="3" t="s">
        <v>26</v>
      </c>
      <c r="R244" s="3">
        <v>0</v>
      </c>
      <c r="S244" s="3">
        <v>0</v>
      </c>
      <c r="T244" s="3">
        <v>36</v>
      </c>
      <c r="U244" s="3">
        <v>80</v>
      </c>
      <c r="V244" s="4">
        <f>IF(ISERROR(VLOOKUP($S$244,'TAR FIN'!$A$1:$O$85,15,0)),0,VLOOKUP($S$244,'TAR FIN'!$A$1:$O$85,15,0))</f>
        <v>0</v>
      </c>
      <c r="W244" s="4">
        <f>IF(ISERROR(VLOOKUP($T$244,'TAR FIN'!$A$1:$O$85,15,0)),0,VLOOKUP($T$244,'TAR FIN'!$A$1:$O$85,15,0))</f>
        <v>326.19</v>
      </c>
      <c r="X244" s="4">
        <f>IF(ISERROR(VLOOKUP($U$244,'TAR FIN'!$A$1:$O$85,15,0)),0,VLOOKUP($U$244,'TAR FIN'!$A$1:$O$85,15,0))</f>
        <v>256.83</v>
      </c>
      <c r="Y244" s="4"/>
      <c r="Z244" s="4">
        <f ca="1">('TUSD BE'!$AM$33+'TUSD BF'!$AM$33+'TUSD CVA'!$AM$33)*(1-CUSTOS!$M$38)</f>
        <v>403.45820595709068</v>
      </c>
      <c r="AA244" s="4">
        <f>('TE BE'!$AB$24+'TE BF'!$AB$24+'TE CVA'!$AB$24)*(1-CUSTOS!$M$38)</f>
        <v>200.94689439603792</v>
      </c>
      <c r="AB244" s="4">
        <f t="shared" si="16"/>
        <v>0</v>
      </c>
      <c r="AC244" s="4">
        <f>(L244-M244)*(W244+X244)+($W$128+$X$128-$W$244-$X$244)*(L244)</f>
        <v>79708.438520000011</v>
      </c>
      <c r="AD244" s="4">
        <f t="shared" si="17"/>
        <v>0</v>
      </c>
      <c r="AE244" s="4">
        <f ca="1">(L244-M244)*(Z244+AA244)+($Z$128+$AA$128-$Z$244-$AA$244)*(L244)</f>
        <v>38685.064185248841</v>
      </c>
      <c r="AF244" s="3" t="s">
        <v>597</v>
      </c>
    </row>
    <row r="245" spans="1:32" ht="11.25" customHeight="1" x14ac:dyDescent="0.3">
      <c r="A245" s="3" t="s">
        <v>48</v>
      </c>
      <c r="B245" s="3" t="s">
        <v>40</v>
      </c>
      <c r="C245" s="3" t="s">
        <v>23</v>
      </c>
      <c r="D245" s="3" t="s">
        <v>41</v>
      </c>
      <c r="E245" s="3" t="s">
        <v>25</v>
      </c>
      <c r="F245" s="3" t="s">
        <v>25</v>
      </c>
      <c r="G245" s="3" t="s">
        <v>25</v>
      </c>
      <c r="H245" s="3" t="s">
        <v>25</v>
      </c>
      <c r="I245" s="6">
        <v>44593</v>
      </c>
      <c r="J245" s="4">
        <v>0</v>
      </c>
      <c r="K245" s="4">
        <v>0</v>
      </c>
      <c r="L245" s="4">
        <v>-0.46</v>
      </c>
      <c r="M245" s="4">
        <v>-0.46</v>
      </c>
      <c r="N245" s="4">
        <v>-0.46</v>
      </c>
      <c r="O245" s="4">
        <v>-0.46</v>
      </c>
      <c r="P245" s="4">
        <v>0</v>
      </c>
      <c r="Q245" s="3" t="s">
        <v>26</v>
      </c>
      <c r="R245" s="3">
        <v>0</v>
      </c>
      <c r="S245" s="3">
        <v>0</v>
      </c>
      <c r="T245" s="3">
        <v>36</v>
      </c>
      <c r="U245" s="3">
        <v>80</v>
      </c>
      <c r="V245" s="4">
        <f>IF(ISERROR(VLOOKUP($S$245,'TAR FIN'!$A$1:$O$85,15,0)),0,VLOOKUP($S$245,'TAR FIN'!$A$1:$O$85,15,0))</f>
        <v>0</v>
      </c>
      <c r="W245" s="4">
        <f>IF(ISERROR(VLOOKUP($T$245,'TAR FIN'!$A$1:$O$85,15,0)),0,VLOOKUP($T$245,'TAR FIN'!$A$1:$O$85,15,0))</f>
        <v>326.19</v>
      </c>
      <c r="X245" s="4">
        <f>IF(ISERROR(VLOOKUP($U$245,'TAR FIN'!$A$1:$O$85,15,0)),0,VLOOKUP($U$245,'TAR FIN'!$A$1:$O$85,15,0))</f>
        <v>256.83</v>
      </c>
      <c r="Y245" s="4"/>
      <c r="Z245" s="4">
        <f ca="1">('TUSD BE'!$AM$33+'TUSD BF'!$AM$33+'TUSD CVA'!$AM$33)*(1-CUSTOS!$M$38)</f>
        <v>403.45820595709068</v>
      </c>
      <c r="AA245" s="4">
        <f>('TE BE'!$AB$24+'TE BF'!$AB$24+'TE CVA'!$AB$24)*(1-CUSTOS!$M$38)</f>
        <v>200.94689439603792</v>
      </c>
      <c r="AB245" s="4">
        <f t="shared" si="16"/>
        <v>0</v>
      </c>
      <c r="AC245" s="4">
        <f>(L245-M245)*(W245+X245)+($W$128+$X$128-$W$245-$X$245)*(L245)</f>
        <v>-36.565400000000004</v>
      </c>
      <c r="AD245" s="4">
        <f t="shared" si="17"/>
        <v>0</v>
      </c>
      <c r="AE245" s="4">
        <f ca="1">(L245-M245)*(Z245+AA245)+($Z$128+$AA$128-$Z$245-$AA$245)*(L245)</f>
        <v>-17.746362521006741</v>
      </c>
      <c r="AF245" s="3" t="s">
        <v>597</v>
      </c>
    </row>
    <row r="246" spans="1:32" ht="11.25" customHeight="1" x14ac:dyDescent="0.3">
      <c r="A246" s="3" t="s">
        <v>27</v>
      </c>
      <c r="B246" s="3" t="s">
        <v>40</v>
      </c>
      <c r="C246" s="3" t="s">
        <v>23</v>
      </c>
      <c r="D246" s="3" t="s">
        <v>41</v>
      </c>
      <c r="E246" s="3" t="s">
        <v>25</v>
      </c>
      <c r="F246" s="3" t="s">
        <v>25</v>
      </c>
      <c r="G246" s="3" t="s">
        <v>25</v>
      </c>
      <c r="H246" s="3" t="s">
        <v>25</v>
      </c>
      <c r="I246" s="6">
        <v>44593</v>
      </c>
      <c r="J246" s="4">
        <v>0</v>
      </c>
      <c r="K246" s="4">
        <v>0</v>
      </c>
      <c r="L246" s="4">
        <v>51.188000000000002</v>
      </c>
      <c r="M246" s="4">
        <v>51.188000000000002</v>
      </c>
      <c r="N246" s="4">
        <v>51.188000000000002</v>
      </c>
      <c r="O246" s="4">
        <v>51.188000000000002</v>
      </c>
      <c r="P246" s="4">
        <v>118</v>
      </c>
      <c r="Q246" s="3" t="s">
        <v>26</v>
      </c>
      <c r="R246" s="3">
        <v>0</v>
      </c>
      <c r="S246" s="3">
        <v>0</v>
      </c>
      <c r="T246" s="3">
        <v>36</v>
      </c>
      <c r="U246" s="3">
        <v>80</v>
      </c>
      <c r="V246" s="4">
        <f>IF(ISERROR(VLOOKUP($S$246,'TAR FIN'!$A$1:$O$85,15,0)),0,VLOOKUP($S$246,'TAR FIN'!$A$1:$O$85,15,0))</f>
        <v>0</v>
      </c>
      <c r="W246" s="4">
        <f>IF(ISERROR(VLOOKUP($T$246,'TAR FIN'!$A$1:$O$85,15,0)),0,VLOOKUP($T$246,'TAR FIN'!$A$1:$O$85,15,0))</f>
        <v>326.19</v>
      </c>
      <c r="X246" s="4">
        <f>IF(ISERROR(VLOOKUP($U$246,'TAR FIN'!$A$1:$O$85,15,0)),0,VLOOKUP($U$246,'TAR FIN'!$A$1:$O$85,15,0))</f>
        <v>256.83</v>
      </c>
      <c r="Y246" s="4"/>
      <c r="Z246" s="4">
        <f ca="1">('TUSD BE'!$AM$33+'TUSD BF'!$AM$33+'TUSD CVA'!$AM$33)*(1-CUSTOS!$M$38)</f>
        <v>403.45820595709068</v>
      </c>
      <c r="AA246" s="4">
        <f>('TE BE'!$AB$24+'TE BF'!$AB$24+'TE CVA'!$AB$24)*(1-CUSTOS!$M$38)</f>
        <v>200.94689439603792</v>
      </c>
      <c r="AB246" s="4">
        <f t="shared" si="16"/>
        <v>0</v>
      </c>
      <c r="AC246" s="4">
        <f>(L246-M246)*(W246+X246)+($W$128+$X$128-$W$246-$X$246)*(L246)</f>
        <v>4068.9341200000008</v>
      </c>
      <c r="AD246" s="4">
        <f t="shared" si="17"/>
        <v>0</v>
      </c>
      <c r="AE246" s="4">
        <f ca="1">(L246-M246)*(Z246+AA246)+($Z$128+$AA$128-$Z$246-$AA$246)*(L246)</f>
        <v>1974.7843580984631</v>
      </c>
      <c r="AF246" s="3" t="s">
        <v>597</v>
      </c>
    </row>
    <row r="247" spans="1:32" ht="11.25" customHeight="1" x14ac:dyDescent="0.3">
      <c r="A247" s="3" t="s">
        <v>21</v>
      </c>
      <c r="B247" s="3" t="s">
        <v>40</v>
      </c>
      <c r="C247" s="3" t="s">
        <v>23</v>
      </c>
      <c r="D247" s="3" t="s">
        <v>41</v>
      </c>
      <c r="E247" s="3" t="s">
        <v>25</v>
      </c>
      <c r="F247" s="3" t="s">
        <v>25</v>
      </c>
      <c r="G247" s="3" t="s">
        <v>25</v>
      </c>
      <c r="H247" s="3" t="s">
        <v>25</v>
      </c>
      <c r="I247" s="6">
        <v>44621</v>
      </c>
      <c r="J247" s="4">
        <v>0</v>
      </c>
      <c r="K247" s="4">
        <v>0</v>
      </c>
      <c r="L247" s="4">
        <v>892.37699999999995</v>
      </c>
      <c r="M247" s="4">
        <v>892.37699999999995</v>
      </c>
      <c r="N247" s="4">
        <v>892.37699999999995</v>
      </c>
      <c r="O247" s="4">
        <v>892.37699999999995</v>
      </c>
      <c r="P247" s="4">
        <v>2436</v>
      </c>
      <c r="Q247" s="3" t="s">
        <v>26</v>
      </c>
      <c r="R247" s="3">
        <v>0</v>
      </c>
      <c r="S247" s="3">
        <v>0</v>
      </c>
      <c r="T247" s="3">
        <v>36</v>
      </c>
      <c r="U247" s="3">
        <v>80</v>
      </c>
      <c r="V247" s="4">
        <f>IF(ISERROR(VLOOKUP($S$247,'TAR FIN'!$A$1:$O$85,15,0)),0,VLOOKUP($S$247,'TAR FIN'!$A$1:$O$85,15,0))</f>
        <v>0</v>
      </c>
      <c r="W247" s="4">
        <f>IF(ISERROR(VLOOKUP($T$247,'TAR FIN'!$A$1:$O$85,15,0)),0,VLOOKUP($T$247,'TAR FIN'!$A$1:$O$85,15,0))</f>
        <v>326.19</v>
      </c>
      <c r="X247" s="4">
        <f>IF(ISERROR(VLOOKUP($U$247,'TAR FIN'!$A$1:$O$85,15,0)),0,VLOOKUP($U$247,'TAR FIN'!$A$1:$O$85,15,0))</f>
        <v>256.83</v>
      </c>
      <c r="Y247" s="4"/>
      <c r="Z247" s="4">
        <f ca="1">('TUSD BE'!$AM$33+'TUSD BF'!$AM$33+'TUSD CVA'!$AM$33)*(1-CUSTOS!$M$38)</f>
        <v>403.45820595709068</v>
      </c>
      <c r="AA247" s="4">
        <f>('TE BE'!$AB$24+'TE BF'!$AB$24+'TE CVA'!$AB$24)*(1-CUSTOS!$M$38)</f>
        <v>200.94689439603792</v>
      </c>
      <c r="AB247" s="4">
        <f t="shared" si="16"/>
        <v>0</v>
      </c>
      <c r="AC247" s="4">
        <f>(L247-M247)*(W247+X247)+($W$128+$X$128-$W$247-$X$247)*(L247)</f>
        <v>70935.047730000006</v>
      </c>
      <c r="AD247" s="4">
        <f t="shared" si="17"/>
        <v>0</v>
      </c>
      <c r="AE247" s="4">
        <f ca="1">(L247-M247)*(Z247+AA247)+($Z$128+$AA$128-$Z$247-$AA$247)*(L247)</f>
        <v>34427.055972627022</v>
      </c>
      <c r="AF247" s="3" t="s">
        <v>597</v>
      </c>
    </row>
    <row r="248" spans="1:32" ht="11.25" customHeight="1" x14ac:dyDescent="0.3">
      <c r="A248" s="3" t="s">
        <v>27</v>
      </c>
      <c r="B248" s="3" t="s">
        <v>40</v>
      </c>
      <c r="C248" s="3" t="s">
        <v>23</v>
      </c>
      <c r="D248" s="3" t="s">
        <v>41</v>
      </c>
      <c r="E248" s="3" t="s">
        <v>25</v>
      </c>
      <c r="F248" s="3" t="s">
        <v>25</v>
      </c>
      <c r="G248" s="3" t="s">
        <v>25</v>
      </c>
      <c r="H248" s="3" t="s">
        <v>25</v>
      </c>
      <c r="I248" s="6">
        <v>44621</v>
      </c>
      <c r="J248" s="4">
        <v>0</v>
      </c>
      <c r="K248" s="4">
        <v>0</v>
      </c>
      <c r="L248" s="4">
        <v>72.465000000000003</v>
      </c>
      <c r="M248" s="4">
        <v>72.465000000000003</v>
      </c>
      <c r="N248" s="4">
        <v>72.465000000000003</v>
      </c>
      <c r="O248" s="4">
        <v>72.465000000000003</v>
      </c>
      <c r="P248" s="4">
        <v>128</v>
      </c>
      <c r="Q248" s="3" t="s">
        <v>26</v>
      </c>
      <c r="R248" s="3">
        <v>0</v>
      </c>
      <c r="S248" s="3">
        <v>0</v>
      </c>
      <c r="T248" s="3">
        <v>36</v>
      </c>
      <c r="U248" s="3">
        <v>80</v>
      </c>
      <c r="V248" s="4">
        <f>IF(ISERROR(VLOOKUP($S$248,'TAR FIN'!$A$1:$O$85,15,0)),0,VLOOKUP($S$248,'TAR FIN'!$A$1:$O$85,15,0))</f>
        <v>0</v>
      </c>
      <c r="W248" s="4">
        <f>IF(ISERROR(VLOOKUP($T$248,'TAR FIN'!$A$1:$O$85,15,0)),0,VLOOKUP($T$248,'TAR FIN'!$A$1:$O$85,15,0))</f>
        <v>326.19</v>
      </c>
      <c r="X248" s="4">
        <f>IF(ISERROR(VLOOKUP($U$248,'TAR FIN'!$A$1:$O$85,15,0)),0,VLOOKUP($U$248,'TAR FIN'!$A$1:$O$85,15,0))</f>
        <v>256.83</v>
      </c>
      <c r="Y248" s="4"/>
      <c r="Z248" s="4">
        <f ca="1">('TUSD BE'!$AM$33+'TUSD BF'!$AM$33+'TUSD CVA'!$AM$33)*(1-CUSTOS!$M$38)</f>
        <v>403.45820595709068</v>
      </c>
      <c r="AA248" s="4">
        <f>('TE BE'!$AB$24+'TE BF'!$AB$24+'TE CVA'!$AB$24)*(1-CUSTOS!$M$38)</f>
        <v>200.94689439603792</v>
      </c>
      <c r="AB248" s="4">
        <f t="shared" si="16"/>
        <v>0</v>
      </c>
      <c r="AC248" s="4">
        <f>(L248-M248)*(W248+X248)+($W$128+$X$128-$W$248-$X$248)*(L248)</f>
        <v>5760.2428500000005</v>
      </c>
      <c r="AD248" s="4">
        <f t="shared" si="17"/>
        <v>0</v>
      </c>
      <c r="AE248" s="4">
        <f ca="1">(L248-M248)*(Z248+AA248)+($Z$128+$AA$128-$Z$248-$AA$248)*(L248)</f>
        <v>2795.6307827929422</v>
      </c>
      <c r="AF248" s="3" t="s">
        <v>597</v>
      </c>
    </row>
    <row r="249" spans="1:32" ht="11.25" customHeight="1" x14ac:dyDescent="0.3">
      <c r="A249" s="3" t="s">
        <v>21</v>
      </c>
      <c r="B249" s="3" t="s">
        <v>40</v>
      </c>
      <c r="C249" s="3" t="s">
        <v>23</v>
      </c>
      <c r="D249" s="3" t="s">
        <v>41</v>
      </c>
      <c r="E249" s="3" t="s">
        <v>25</v>
      </c>
      <c r="F249" s="3" t="s">
        <v>25</v>
      </c>
      <c r="G249" s="3" t="s">
        <v>25</v>
      </c>
      <c r="H249" s="3" t="s">
        <v>25</v>
      </c>
      <c r="I249" s="6">
        <v>44652</v>
      </c>
      <c r="J249" s="4">
        <v>0</v>
      </c>
      <c r="K249" s="4">
        <v>0</v>
      </c>
      <c r="L249" s="4">
        <v>769.93399999999997</v>
      </c>
      <c r="M249" s="4">
        <v>769.93399999999997</v>
      </c>
      <c r="N249" s="4">
        <v>769.93399999999997</v>
      </c>
      <c r="O249" s="4">
        <v>769.93399999999997</v>
      </c>
      <c r="P249" s="4">
        <v>2423</v>
      </c>
      <c r="Q249" s="3" t="s">
        <v>26</v>
      </c>
      <c r="R249" s="3">
        <v>0</v>
      </c>
      <c r="S249" s="3">
        <v>0</v>
      </c>
      <c r="T249" s="3">
        <v>36</v>
      </c>
      <c r="U249" s="3">
        <v>80</v>
      </c>
      <c r="V249" s="4">
        <f>IF(ISERROR(VLOOKUP($S$249,'TAR FIN'!$A$1:$O$85,15,0)),0,VLOOKUP($S$249,'TAR FIN'!$A$1:$O$85,15,0))</f>
        <v>0</v>
      </c>
      <c r="W249" s="4">
        <f>IF(ISERROR(VLOOKUP($T$249,'TAR FIN'!$A$1:$O$85,15,0)),0,VLOOKUP($T$249,'TAR FIN'!$A$1:$O$85,15,0))</f>
        <v>326.19</v>
      </c>
      <c r="X249" s="4">
        <f>IF(ISERROR(VLOOKUP($U$249,'TAR FIN'!$A$1:$O$85,15,0)),0,VLOOKUP($U$249,'TAR FIN'!$A$1:$O$85,15,0))</f>
        <v>256.83</v>
      </c>
      <c r="Y249" s="4"/>
      <c r="Z249" s="4">
        <f ca="1">('TUSD BE'!$AM$33+'TUSD BF'!$AM$33+'TUSD CVA'!$AM$33)*(1-CUSTOS!$M$38)</f>
        <v>403.45820595709068</v>
      </c>
      <c r="AA249" s="4">
        <f>('TE BE'!$AB$24+'TE BF'!$AB$24+'TE CVA'!$AB$24)*(1-CUSTOS!$M$38)</f>
        <v>200.94689439603792</v>
      </c>
      <c r="AB249" s="4">
        <f t="shared" si="16"/>
        <v>0</v>
      </c>
      <c r="AC249" s="4">
        <f>(L249-M249)*(W249+X249)+($W$128+$X$128-$W$249-$X$249)*(L249)</f>
        <v>61202.053660000005</v>
      </c>
      <c r="AD249" s="4">
        <f t="shared" si="17"/>
        <v>0</v>
      </c>
      <c r="AE249" s="4">
        <f ca="1">(L249-M249)*(Z249+AA249)+($Z$128+$AA$128-$Z$249-$AA$249)*(L249)</f>
        <v>29703.321480975657</v>
      </c>
      <c r="AF249" s="3" t="s">
        <v>597</v>
      </c>
    </row>
    <row r="250" spans="1:32" ht="11.25" customHeight="1" x14ac:dyDescent="0.3">
      <c r="A250" s="3" t="s">
        <v>27</v>
      </c>
      <c r="B250" s="3" t="s">
        <v>40</v>
      </c>
      <c r="C250" s="3" t="s">
        <v>23</v>
      </c>
      <c r="D250" s="3" t="s">
        <v>41</v>
      </c>
      <c r="E250" s="3" t="s">
        <v>25</v>
      </c>
      <c r="F250" s="3" t="s">
        <v>25</v>
      </c>
      <c r="G250" s="3" t="s">
        <v>25</v>
      </c>
      <c r="H250" s="3" t="s">
        <v>25</v>
      </c>
      <c r="I250" s="6">
        <v>44652</v>
      </c>
      <c r="J250" s="4">
        <v>0</v>
      </c>
      <c r="K250" s="4">
        <v>0</v>
      </c>
      <c r="L250" s="4">
        <v>79.855000000000004</v>
      </c>
      <c r="M250" s="4">
        <v>79.855000000000004</v>
      </c>
      <c r="N250" s="4">
        <v>79.855000000000004</v>
      </c>
      <c r="O250" s="4">
        <v>79.855000000000004</v>
      </c>
      <c r="P250" s="4">
        <v>138</v>
      </c>
      <c r="Q250" s="3" t="s">
        <v>26</v>
      </c>
      <c r="R250" s="3">
        <v>0</v>
      </c>
      <c r="S250" s="3">
        <v>0</v>
      </c>
      <c r="T250" s="3">
        <v>36</v>
      </c>
      <c r="U250" s="3">
        <v>80</v>
      </c>
      <c r="V250" s="4">
        <f>IF(ISERROR(VLOOKUP($S$250,'TAR FIN'!$A$1:$O$85,15,0)),0,VLOOKUP($S$250,'TAR FIN'!$A$1:$O$85,15,0))</f>
        <v>0</v>
      </c>
      <c r="W250" s="4">
        <f>IF(ISERROR(VLOOKUP($T$250,'TAR FIN'!$A$1:$O$85,15,0)),0,VLOOKUP($T$250,'TAR FIN'!$A$1:$O$85,15,0))</f>
        <v>326.19</v>
      </c>
      <c r="X250" s="4">
        <f>IF(ISERROR(VLOOKUP($U$250,'TAR FIN'!$A$1:$O$85,15,0)),0,VLOOKUP($U$250,'TAR FIN'!$A$1:$O$85,15,0))</f>
        <v>256.83</v>
      </c>
      <c r="Y250" s="4"/>
      <c r="Z250" s="4">
        <f ca="1">('TUSD BE'!$AM$33+'TUSD BF'!$AM$33+'TUSD CVA'!$AM$33)*(1-CUSTOS!$M$38)</f>
        <v>403.45820595709068</v>
      </c>
      <c r="AA250" s="4">
        <f>('TE BE'!$AB$24+'TE BF'!$AB$24+'TE CVA'!$AB$24)*(1-CUSTOS!$M$38)</f>
        <v>200.94689439603792</v>
      </c>
      <c r="AB250" s="4">
        <f t="shared" si="16"/>
        <v>0</v>
      </c>
      <c r="AC250" s="4">
        <f>(L250-M250)*(W250+X250)+($W$128+$X$128-$W$250-$X$250)*(L250)</f>
        <v>6347.6739500000012</v>
      </c>
      <c r="AD250" s="4">
        <f t="shared" si="17"/>
        <v>0</v>
      </c>
      <c r="AE250" s="4">
        <f ca="1">(L250-M250)*(Z250+AA250)+($Z$128+$AA$128-$Z$250-$AA$250)*(L250)</f>
        <v>3080.7299545978112</v>
      </c>
      <c r="AF250" s="3" t="s">
        <v>597</v>
      </c>
    </row>
    <row r="251" spans="1:32" ht="11.25" customHeight="1" x14ac:dyDescent="0.3">
      <c r="A251" s="3" t="s">
        <v>27</v>
      </c>
      <c r="B251" s="3" t="s">
        <v>40</v>
      </c>
      <c r="C251" s="3" t="s">
        <v>23</v>
      </c>
      <c r="D251" s="3" t="s">
        <v>41</v>
      </c>
      <c r="E251" s="3" t="s">
        <v>25</v>
      </c>
      <c r="F251" s="3" t="s">
        <v>25</v>
      </c>
      <c r="G251" s="3" t="s">
        <v>25</v>
      </c>
      <c r="H251" s="3" t="s">
        <v>25</v>
      </c>
      <c r="I251" s="6">
        <v>44652</v>
      </c>
      <c r="J251" s="4">
        <v>0</v>
      </c>
      <c r="K251" s="4">
        <v>0</v>
      </c>
      <c r="L251" s="4">
        <v>-2.6030000000000002</v>
      </c>
      <c r="M251" s="4">
        <v>-2.6030000000000002</v>
      </c>
      <c r="N251" s="4">
        <v>-2.6030000000000002</v>
      </c>
      <c r="O251" s="4">
        <v>-2.6030000000000002</v>
      </c>
      <c r="P251" s="4">
        <v>2</v>
      </c>
      <c r="Q251" s="3" t="s">
        <v>26</v>
      </c>
      <c r="R251" s="3">
        <v>0</v>
      </c>
      <c r="S251" s="3">
        <v>0</v>
      </c>
      <c r="T251" s="3">
        <v>36</v>
      </c>
      <c r="U251" s="3">
        <v>80</v>
      </c>
      <c r="V251" s="4">
        <f>IF(ISERROR(VLOOKUP($S$251,'TAR FIN'!$A$1:$O$85,15,0)),0,VLOOKUP($S$251,'TAR FIN'!$A$1:$O$85,15,0))</f>
        <v>0</v>
      </c>
      <c r="W251" s="4">
        <f>IF(ISERROR(VLOOKUP($T$251,'TAR FIN'!$A$1:$O$85,15,0)),0,VLOOKUP($T$251,'TAR FIN'!$A$1:$O$85,15,0))</f>
        <v>326.19</v>
      </c>
      <c r="X251" s="4">
        <f>IF(ISERROR(VLOOKUP($U$251,'TAR FIN'!$A$1:$O$85,15,0)),0,VLOOKUP($U$251,'TAR FIN'!$A$1:$O$85,15,0))</f>
        <v>256.83</v>
      </c>
      <c r="Y251" s="4"/>
      <c r="Z251" s="4">
        <f ca="1">('TUSD BE'!$AM$33+'TUSD BF'!$AM$33+'TUSD CVA'!$AM$33)*(1-CUSTOS!$M$38)</f>
        <v>403.45820595709068</v>
      </c>
      <c r="AA251" s="4">
        <f>('TE BE'!$AB$24+'TE BF'!$AB$24+'TE CVA'!$AB$24)*(1-CUSTOS!$M$38)</f>
        <v>200.94689439603792</v>
      </c>
      <c r="AB251" s="4">
        <f t="shared" si="16"/>
        <v>0</v>
      </c>
      <c r="AC251" s="4">
        <f>(L251-M251)*(W251+X251)+($W$128+$X$128-$W$251-$X$251)*(L251)</f>
        <v>-206.91247000000004</v>
      </c>
      <c r="AD251" s="4">
        <f t="shared" si="17"/>
        <v>0</v>
      </c>
      <c r="AE251" s="4">
        <f ca="1">(L251-M251)*(Z251+AA251)+($Z$128+$AA$128-$Z$251-$AA$251)*(L251)</f>
        <v>-100.42126443952293</v>
      </c>
      <c r="AF251" s="3" t="s">
        <v>597</v>
      </c>
    </row>
    <row r="252" spans="1:32" ht="11.25" customHeight="1" x14ac:dyDescent="0.3">
      <c r="A252" s="3" t="s">
        <v>21</v>
      </c>
      <c r="B252" s="3" t="s">
        <v>40</v>
      </c>
      <c r="C252" s="3" t="s">
        <v>23</v>
      </c>
      <c r="D252" s="3" t="s">
        <v>41</v>
      </c>
      <c r="E252" s="3" t="s">
        <v>25</v>
      </c>
      <c r="F252" s="3" t="s">
        <v>25</v>
      </c>
      <c r="G252" s="3" t="s">
        <v>25</v>
      </c>
      <c r="H252" s="3" t="s">
        <v>25</v>
      </c>
      <c r="I252" s="6">
        <v>44682</v>
      </c>
      <c r="J252" s="4">
        <v>0</v>
      </c>
      <c r="K252" s="4">
        <v>0</v>
      </c>
      <c r="L252" s="4">
        <v>781.57899999999995</v>
      </c>
      <c r="M252" s="4">
        <v>781.57899999999995</v>
      </c>
      <c r="N252" s="4">
        <v>781.57899999999995</v>
      </c>
      <c r="O252" s="4">
        <v>781.57899999999995</v>
      </c>
      <c r="P252" s="4">
        <v>2400</v>
      </c>
      <c r="Q252" s="3" t="s">
        <v>26</v>
      </c>
      <c r="R252" s="3">
        <v>0</v>
      </c>
      <c r="S252" s="3">
        <v>0</v>
      </c>
      <c r="T252" s="3">
        <v>36</v>
      </c>
      <c r="U252" s="3">
        <v>80</v>
      </c>
      <c r="V252" s="4">
        <f>IF(ISERROR(VLOOKUP($S$252,'TAR FIN'!$A$1:$O$85,15,0)),0,VLOOKUP($S$252,'TAR FIN'!$A$1:$O$85,15,0))</f>
        <v>0</v>
      </c>
      <c r="W252" s="4">
        <f>IF(ISERROR(VLOOKUP($T$252,'TAR FIN'!$A$1:$O$85,15,0)),0,VLOOKUP($T$252,'TAR FIN'!$A$1:$O$85,15,0))</f>
        <v>326.19</v>
      </c>
      <c r="X252" s="4">
        <f>IF(ISERROR(VLOOKUP($U$252,'TAR FIN'!$A$1:$O$85,15,0)),0,VLOOKUP($U$252,'TAR FIN'!$A$1:$O$85,15,0))</f>
        <v>256.83</v>
      </c>
      <c r="Y252" s="4"/>
      <c r="Z252" s="4">
        <f ca="1">('TUSD BE'!$AM$33+'TUSD BF'!$AM$33+'TUSD CVA'!$AM$33)*(1-CUSTOS!$M$38)</f>
        <v>403.45820595709068</v>
      </c>
      <c r="AA252" s="4">
        <f>('TE BE'!$AB$24+'TE BF'!$AB$24+'TE CVA'!$AB$24)*(1-CUSTOS!$M$38)</f>
        <v>200.94689439603792</v>
      </c>
      <c r="AB252" s="4">
        <f t="shared" si="16"/>
        <v>0</v>
      </c>
      <c r="AC252" s="4">
        <f>(L252-M252)*(W252+X252)+($W$128+$X$128-$W$252-$X$252)*(L252)</f>
        <v>62127.71471</v>
      </c>
      <c r="AD252" s="4">
        <f t="shared" si="17"/>
        <v>0</v>
      </c>
      <c r="AE252" s="4">
        <f ca="1">(L252-M252)*(Z252+AA252)+($Z$128+$AA$128-$Z$252-$AA$252)*(L252)</f>
        <v>30152.574506099838</v>
      </c>
      <c r="AF252" s="3" t="s">
        <v>597</v>
      </c>
    </row>
    <row r="253" spans="1:32" ht="11.25" customHeight="1" x14ac:dyDescent="0.3">
      <c r="A253" s="3" t="s">
        <v>27</v>
      </c>
      <c r="B253" s="3" t="s">
        <v>40</v>
      </c>
      <c r="C253" s="3" t="s">
        <v>23</v>
      </c>
      <c r="D253" s="3" t="s">
        <v>41</v>
      </c>
      <c r="E253" s="3" t="s">
        <v>25</v>
      </c>
      <c r="F253" s="3" t="s">
        <v>25</v>
      </c>
      <c r="G253" s="3" t="s">
        <v>25</v>
      </c>
      <c r="H253" s="3" t="s">
        <v>25</v>
      </c>
      <c r="I253" s="6">
        <v>44682</v>
      </c>
      <c r="J253" s="4">
        <v>0</v>
      </c>
      <c r="K253" s="4">
        <v>0</v>
      </c>
      <c r="L253" s="4">
        <v>80</v>
      </c>
      <c r="M253" s="4">
        <v>80</v>
      </c>
      <c r="N253" s="4">
        <v>80</v>
      </c>
      <c r="O253" s="4">
        <v>80</v>
      </c>
      <c r="P253" s="4">
        <v>151</v>
      </c>
      <c r="Q253" s="3" t="s">
        <v>26</v>
      </c>
      <c r="R253" s="3">
        <v>0</v>
      </c>
      <c r="S253" s="3">
        <v>0</v>
      </c>
      <c r="T253" s="3">
        <v>36</v>
      </c>
      <c r="U253" s="3">
        <v>80</v>
      </c>
      <c r="V253" s="4">
        <f>IF(ISERROR(VLOOKUP($S$253,'TAR FIN'!$A$1:$O$85,15,0)),0,VLOOKUP($S$253,'TAR FIN'!$A$1:$O$85,15,0))</f>
        <v>0</v>
      </c>
      <c r="W253" s="4">
        <f>IF(ISERROR(VLOOKUP($T$253,'TAR FIN'!$A$1:$O$85,15,0)),0,VLOOKUP($T$253,'TAR FIN'!$A$1:$O$85,15,0))</f>
        <v>326.19</v>
      </c>
      <c r="X253" s="4">
        <f>IF(ISERROR(VLOOKUP($U$253,'TAR FIN'!$A$1:$O$85,15,0)),0,VLOOKUP($U$253,'TAR FIN'!$A$1:$O$85,15,0))</f>
        <v>256.83</v>
      </c>
      <c r="Y253" s="4"/>
      <c r="Z253" s="4">
        <f ca="1">('TUSD BE'!$AM$33+'TUSD BF'!$AM$33+'TUSD CVA'!$AM$33)*(1-CUSTOS!$M$38)</f>
        <v>403.45820595709068</v>
      </c>
      <c r="AA253" s="4">
        <f>('TE BE'!$AB$24+'TE BF'!$AB$24+'TE CVA'!$AB$24)*(1-CUSTOS!$M$38)</f>
        <v>200.94689439603792</v>
      </c>
      <c r="AB253" s="4">
        <f t="shared" si="16"/>
        <v>0</v>
      </c>
      <c r="AC253" s="4">
        <f>(L253-M253)*(W253+X253)+($W$128+$X$128-$W$253-$X$253)*(L253)</f>
        <v>6359.2000000000007</v>
      </c>
      <c r="AD253" s="4">
        <f t="shared" si="17"/>
        <v>0</v>
      </c>
      <c r="AE253" s="4">
        <f ca="1">(L253-M253)*(Z253+AA253)+($Z$128+$AA$128-$Z$253-$AA$253)*(L253)</f>
        <v>3086.3239166968242</v>
      </c>
      <c r="AF253" s="3" t="s">
        <v>597</v>
      </c>
    </row>
    <row r="254" spans="1:32" ht="11.25" customHeight="1" x14ac:dyDescent="0.3">
      <c r="A254" s="3" t="s">
        <v>21</v>
      </c>
      <c r="B254" s="3" t="s">
        <v>40</v>
      </c>
      <c r="C254" s="3" t="s">
        <v>23</v>
      </c>
      <c r="D254" s="3" t="s">
        <v>41</v>
      </c>
      <c r="E254" s="3" t="s">
        <v>25</v>
      </c>
      <c r="F254" s="3" t="s">
        <v>25</v>
      </c>
      <c r="G254" s="3" t="s">
        <v>25</v>
      </c>
      <c r="H254" s="3" t="s">
        <v>25</v>
      </c>
      <c r="I254" s="6">
        <v>44713</v>
      </c>
      <c r="J254" s="4">
        <v>0</v>
      </c>
      <c r="K254" s="4">
        <v>0</v>
      </c>
      <c r="L254" s="4">
        <v>823.94200000000001</v>
      </c>
      <c r="M254" s="4">
        <v>823.94200000000001</v>
      </c>
      <c r="N254" s="4">
        <v>823.94200000000001</v>
      </c>
      <c r="O254" s="4">
        <v>823.94200000000001</v>
      </c>
      <c r="P254" s="4">
        <v>2394</v>
      </c>
      <c r="Q254" s="3" t="s">
        <v>26</v>
      </c>
      <c r="R254" s="3">
        <v>0</v>
      </c>
      <c r="S254" s="3">
        <v>0</v>
      </c>
      <c r="T254" s="3">
        <v>36</v>
      </c>
      <c r="U254" s="3">
        <v>80</v>
      </c>
      <c r="V254" s="4">
        <f>IF(ISERROR(VLOOKUP($S$254,'TAR FIN'!$A$1:$O$85,15,0)),0,VLOOKUP($S$254,'TAR FIN'!$A$1:$O$85,15,0))</f>
        <v>0</v>
      </c>
      <c r="W254" s="4">
        <f>IF(ISERROR(VLOOKUP($T$254,'TAR FIN'!$A$1:$O$85,15,0)),0,VLOOKUP($T$254,'TAR FIN'!$A$1:$O$85,15,0))</f>
        <v>326.19</v>
      </c>
      <c r="X254" s="4">
        <f>IF(ISERROR(VLOOKUP($U$254,'TAR FIN'!$A$1:$O$85,15,0)),0,VLOOKUP($U$254,'TAR FIN'!$A$1:$O$85,15,0))</f>
        <v>256.83</v>
      </c>
      <c r="Y254" s="4"/>
      <c r="Z254" s="4">
        <f ca="1">('TUSD BE'!$AM$33+'TUSD BF'!$AM$33+'TUSD CVA'!$AM$33)*(1-CUSTOS!$M$38)</f>
        <v>403.45820595709068</v>
      </c>
      <c r="AA254" s="4">
        <f>('TE BE'!$AB$24+'TE BF'!$AB$24+'TE CVA'!$AB$24)*(1-CUSTOS!$M$38)</f>
        <v>200.94689439603792</v>
      </c>
      <c r="AB254" s="4">
        <f t="shared" si="16"/>
        <v>0</v>
      </c>
      <c r="AC254" s="4">
        <f>(L254-M254)*(W254+X254)+($W$128+$X$128-$W$254-$X$254)*(L254)</f>
        <v>65495.149580000005</v>
      </c>
      <c r="AD254" s="4">
        <f t="shared" si="17"/>
        <v>0</v>
      </c>
      <c r="AE254" s="4">
        <f ca="1">(L254-M254)*(Z254+AA254)+($Z$128+$AA$128-$Z$254-$AA$254)*(L254)</f>
        <v>31786.898757137686</v>
      </c>
      <c r="AF254" s="3" t="s">
        <v>597</v>
      </c>
    </row>
    <row r="255" spans="1:32" ht="11.25" customHeight="1" x14ac:dyDescent="0.3">
      <c r="A255" s="3" t="s">
        <v>48</v>
      </c>
      <c r="B255" s="3" t="s">
        <v>40</v>
      </c>
      <c r="C255" s="3" t="s">
        <v>23</v>
      </c>
      <c r="D255" s="3" t="s">
        <v>41</v>
      </c>
      <c r="E255" s="3" t="s">
        <v>25</v>
      </c>
      <c r="F255" s="3" t="s">
        <v>25</v>
      </c>
      <c r="G255" s="3" t="s">
        <v>25</v>
      </c>
      <c r="H255" s="3" t="s">
        <v>25</v>
      </c>
      <c r="I255" s="6">
        <v>44713</v>
      </c>
      <c r="J255" s="4">
        <v>0</v>
      </c>
      <c r="K255" s="4">
        <v>0</v>
      </c>
      <c r="L255" s="4">
        <v>0.66</v>
      </c>
      <c r="M255" s="4">
        <v>0.66</v>
      </c>
      <c r="N255" s="4">
        <v>0.66</v>
      </c>
      <c r="O255" s="4">
        <v>0.66</v>
      </c>
      <c r="P255" s="4">
        <v>0</v>
      </c>
      <c r="Q255" s="3" t="s">
        <v>26</v>
      </c>
      <c r="R255" s="3">
        <v>0</v>
      </c>
      <c r="S255" s="3">
        <v>0</v>
      </c>
      <c r="T255" s="3">
        <v>36</v>
      </c>
      <c r="U255" s="3">
        <v>80</v>
      </c>
      <c r="V255" s="4">
        <f>IF(ISERROR(VLOOKUP($S$255,'TAR FIN'!$A$1:$O$85,15,0)),0,VLOOKUP($S$255,'TAR FIN'!$A$1:$O$85,15,0))</f>
        <v>0</v>
      </c>
      <c r="W255" s="4">
        <f>IF(ISERROR(VLOOKUP($T$255,'TAR FIN'!$A$1:$O$85,15,0)),0,VLOOKUP($T$255,'TAR FIN'!$A$1:$O$85,15,0))</f>
        <v>326.19</v>
      </c>
      <c r="X255" s="4">
        <f>IF(ISERROR(VLOOKUP($U$255,'TAR FIN'!$A$1:$O$85,15,0)),0,VLOOKUP($U$255,'TAR FIN'!$A$1:$O$85,15,0))</f>
        <v>256.83</v>
      </c>
      <c r="Y255" s="4"/>
      <c r="Z255" s="4">
        <f ca="1">('TUSD BE'!$AM$33+'TUSD BF'!$AM$33+'TUSD CVA'!$AM$33)*(1-CUSTOS!$M$38)</f>
        <v>403.45820595709068</v>
      </c>
      <c r="AA255" s="4">
        <f>('TE BE'!$AB$24+'TE BF'!$AB$24+'TE CVA'!$AB$24)*(1-CUSTOS!$M$38)</f>
        <v>200.94689439603792</v>
      </c>
      <c r="AB255" s="4">
        <f t="shared" si="16"/>
        <v>0</v>
      </c>
      <c r="AC255" s="4">
        <f>(L255-M255)*(W255+X255)+($W$128+$X$128-$W$255-$X$255)*(L255)</f>
        <v>52.463400000000007</v>
      </c>
      <c r="AD255" s="4">
        <f t="shared" si="17"/>
        <v>0</v>
      </c>
      <c r="AE255" s="4">
        <f ca="1">(L255-M255)*(Z255+AA255)+($Z$128+$AA$128-$Z$255-$AA$255)*(L255)</f>
        <v>25.462172312748802</v>
      </c>
      <c r="AF255" s="3" t="s">
        <v>597</v>
      </c>
    </row>
    <row r="256" spans="1:32" ht="11.25" customHeight="1" x14ac:dyDescent="0.3">
      <c r="A256" s="3" t="s">
        <v>27</v>
      </c>
      <c r="B256" s="3" t="s">
        <v>40</v>
      </c>
      <c r="C256" s="3" t="s">
        <v>23</v>
      </c>
      <c r="D256" s="3" t="s">
        <v>41</v>
      </c>
      <c r="E256" s="3" t="s">
        <v>25</v>
      </c>
      <c r="F256" s="3" t="s">
        <v>25</v>
      </c>
      <c r="G256" s="3" t="s">
        <v>25</v>
      </c>
      <c r="H256" s="3" t="s">
        <v>25</v>
      </c>
      <c r="I256" s="6">
        <v>44713</v>
      </c>
      <c r="J256" s="4">
        <v>0</v>
      </c>
      <c r="K256" s="4">
        <v>0</v>
      </c>
      <c r="L256" s="4">
        <v>105.79600000000001</v>
      </c>
      <c r="M256" s="4">
        <v>105.79600000000001</v>
      </c>
      <c r="N256" s="4">
        <v>105.79600000000001</v>
      </c>
      <c r="O256" s="4">
        <v>105.79600000000001</v>
      </c>
      <c r="P256" s="4">
        <v>153</v>
      </c>
      <c r="Q256" s="3" t="s">
        <v>26</v>
      </c>
      <c r="R256" s="3">
        <v>0</v>
      </c>
      <c r="S256" s="3">
        <v>0</v>
      </c>
      <c r="T256" s="3">
        <v>36</v>
      </c>
      <c r="U256" s="3">
        <v>80</v>
      </c>
      <c r="V256" s="4">
        <f>IF(ISERROR(VLOOKUP($S$256,'TAR FIN'!$A$1:$O$85,15,0)),0,VLOOKUP($S$256,'TAR FIN'!$A$1:$O$85,15,0))</f>
        <v>0</v>
      </c>
      <c r="W256" s="4">
        <f>IF(ISERROR(VLOOKUP($T$256,'TAR FIN'!$A$1:$O$85,15,0)),0,VLOOKUP($T$256,'TAR FIN'!$A$1:$O$85,15,0))</f>
        <v>326.19</v>
      </c>
      <c r="X256" s="4">
        <f>IF(ISERROR(VLOOKUP($U$256,'TAR FIN'!$A$1:$O$85,15,0)),0,VLOOKUP($U$256,'TAR FIN'!$A$1:$O$85,15,0))</f>
        <v>256.83</v>
      </c>
      <c r="Y256" s="4"/>
      <c r="Z256" s="4">
        <f ca="1">('TUSD BE'!$AM$33+'TUSD BF'!$AM$33+'TUSD CVA'!$AM$33)*(1-CUSTOS!$M$38)</f>
        <v>403.45820595709068</v>
      </c>
      <c r="AA256" s="4">
        <f>('TE BE'!$AB$24+'TE BF'!$AB$24+'TE CVA'!$AB$24)*(1-CUSTOS!$M$38)</f>
        <v>200.94689439603792</v>
      </c>
      <c r="AB256" s="4">
        <f t="shared" si="16"/>
        <v>0</v>
      </c>
      <c r="AC256" s="4">
        <f>(L256-M256)*(W256+X256)+($W$128+$X$128-$W$256-$X$256)*(L256)</f>
        <v>8409.724040000001</v>
      </c>
      <c r="AD256" s="4">
        <f t="shared" si="17"/>
        <v>0</v>
      </c>
      <c r="AE256" s="4">
        <f ca="1">(L256-M256)*(Z256+AA256)+($Z$128+$AA$128-$Z$256-$AA$256)*(L256)</f>
        <v>4081.5090636357154</v>
      </c>
      <c r="AF256" s="3" t="s">
        <v>597</v>
      </c>
    </row>
    <row r="257" spans="1:32" ht="11.25" customHeight="1" x14ac:dyDescent="0.3">
      <c r="A257" s="3" t="s">
        <v>21</v>
      </c>
      <c r="B257" s="3" t="s">
        <v>40</v>
      </c>
      <c r="C257" s="3" t="s">
        <v>23</v>
      </c>
      <c r="D257" s="3" t="s">
        <v>41</v>
      </c>
      <c r="E257" s="3" t="s">
        <v>25</v>
      </c>
      <c r="F257" s="3" t="s">
        <v>25</v>
      </c>
      <c r="G257" s="3" t="s">
        <v>25</v>
      </c>
      <c r="H257" s="3" t="s">
        <v>25</v>
      </c>
      <c r="I257" s="6">
        <v>44743</v>
      </c>
      <c r="J257" s="4">
        <v>0</v>
      </c>
      <c r="K257" s="4">
        <v>0</v>
      </c>
      <c r="L257" s="4">
        <v>803.98800000000006</v>
      </c>
      <c r="M257" s="4">
        <v>803.98800000000006</v>
      </c>
      <c r="N257" s="4">
        <v>803.98800000000006</v>
      </c>
      <c r="O257" s="4">
        <v>803.98800000000006</v>
      </c>
      <c r="P257" s="4">
        <v>2383</v>
      </c>
      <c r="Q257" s="3" t="s">
        <v>26</v>
      </c>
      <c r="R257" s="3">
        <v>0</v>
      </c>
      <c r="S257" s="3">
        <v>0</v>
      </c>
      <c r="T257" s="3">
        <v>36</v>
      </c>
      <c r="U257" s="3">
        <v>80</v>
      </c>
      <c r="V257" s="4">
        <f>IF(ISERROR(VLOOKUP($S$257,'TAR FIN'!$A$1:$O$85,15,0)),0,VLOOKUP($S$257,'TAR FIN'!$A$1:$O$85,15,0))</f>
        <v>0</v>
      </c>
      <c r="W257" s="4">
        <f>IF(ISERROR(VLOOKUP($T$257,'TAR FIN'!$A$1:$O$85,15,0)),0,VLOOKUP($T$257,'TAR FIN'!$A$1:$O$85,15,0))</f>
        <v>326.19</v>
      </c>
      <c r="X257" s="4">
        <f>IF(ISERROR(VLOOKUP($U$257,'TAR FIN'!$A$1:$O$85,15,0)),0,VLOOKUP($U$257,'TAR FIN'!$A$1:$O$85,15,0))</f>
        <v>256.83</v>
      </c>
      <c r="Y257" s="4"/>
      <c r="Z257" s="4">
        <f ca="1">('TUSD BE'!$AM$33+'TUSD BF'!$AM$33+'TUSD CVA'!$AM$33)*(1-CUSTOS!$M$38)</f>
        <v>403.45820595709068</v>
      </c>
      <c r="AA257" s="4">
        <f>('TE BE'!$AB$24+'TE BF'!$AB$24+'TE CVA'!$AB$24)*(1-CUSTOS!$M$38)</f>
        <v>200.94689439603792</v>
      </c>
      <c r="AB257" s="4">
        <f t="shared" si="16"/>
        <v>0</v>
      </c>
      <c r="AC257" s="4">
        <f>(L257-M257)*(W257+X257)+($W$128+$X$128-$W$257-$X$257)*(L257)</f>
        <v>63909.006120000013</v>
      </c>
      <c r="AD257" s="4">
        <f t="shared" si="17"/>
        <v>0</v>
      </c>
      <c r="AE257" s="4">
        <f ca="1">(L257-M257)*(Z257+AA257)+($Z$128+$AA$128-$Z$257-$AA$257)*(L257)</f>
        <v>31017.092414215582</v>
      </c>
      <c r="AF257" s="3" t="s">
        <v>597</v>
      </c>
    </row>
    <row r="258" spans="1:32" ht="11.25" customHeight="1" x14ac:dyDescent="0.3">
      <c r="A258" s="3" t="s">
        <v>27</v>
      </c>
      <c r="B258" s="3" t="s">
        <v>40</v>
      </c>
      <c r="C258" s="3" t="s">
        <v>23</v>
      </c>
      <c r="D258" s="3" t="s">
        <v>41</v>
      </c>
      <c r="E258" s="3" t="s">
        <v>25</v>
      </c>
      <c r="F258" s="3" t="s">
        <v>25</v>
      </c>
      <c r="G258" s="3" t="s">
        <v>25</v>
      </c>
      <c r="H258" s="3" t="s">
        <v>25</v>
      </c>
      <c r="I258" s="6">
        <v>44743</v>
      </c>
      <c r="J258" s="4">
        <v>0</v>
      </c>
      <c r="K258" s="4">
        <v>0</v>
      </c>
      <c r="L258" s="4">
        <v>122.72499999999999</v>
      </c>
      <c r="M258" s="4">
        <v>122.72499999999999</v>
      </c>
      <c r="N258" s="4">
        <v>122.72499999999999</v>
      </c>
      <c r="O258" s="4">
        <v>122.72499999999999</v>
      </c>
      <c r="P258" s="4">
        <v>162</v>
      </c>
      <c r="Q258" s="3" t="s">
        <v>26</v>
      </c>
      <c r="R258" s="3">
        <v>0</v>
      </c>
      <c r="S258" s="3">
        <v>0</v>
      </c>
      <c r="T258" s="3">
        <v>36</v>
      </c>
      <c r="U258" s="3">
        <v>80</v>
      </c>
      <c r="V258" s="4">
        <f>IF(ISERROR(VLOOKUP($S$258,'TAR FIN'!$A$1:$O$85,15,0)),0,VLOOKUP($S$258,'TAR FIN'!$A$1:$O$85,15,0))</f>
        <v>0</v>
      </c>
      <c r="W258" s="4">
        <f>IF(ISERROR(VLOOKUP($T$258,'TAR FIN'!$A$1:$O$85,15,0)),0,VLOOKUP($T$258,'TAR FIN'!$A$1:$O$85,15,0))</f>
        <v>326.19</v>
      </c>
      <c r="X258" s="4">
        <f>IF(ISERROR(VLOOKUP($U$258,'TAR FIN'!$A$1:$O$85,15,0)),0,VLOOKUP($U$258,'TAR FIN'!$A$1:$O$85,15,0))</f>
        <v>256.83</v>
      </c>
      <c r="Y258" s="4"/>
      <c r="Z258" s="4">
        <f ca="1">('TUSD BE'!$AM$33+'TUSD BF'!$AM$33+'TUSD CVA'!$AM$33)*(1-CUSTOS!$M$38)</f>
        <v>403.45820595709068</v>
      </c>
      <c r="AA258" s="4">
        <f>('TE BE'!$AB$24+'TE BF'!$AB$24+'TE CVA'!$AB$24)*(1-CUSTOS!$M$38)</f>
        <v>200.94689439603792</v>
      </c>
      <c r="AB258" s="4">
        <f t="shared" ref="AB258:AB262" si="18">(J258-K258)*V258</f>
        <v>0</v>
      </c>
      <c r="AC258" s="4">
        <f>(L258-M258)*(W258+X258)+($W$128+$X$128-$W$258-$X$258)*(L258)</f>
        <v>9755.4102500000008</v>
      </c>
      <c r="AD258" s="4">
        <f t="shared" ref="AD258:AD262" si="19">(J258-K258)*Y258</f>
        <v>0</v>
      </c>
      <c r="AE258" s="4">
        <f ca="1">(L258-M258)*(Z258+AA258)+($Z$128+$AA$128-$Z$258-$AA$258)*(L258)</f>
        <v>4734.6137834577221</v>
      </c>
      <c r="AF258" s="3" t="s">
        <v>597</v>
      </c>
    </row>
    <row r="259" spans="1:32" ht="11.25" customHeight="1" x14ac:dyDescent="0.3">
      <c r="A259" s="3" t="s">
        <v>27</v>
      </c>
      <c r="B259" s="3" t="s">
        <v>40</v>
      </c>
      <c r="C259" s="3" t="s">
        <v>23</v>
      </c>
      <c r="D259" s="3" t="s">
        <v>41</v>
      </c>
      <c r="E259" s="3" t="s">
        <v>25</v>
      </c>
      <c r="F259" s="3" t="s">
        <v>25</v>
      </c>
      <c r="G259" s="3" t="s">
        <v>25</v>
      </c>
      <c r="H259" s="3" t="s">
        <v>25</v>
      </c>
      <c r="I259" s="6">
        <v>44743</v>
      </c>
      <c r="J259" s="4">
        <v>0</v>
      </c>
      <c r="K259" s="4">
        <v>0</v>
      </c>
      <c r="L259" s="4">
        <v>-4.1040000000000001</v>
      </c>
      <c r="M259" s="4">
        <v>-4.1040000000000001</v>
      </c>
      <c r="N259" s="4">
        <v>-4.1040000000000001</v>
      </c>
      <c r="O259" s="4">
        <v>-4.1040000000000001</v>
      </c>
      <c r="P259" s="4">
        <v>0</v>
      </c>
      <c r="Q259" s="3" t="s">
        <v>26</v>
      </c>
      <c r="R259" s="3">
        <v>0</v>
      </c>
      <c r="S259" s="3">
        <v>0</v>
      </c>
      <c r="T259" s="3">
        <v>36</v>
      </c>
      <c r="U259" s="3">
        <v>80</v>
      </c>
      <c r="V259" s="4">
        <f>IF(ISERROR(VLOOKUP($S$259,'TAR FIN'!$A$1:$O$85,15,0)),0,VLOOKUP($S$259,'TAR FIN'!$A$1:$O$85,15,0))</f>
        <v>0</v>
      </c>
      <c r="W259" s="4">
        <f>IF(ISERROR(VLOOKUP($T$259,'TAR FIN'!$A$1:$O$85,15,0)),0,VLOOKUP($T$259,'TAR FIN'!$A$1:$O$85,15,0))</f>
        <v>326.19</v>
      </c>
      <c r="X259" s="4">
        <f>IF(ISERROR(VLOOKUP($U$259,'TAR FIN'!$A$1:$O$85,15,0)),0,VLOOKUP($U$259,'TAR FIN'!$A$1:$O$85,15,0))</f>
        <v>256.83</v>
      </c>
      <c r="Y259" s="4"/>
      <c r="Z259" s="4">
        <f ca="1">('TUSD BE'!$AM$33+'TUSD BF'!$AM$33+'TUSD CVA'!$AM$33)*(1-CUSTOS!$M$38)</f>
        <v>403.45820595709068</v>
      </c>
      <c r="AA259" s="4">
        <f>('TE BE'!$AB$24+'TE BF'!$AB$24+'TE CVA'!$AB$24)*(1-CUSTOS!$M$38)</f>
        <v>200.94689439603792</v>
      </c>
      <c r="AB259" s="4">
        <f t="shared" si="18"/>
        <v>0</v>
      </c>
      <c r="AC259" s="4">
        <f>(L259-M259)*(W259+X259)+($W$128+$X$128-$W$259-$X$259)*(L259)</f>
        <v>-326.22696000000002</v>
      </c>
      <c r="AD259" s="4">
        <f t="shared" si="19"/>
        <v>0</v>
      </c>
      <c r="AE259" s="4">
        <f ca="1">(L259-M259)*(Z259+AA259)+($Z$128+$AA$128-$Z$259-$AA$259)*(L259)</f>
        <v>-158.32841692654708</v>
      </c>
      <c r="AF259" s="3" t="s">
        <v>597</v>
      </c>
    </row>
    <row r="260" spans="1:32" ht="11.25" customHeight="1" x14ac:dyDescent="0.3">
      <c r="A260" s="3" t="s">
        <v>53</v>
      </c>
      <c r="B260" s="3" t="s">
        <v>40</v>
      </c>
      <c r="C260" s="3" t="s">
        <v>23</v>
      </c>
      <c r="D260" s="3" t="s">
        <v>41</v>
      </c>
      <c r="E260" s="3" t="s">
        <v>25</v>
      </c>
      <c r="F260" s="3" t="s">
        <v>25</v>
      </c>
      <c r="G260" s="3" t="s">
        <v>25</v>
      </c>
      <c r="H260" s="3" t="s">
        <v>25</v>
      </c>
      <c r="I260" s="6">
        <v>44774</v>
      </c>
      <c r="J260" s="4">
        <v>0</v>
      </c>
      <c r="K260" s="4">
        <v>0</v>
      </c>
      <c r="L260" s="4">
        <v>803.98800000000006</v>
      </c>
      <c r="M260" s="4">
        <v>803.98800000000006</v>
      </c>
      <c r="N260" s="4">
        <v>803.98800000000006</v>
      </c>
      <c r="O260" s="4">
        <v>803.98800000000006</v>
      </c>
      <c r="P260" s="4">
        <v>2383</v>
      </c>
      <c r="Q260" s="3" t="s">
        <v>26</v>
      </c>
      <c r="R260" s="3">
        <v>0</v>
      </c>
      <c r="S260" s="3">
        <v>0</v>
      </c>
      <c r="T260" s="3">
        <v>36</v>
      </c>
      <c r="U260" s="3">
        <v>80</v>
      </c>
      <c r="V260" s="4">
        <f>IF(ISERROR(VLOOKUP($S$260,'TAR FIN'!$A$1:$O$85,15,0)),0,VLOOKUP($S$260,'TAR FIN'!$A$1:$O$85,15,0))</f>
        <v>0</v>
      </c>
      <c r="W260" s="4">
        <f>IF(ISERROR(VLOOKUP($T$260,'TAR FIN'!$A$1:$O$85,15,0)),0,VLOOKUP($T$260,'TAR FIN'!$A$1:$O$85,15,0))</f>
        <v>326.19</v>
      </c>
      <c r="X260" s="4">
        <f>IF(ISERROR(VLOOKUP($U$260,'TAR FIN'!$A$1:$O$85,15,0)),0,VLOOKUP($U$260,'TAR FIN'!$A$1:$O$85,15,0))</f>
        <v>256.83</v>
      </c>
      <c r="Y260" s="4"/>
      <c r="Z260" s="4">
        <f ca="1">('TUSD BE'!$AM$33+'TUSD BF'!$AM$33+'TUSD CVA'!$AM$33)*(1-CUSTOS!$M$38)</f>
        <v>403.45820595709068</v>
      </c>
      <c r="AA260" s="4">
        <f>('TE BE'!$AB$24+'TE BF'!$AB$24+'TE CVA'!$AB$24)*(1-CUSTOS!$M$38)</f>
        <v>200.94689439603792</v>
      </c>
      <c r="AB260" s="4">
        <f t="shared" si="18"/>
        <v>0</v>
      </c>
      <c r="AC260" s="4">
        <f>(L260-M260)*(W260+X260)+($W$128+$X$128-$W$260-$X$260)*(L260)</f>
        <v>63909.006120000013</v>
      </c>
      <c r="AD260" s="4">
        <f t="shared" si="19"/>
        <v>0</v>
      </c>
      <c r="AE260" s="4">
        <f ca="1">(L260-M260)*(Z260+AA260)+($Z$128+$AA$128-$Z$260-$AA$260)*(L260)</f>
        <v>31017.092414215582</v>
      </c>
      <c r="AF260" s="3" t="s">
        <v>597</v>
      </c>
    </row>
    <row r="261" spans="1:32" ht="11.25" customHeight="1" x14ac:dyDescent="0.3">
      <c r="A261" s="3" t="s">
        <v>53</v>
      </c>
      <c r="B261" s="3" t="s">
        <v>40</v>
      </c>
      <c r="C261" s="3" t="s">
        <v>23</v>
      </c>
      <c r="D261" s="3" t="s">
        <v>41</v>
      </c>
      <c r="E261" s="3" t="s">
        <v>25</v>
      </c>
      <c r="F261" s="3" t="s">
        <v>25</v>
      </c>
      <c r="G261" s="3" t="s">
        <v>25</v>
      </c>
      <c r="H261" s="3" t="s">
        <v>25</v>
      </c>
      <c r="I261" s="6">
        <v>44774</v>
      </c>
      <c r="J261" s="4">
        <v>0</v>
      </c>
      <c r="K261" s="4">
        <v>0</v>
      </c>
      <c r="L261" s="4">
        <v>122.72499999999999</v>
      </c>
      <c r="M261" s="4">
        <v>122.72499999999999</v>
      </c>
      <c r="N261" s="4">
        <v>122.72499999999999</v>
      </c>
      <c r="O261" s="4">
        <v>122.72499999999999</v>
      </c>
      <c r="P261" s="4">
        <v>162</v>
      </c>
      <c r="Q261" s="3" t="s">
        <v>26</v>
      </c>
      <c r="R261" s="3">
        <v>0</v>
      </c>
      <c r="S261" s="3">
        <v>0</v>
      </c>
      <c r="T261" s="3">
        <v>36</v>
      </c>
      <c r="U261" s="3">
        <v>80</v>
      </c>
      <c r="V261" s="4">
        <f>IF(ISERROR(VLOOKUP($S$261,'TAR FIN'!$A$1:$O$85,15,0)),0,VLOOKUP($S$261,'TAR FIN'!$A$1:$O$85,15,0))</f>
        <v>0</v>
      </c>
      <c r="W261" s="4">
        <f>IF(ISERROR(VLOOKUP($T$261,'TAR FIN'!$A$1:$O$85,15,0)),0,VLOOKUP($T$261,'TAR FIN'!$A$1:$O$85,15,0))</f>
        <v>326.19</v>
      </c>
      <c r="X261" s="4">
        <f>IF(ISERROR(VLOOKUP($U$261,'TAR FIN'!$A$1:$O$85,15,0)),0,VLOOKUP($U$261,'TAR FIN'!$A$1:$O$85,15,0))</f>
        <v>256.83</v>
      </c>
      <c r="Y261" s="4"/>
      <c r="Z261" s="4">
        <f ca="1">('TUSD BE'!$AM$33+'TUSD BF'!$AM$33+'TUSD CVA'!$AM$33)*(1-CUSTOS!$M$38)</f>
        <v>403.45820595709068</v>
      </c>
      <c r="AA261" s="4">
        <f>('TE BE'!$AB$24+'TE BF'!$AB$24+'TE CVA'!$AB$24)*(1-CUSTOS!$M$38)</f>
        <v>200.94689439603792</v>
      </c>
      <c r="AB261" s="4">
        <f t="shared" si="18"/>
        <v>0</v>
      </c>
      <c r="AC261" s="4">
        <f>(L261-M261)*(W261+X261)+($W$128+$X$128-$W$261-$X$261)*(L261)</f>
        <v>9755.4102500000008</v>
      </c>
      <c r="AD261" s="4">
        <f t="shared" si="19"/>
        <v>0</v>
      </c>
      <c r="AE261" s="4">
        <f ca="1">(L261-M261)*(Z261+AA261)+($Z$128+$AA$128-$Z$261-$AA$261)*(L261)</f>
        <v>4734.6137834577221</v>
      </c>
      <c r="AF261" s="3" t="s">
        <v>597</v>
      </c>
    </row>
    <row r="262" spans="1:32" ht="11.25" customHeight="1" x14ac:dyDescent="0.3">
      <c r="A262" s="3" t="s">
        <v>53</v>
      </c>
      <c r="B262" s="3" t="s">
        <v>40</v>
      </c>
      <c r="C262" s="3" t="s">
        <v>23</v>
      </c>
      <c r="D262" s="3" t="s">
        <v>41</v>
      </c>
      <c r="E262" s="3" t="s">
        <v>25</v>
      </c>
      <c r="F262" s="3" t="s">
        <v>25</v>
      </c>
      <c r="G262" s="3" t="s">
        <v>25</v>
      </c>
      <c r="H262" s="3" t="s">
        <v>25</v>
      </c>
      <c r="I262" s="6">
        <v>44774</v>
      </c>
      <c r="J262" s="4">
        <v>0</v>
      </c>
      <c r="K262" s="4">
        <v>0</v>
      </c>
      <c r="L262" s="4">
        <v>-4.1040000000000001</v>
      </c>
      <c r="M262" s="4">
        <v>-4.1040000000000001</v>
      </c>
      <c r="N262" s="4">
        <v>-4.1040000000000001</v>
      </c>
      <c r="O262" s="4">
        <v>-4.1040000000000001</v>
      </c>
      <c r="P262" s="4">
        <v>0</v>
      </c>
      <c r="Q262" s="3" t="s">
        <v>26</v>
      </c>
      <c r="R262" s="3">
        <v>0</v>
      </c>
      <c r="S262" s="3">
        <v>0</v>
      </c>
      <c r="T262" s="3">
        <v>36</v>
      </c>
      <c r="U262" s="3">
        <v>80</v>
      </c>
      <c r="V262" s="4">
        <f>IF(ISERROR(VLOOKUP($S$262,'TAR FIN'!$A$1:$O$85,15,0)),0,VLOOKUP($S$262,'TAR FIN'!$A$1:$O$85,15,0))</f>
        <v>0</v>
      </c>
      <c r="W262" s="4">
        <f>IF(ISERROR(VLOOKUP($T$262,'TAR FIN'!$A$1:$O$85,15,0)),0,VLOOKUP($T$262,'TAR FIN'!$A$1:$O$85,15,0))</f>
        <v>326.19</v>
      </c>
      <c r="X262" s="4">
        <f>IF(ISERROR(VLOOKUP($U$262,'TAR FIN'!$A$1:$O$85,15,0)),0,VLOOKUP($U$262,'TAR FIN'!$A$1:$O$85,15,0))</f>
        <v>256.83</v>
      </c>
      <c r="Y262" s="4"/>
      <c r="Z262" s="4">
        <f ca="1">('TUSD BE'!$AM$33+'TUSD BF'!$AM$33+'TUSD CVA'!$AM$33)*(1-CUSTOS!$M$38)</f>
        <v>403.45820595709068</v>
      </c>
      <c r="AA262" s="4">
        <f>('TE BE'!$AB$24+'TE BF'!$AB$24+'TE CVA'!$AB$24)*(1-CUSTOS!$M$38)</f>
        <v>200.94689439603792</v>
      </c>
      <c r="AB262" s="4">
        <f t="shared" si="18"/>
        <v>0</v>
      </c>
      <c r="AC262" s="4">
        <f>(L262-M262)*(W262+X262)+($W$128+$X$128-$W$262-$X$262)*(L262)</f>
        <v>-326.22696000000002</v>
      </c>
      <c r="AD262" s="4">
        <f t="shared" si="19"/>
        <v>0</v>
      </c>
      <c r="AE262" s="4">
        <f ca="1">(L262-M262)*(Z262+AA262)+($Z$128+$AA$128-$Z$262-$AA$262)*(L262)</f>
        <v>-158.32841692654708</v>
      </c>
      <c r="AF262" s="3" t="s">
        <v>597</v>
      </c>
    </row>
    <row r="263" spans="1:32" ht="11.25" customHeight="1" x14ac:dyDescent="0.3">
      <c r="A263" s="3" t="s">
        <v>21</v>
      </c>
      <c r="B263" s="3" t="s">
        <v>32</v>
      </c>
      <c r="C263" s="3" t="s">
        <v>23</v>
      </c>
      <c r="D263" s="3" t="s">
        <v>46</v>
      </c>
      <c r="E263" s="3" t="s">
        <v>47</v>
      </c>
      <c r="F263" s="3" t="s">
        <v>25</v>
      </c>
      <c r="G263" s="3" t="s">
        <v>25</v>
      </c>
      <c r="H263" s="3" t="s">
        <v>25</v>
      </c>
      <c r="I263" s="6">
        <v>44440</v>
      </c>
      <c r="J263" s="4">
        <v>0</v>
      </c>
      <c r="K263" s="52">
        <v>0</v>
      </c>
      <c r="L263" s="4">
        <v>14.595000000000001</v>
      </c>
      <c r="M263" s="52">
        <v>14.595000000000001</v>
      </c>
      <c r="N263" s="4">
        <v>14.595000000000001</v>
      </c>
      <c r="O263" s="52">
        <v>14.595000000000001</v>
      </c>
      <c r="P263" s="4">
        <v>16</v>
      </c>
      <c r="Q263" s="3" t="s">
        <v>26</v>
      </c>
      <c r="R263" s="3">
        <v>0</v>
      </c>
      <c r="S263" s="3">
        <v>0</v>
      </c>
      <c r="T263" s="3">
        <v>27</v>
      </c>
      <c r="U263" s="3">
        <v>76</v>
      </c>
      <c r="V263" s="52">
        <f>IF(ISERROR(VLOOKUP($S$263,'TAR FIN'!$A$1:$O$85,15,0)),0,VLOOKUP($S$263,'TAR FIN'!$A$1:$O$85,15,0))</f>
        <v>0</v>
      </c>
      <c r="W263" s="52">
        <f>IF(ISERROR(VLOOKUP($T$263,'TAR FIN'!$A$1:$O$85,15,0)),0,VLOOKUP($T$263,'TAR FIN'!$A$1:$O$85,15,0))*(1-0.06)</f>
        <v>348.42040000000003</v>
      </c>
      <c r="X263" s="52">
        <f>IF(ISERROR(VLOOKUP($U$263,'TAR FIN'!$A$1:$O$85,15,0)),0,VLOOKUP($U$263,'TAR FIN'!$A$1:$O$85,15,0))*(1-0.06)</f>
        <v>274.339</v>
      </c>
      <c r="Y263" s="52"/>
      <c r="Z263" s="52">
        <f ca="1">('TUSD BE'!$AM$48+'TUSD BF'!$AM$48+'TUSD CVA'!$AM$48)*1*(1-0.03)</f>
        <v>416.33453167912546</v>
      </c>
      <c r="AA263" s="52">
        <f>('TE BE'!$AB$39+'TE BF'!$AB$39+'TE CVA'!$AB$39)*1*(1-0.03)</f>
        <v>207.36009315335826</v>
      </c>
      <c r="AB263" s="52">
        <f>(SUBSIDIO!$J$263*SUBSIDIO!$V$263)*(0.06)/(1-0.06)</f>
        <v>0</v>
      </c>
      <c r="AC263" s="52">
        <f>((SUBSIDIO!$L$263*SUBSIDIO!$W$263)+(SUBSIDIO!$N$263*SUBSIDIO!$X$263))*(0.06)/(1-0.06)</f>
        <v>580.16000699999995</v>
      </c>
      <c r="AD263" s="52">
        <f>(SUBSIDIO!$J$263*SUBSIDIO!$Y$263)*(0.03)/(1-0.03)</f>
        <v>0</v>
      </c>
      <c r="AE263" s="52">
        <f ca="1">((SUBSIDIO!$L$263*SUBSIDIO!$Z$263)+(SUBSIDIO!$N$263*SUBSIDIO!$AA$263))*(0.03)/(1-0.03)</f>
        <v>281.53060977618867</v>
      </c>
      <c r="AF263" s="3" t="s">
        <v>600</v>
      </c>
    </row>
    <row r="264" spans="1:32" ht="11.25" customHeight="1" x14ac:dyDescent="0.3">
      <c r="A264" s="3" t="s">
        <v>48</v>
      </c>
      <c r="B264" s="3" t="s">
        <v>32</v>
      </c>
      <c r="C264" s="3" t="s">
        <v>23</v>
      </c>
      <c r="D264" s="3" t="s">
        <v>46</v>
      </c>
      <c r="E264" s="3" t="s">
        <v>47</v>
      </c>
      <c r="F264" s="3" t="s">
        <v>25</v>
      </c>
      <c r="G264" s="3" t="s">
        <v>25</v>
      </c>
      <c r="H264" s="3" t="s">
        <v>25</v>
      </c>
      <c r="I264" s="6">
        <v>44440</v>
      </c>
      <c r="J264" s="4">
        <v>0</v>
      </c>
      <c r="K264" s="52">
        <v>0</v>
      </c>
      <c r="L264" s="4">
        <v>-0.498</v>
      </c>
      <c r="M264" s="52">
        <v>-0.498</v>
      </c>
      <c r="N264" s="4">
        <v>-0.498</v>
      </c>
      <c r="O264" s="52">
        <v>-0.498</v>
      </c>
      <c r="P264" s="4">
        <v>0</v>
      </c>
      <c r="Q264" s="3" t="s">
        <v>26</v>
      </c>
      <c r="R264" s="3">
        <v>0</v>
      </c>
      <c r="S264" s="3">
        <v>0</v>
      </c>
      <c r="T264" s="3">
        <v>27</v>
      </c>
      <c r="U264" s="3">
        <v>76</v>
      </c>
      <c r="V264" s="52">
        <f>IF(ISERROR(VLOOKUP($S$264,'TAR FIN'!$A$1:$O$85,15,0)),0,VLOOKUP($S$264,'TAR FIN'!$A$1:$O$85,15,0))</f>
        <v>0</v>
      </c>
      <c r="W264" s="52">
        <f>IF(ISERROR(VLOOKUP($T$264,'TAR FIN'!$A$1:$O$85,15,0)),0,VLOOKUP($T$264,'TAR FIN'!$A$1:$O$85,15,0))*(1-0.06)</f>
        <v>348.42040000000003</v>
      </c>
      <c r="X264" s="52">
        <f>IF(ISERROR(VLOOKUP($U$264,'TAR FIN'!$A$1:$O$85,15,0)),0,VLOOKUP($U$264,'TAR FIN'!$A$1:$O$85,15,0))*(1-0.06)</f>
        <v>274.339</v>
      </c>
      <c r="Y264" s="52"/>
      <c r="Z264" s="52">
        <f ca="1">('TUSD BE'!$AM$48+'TUSD BF'!$AM$48+'TUSD CVA'!$AM$48)*1*(1-0.03)</f>
        <v>416.33453167912546</v>
      </c>
      <c r="AA264" s="52">
        <f>('TE BE'!$AB$39+'TE BF'!$AB$39+'TE CVA'!$AB$39)*1*(1-0.03)</f>
        <v>207.36009315335826</v>
      </c>
      <c r="AB264" s="52">
        <f>(SUBSIDIO!$J$264*SUBSIDIO!$V$264)*(0.06)/(1-0.06)</f>
        <v>0</v>
      </c>
      <c r="AC264" s="52">
        <f>((SUBSIDIO!$L$264*SUBSIDIO!$W$264)+(SUBSIDIO!$N$264*SUBSIDIO!$X$264))*(0.06)/(1-0.06)</f>
        <v>-19.795798800000004</v>
      </c>
      <c r="AD264" s="52">
        <f>(SUBSIDIO!$J$264*SUBSIDIO!$Y$264)*(0.03)/(1-0.03)</f>
        <v>0</v>
      </c>
      <c r="AE264" s="52">
        <f ca="1">((SUBSIDIO!$L$264*SUBSIDIO!$Z$264)+(SUBSIDIO!$N$264*SUBSIDIO!$AA$264))*(0.03)/(1-0.03)</f>
        <v>-9.6061831907188733</v>
      </c>
      <c r="AF264" s="3" t="s">
        <v>600</v>
      </c>
    </row>
    <row r="265" spans="1:32" ht="11.25" customHeight="1" x14ac:dyDescent="0.3">
      <c r="A265" s="3" t="s">
        <v>21</v>
      </c>
      <c r="B265" s="3" t="s">
        <v>32</v>
      </c>
      <c r="C265" s="3" t="s">
        <v>23</v>
      </c>
      <c r="D265" s="3" t="s">
        <v>46</v>
      </c>
      <c r="E265" s="3" t="s">
        <v>47</v>
      </c>
      <c r="F265" s="3" t="s">
        <v>25</v>
      </c>
      <c r="G265" s="3" t="s">
        <v>25</v>
      </c>
      <c r="H265" s="3" t="s">
        <v>25</v>
      </c>
      <c r="I265" s="6">
        <v>44470</v>
      </c>
      <c r="J265" s="4">
        <v>0</v>
      </c>
      <c r="K265" s="52">
        <v>0</v>
      </c>
      <c r="L265" s="4">
        <v>14.583</v>
      </c>
      <c r="M265" s="52">
        <v>14.583</v>
      </c>
      <c r="N265" s="4">
        <v>14.583</v>
      </c>
      <c r="O265" s="52">
        <v>14.583</v>
      </c>
      <c r="P265" s="4">
        <v>16</v>
      </c>
      <c r="Q265" s="3" t="s">
        <v>26</v>
      </c>
      <c r="R265" s="3">
        <v>0</v>
      </c>
      <c r="S265" s="3">
        <v>0</v>
      </c>
      <c r="T265" s="3">
        <v>27</v>
      </c>
      <c r="U265" s="3">
        <v>76</v>
      </c>
      <c r="V265" s="52">
        <f>IF(ISERROR(VLOOKUP($S$265,'TAR FIN'!$A$1:$O$85,15,0)),0,VLOOKUP($S$265,'TAR FIN'!$A$1:$O$85,15,0))</f>
        <v>0</v>
      </c>
      <c r="W265" s="52">
        <f>IF(ISERROR(VLOOKUP($T$265,'TAR FIN'!$A$1:$O$85,15,0)),0,VLOOKUP($T$265,'TAR FIN'!$A$1:$O$85,15,0))*(1-0.06)</f>
        <v>348.42040000000003</v>
      </c>
      <c r="X265" s="52">
        <f>IF(ISERROR(VLOOKUP($U$265,'TAR FIN'!$A$1:$O$85,15,0)),0,VLOOKUP($U$265,'TAR FIN'!$A$1:$O$85,15,0))*(1-0.06)</f>
        <v>274.339</v>
      </c>
      <c r="Y265" s="52"/>
      <c r="Z265" s="52">
        <f ca="1">('TUSD BE'!$AM$48+'TUSD BF'!$AM$48+'TUSD CVA'!$AM$48)*1*(1-0.03)</f>
        <v>416.33453167912546</v>
      </c>
      <c r="AA265" s="52">
        <f>('TE BE'!$AB$39+'TE BF'!$AB$39+'TE CVA'!$AB$39)*1*(1-0.03)</f>
        <v>207.36009315335826</v>
      </c>
      <c r="AB265" s="52">
        <f>(SUBSIDIO!$J$265*SUBSIDIO!$V$265)*(0.06)/(1-0.06)</f>
        <v>0</v>
      </c>
      <c r="AC265" s="52">
        <f>((SUBSIDIO!$L$265*SUBSIDIO!$W$265)+(SUBSIDIO!$N$265*SUBSIDIO!$X$265))*(0.06)/(1-0.06)</f>
        <v>579.68299980000006</v>
      </c>
      <c r="AD265" s="52">
        <f>(SUBSIDIO!$J$265*SUBSIDIO!$Y$265)*(0.03)/(1-0.03)</f>
        <v>0</v>
      </c>
      <c r="AE265" s="52">
        <f ca="1">((SUBSIDIO!$L$265*SUBSIDIO!$Z$265)+(SUBSIDIO!$N$265*SUBSIDIO!$AA$265))*(0.03)/(1-0.03)</f>
        <v>281.29913548243638</v>
      </c>
      <c r="AF265" s="3" t="s">
        <v>600</v>
      </c>
    </row>
    <row r="266" spans="1:32" ht="11.25" customHeight="1" x14ac:dyDescent="0.3">
      <c r="A266" s="3" t="s">
        <v>21</v>
      </c>
      <c r="B266" s="3" t="s">
        <v>32</v>
      </c>
      <c r="C266" s="3" t="s">
        <v>23</v>
      </c>
      <c r="D266" s="3" t="s">
        <v>46</v>
      </c>
      <c r="E266" s="3" t="s">
        <v>47</v>
      </c>
      <c r="F266" s="3" t="s">
        <v>25</v>
      </c>
      <c r="G266" s="3" t="s">
        <v>25</v>
      </c>
      <c r="H266" s="3" t="s">
        <v>25</v>
      </c>
      <c r="I266" s="6">
        <v>44501</v>
      </c>
      <c r="J266" s="4">
        <v>0</v>
      </c>
      <c r="K266" s="52">
        <v>0</v>
      </c>
      <c r="L266" s="4">
        <v>15.177</v>
      </c>
      <c r="M266" s="52">
        <v>15.177</v>
      </c>
      <c r="N266" s="4">
        <v>15.177</v>
      </c>
      <c r="O266" s="52">
        <v>15.177</v>
      </c>
      <c r="P266" s="4">
        <v>16</v>
      </c>
      <c r="Q266" s="3" t="s">
        <v>26</v>
      </c>
      <c r="R266" s="3">
        <v>0</v>
      </c>
      <c r="S266" s="3">
        <v>0</v>
      </c>
      <c r="T266" s="3">
        <v>27</v>
      </c>
      <c r="U266" s="3">
        <v>76</v>
      </c>
      <c r="V266" s="52">
        <f>IF(ISERROR(VLOOKUP($S$266,'TAR FIN'!$A$1:$O$85,15,0)),0,VLOOKUP($S$266,'TAR FIN'!$A$1:$O$85,15,0))</f>
        <v>0</v>
      </c>
      <c r="W266" s="52">
        <f>IF(ISERROR(VLOOKUP($T$266,'TAR FIN'!$A$1:$O$85,15,0)),0,VLOOKUP($T$266,'TAR FIN'!$A$1:$O$85,15,0))*(1-0.06)</f>
        <v>348.42040000000003</v>
      </c>
      <c r="X266" s="52">
        <f>IF(ISERROR(VLOOKUP($U$266,'TAR FIN'!$A$1:$O$85,15,0)),0,VLOOKUP($U$266,'TAR FIN'!$A$1:$O$85,15,0))*(1-0.06)</f>
        <v>274.339</v>
      </c>
      <c r="Y266" s="52"/>
      <c r="Z266" s="52">
        <f ca="1">('TUSD BE'!$AM$48+'TUSD BF'!$AM$48+'TUSD CVA'!$AM$48)*1*(1-0.03)</f>
        <v>416.33453167912546</v>
      </c>
      <c r="AA266" s="52">
        <f>('TE BE'!$AB$39+'TE BF'!$AB$39+'TE CVA'!$AB$39)*1*(1-0.03)</f>
        <v>207.36009315335826</v>
      </c>
      <c r="AB266" s="52">
        <f>(SUBSIDIO!$J$266*SUBSIDIO!$V$266)*(0.06)/(1-0.06)</f>
        <v>0</v>
      </c>
      <c r="AC266" s="52">
        <f>((SUBSIDIO!$L$266*SUBSIDIO!$W$266)+(SUBSIDIO!$N$266*SUBSIDIO!$X$266))*(0.06)/(1-0.06)</f>
        <v>603.29485619999991</v>
      </c>
      <c r="AD266" s="52">
        <f>(SUBSIDIO!$J$266*SUBSIDIO!$Y$266)*(0.03)/(1-0.03)</f>
        <v>0</v>
      </c>
      <c r="AE266" s="52">
        <f ca="1">((SUBSIDIO!$L$266*SUBSIDIO!$Z$266)+(SUBSIDIO!$N$266*SUBSIDIO!$AA$266))*(0.03)/(1-0.03)</f>
        <v>292.75711302317336</v>
      </c>
      <c r="AF266" s="3" t="s">
        <v>600</v>
      </c>
    </row>
    <row r="267" spans="1:32" ht="11.25" customHeight="1" x14ac:dyDescent="0.3">
      <c r="A267" s="3" t="s">
        <v>21</v>
      </c>
      <c r="B267" s="3" t="s">
        <v>32</v>
      </c>
      <c r="C267" s="3" t="s">
        <v>23</v>
      </c>
      <c r="D267" s="3" t="s">
        <v>46</v>
      </c>
      <c r="E267" s="3" t="s">
        <v>47</v>
      </c>
      <c r="F267" s="3" t="s">
        <v>25</v>
      </c>
      <c r="G267" s="3" t="s">
        <v>25</v>
      </c>
      <c r="H267" s="3" t="s">
        <v>25</v>
      </c>
      <c r="I267" s="6">
        <v>44531</v>
      </c>
      <c r="J267" s="4">
        <v>0</v>
      </c>
      <c r="K267" s="52">
        <v>0</v>
      </c>
      <c r="L267" s="4">
        <v>13.978</v>
      </c>
      <c r="M267" s="52">
        <v>13.978</v>
      </c>
      <c r="N267" s="4">
        <v>13.978</v>
      </c>
      <c r="O267" s="52">
        <v>13.978</v>
      </c>
      <c r="P267" s="4">
        <v>16</v>
      </c>
      <c r="Q267" s="3" t="s">
        <v>26</v>
      </c>
      <c r="R267" s="3">
        <v>0</v>
      </c>
      <c r="S267" s="3">
        <v>0</v>
      </c>
      <c r="T267" s="3">
        <v>27</v>
      </c>
      <c r="U267" s="3">
        <v>76</v>
      </c>
      <c r="V267" s="52">
        <f>IF(ISERROR(VLOOKUP($S$267,'TAR FIN'!$A$1:$O$85,15,0)),0,VLOOKUP($S$267,'TAR FIN'!$A$1:$O$85,15,0))</f>
        <v>0</v>
      </c>
      <c r="W267" s="52">
        <f>IF(ISERROR(VLOOKUP($T$267,'TAR FIN'!$A$1:$O$85,15,0)),0,VLOOKUP($T$267,'TAR FIN'!$A$1:$O$85,15,0))*(1-0.06)</f>
        <v>348.42040000000003</v>
      </c>
      <c r="X267" s="52">
        <f>IF(ISERROR(VLOOKUP($U$267,'TAR FIN'!$A$1:$O$85,15,0)),0,VLOOKUP($U$267,'TAR FIN'!$A$1:$O$85,15,0))*(1-0.06)</f>
        <v>274.339</v>
      </c>
      <c r="Y267" s="52"/>
      <c r="Z267" s="52">
        <f ca="1">('TUSD BE'!$AM$48+'TUSD BF'!$AM$48+'TUSD CVA'!$AM$48)*1*(1-0.03)</f>
        <v>416.33453167912546</v>
      </c>
      <c r="AA267" s="52">
        <f>('TE BE'!$AB$39+'TE BF'!$AB$39+'TE CVA'!$AB$39)*1*(1-0.03)</f>
        <v>207.36009315335826</v>
      </c>
      <c r="AB267" s="52">
        <f>(SUBSIDIO!$J$267*SUBSIDIO!$V$267)*(0.06)/(1-0.06)</f>
        <v>0</v>
      </c>
      <c r="AC267" s="52">
        <f>((SUBSIDIO!$L$267*SUBSIDIO!$W$267)+(SUBSIDIO!$N$267*SUBSIDIO!$X$267))*(0.06)/(1-0.06)</f>
        <v>555.63388680000003</v>
      </c>
      <c r="AD267" s="52">
        <f>(SUBSIDIO!$J$267*SUBSIDIO!$Y$267)*(0.03)/(1-0.03)</f>
        <v>0</v>
      </c>
      <c r="AE267" s="52">
        <f ca="1">((SUBSIDIO!$L$267*SUBSIDIO!$Z$267)+(SUBSIDIO!$N$267*SUBSIDIO!$AA$267))*(0.03)/(1-0.03)</f>
        <v>269.62897317242647</v>
      </c>
      <c r="AF267" s="3" t="s">
        <v>600</v>
      </c>
    </row>
    <row r="268" spans="1:32" ht="11.25" customHeight="1" x14ac:dyDescent="0.3">
      <c r="A268" s="3" t="s">
        <v>21</v>
      </c>
      <c r="B268" s="3" t="s">
        <v>32</v>
      </c>
      <c r="C268" s="3" t="s">
        <v>23</v>
      </c>
      <c r="D268" s="3" t="s">
        <v>46</v>
      </c>
      <c r="E268" s="3" t="s">
        <v>47</v>
      </c>
      <c r="F268" s="3" t="s">
        <v>25</v>
      </c>
      <c r="G268" s="3" t="s">
        <v>25</v>
      </c>
      <c r="H268" s="3" t="s">
        <v>25</v>
      </c>
      <c r="I268" s="6">
        <v>44562</v>
      </c>
      <c r="J268" s="4">
        <v>0</v>
      </c>
      <c r="K268" s="52">
        <v>0</v>
      </c>
      <c r="L268" s="4">
        <v>13.185</v>
      </c>
      <c r="M268" s="52">
        <v>13.185</v>
      </c>
      <c r="N268" s="4">
        <v>13.185</v>
      </c>
      <c r="O268" s="52">
        <v>13.185</v>
      </c>
      <c r="P268" s="4">
        <v>16</v>
      </c>
      <c r="Q268" s="3" t="s">
        <v>26</v>
      </c>
      <c r="R268" s="3">
        <v>0</v>
      </c>
      <c r="S268" s="3">
        <v>0</v>
      </c>
      <c r="T268" s="3">
        <v>27</v>
      </c>
      <c r="U268" s="3">
        <v>76</v>
      </c>
      <c r="V268" s="52">
        <f>IF(ISERROR(VLOOKUP($S$268,'TAR FIN'!$A$1:$O$85,15,0)),0,VLOOKUP($S$268,'TAR FIN'!$A$1:$O$85,15,0))</f>
        <v>0</v>
      </c>
      <c r="W268" s="52">
        <f>IF(ISERROR(VLOOKUP($T$268,'TAR FIN'!$A$1:$O$85,15,0)),0,VLOOKUP($T$268,'TAR FIN'!$A$1:$O$85,15,0))*(1-0.06)</f>
        <v>348.42040000000003</v>
      </c>
      <c r="X268" s="52">
        <f>IF(ISERROR(VLOOKUP($U$268,'TAR FIN'!$A$1:$O$85,15,0)),0,VLOOKUP($U$268,'TAR FIN'!$A$1:$O$85,15,0))*(1-0.06)</f>
        <v>274.339</v>
      </c>
      <c r="Y268" s="52"/>
      <c r="Z268" s="52">
        <f ca="1">('TUSD BE'!$AM$48+'TUSD BF'!$AM$48+'TUSD CVA'!$AM$48)*1*(1-0.03)</f>
        <v>416.33453167912546</v>
      </c>
      <c r="AA268" s="52">
        <f>('TE BE'!$AB$39+'TE BF'!$AB$39+'TE CVA'!$AB$39)*1*(1-0.03)</f>
        <v>207.36009315335826</v>
      </c>
      <c r="AB268" s="52">
        <f>(SUBSIDIO!$J$268*SUBSIDIO!$V$268)*(0.06)/(1-0.06)</f>
        <v>0</v>
      </c>
      <c r="AC268" s="52">
        <f>((SUBSIDIO!$L$268*SUBSIDIO!$W$268)+(SUBSIDIO!$N$268*SUBSIDIO!$X$268))*(0.06)/(1-0.06)</f>
        <v>524.11166100000003</v>
      </c>
      <c r="AD268" s="52">
        <f>(SUBSIDIO!$J$268*SUBSIDIO!$Y$268)*(0.03)/(1-0.03)</f>
        <v>0</v>
      </c>
      <c r="AE268" s="52">
        <f ca="1">((SUBSIDIO!$L$268*SUBSIDIO!$Z$268)+(SUBSIDIO!$N$268*SUBSIDIO!$AA$268))*(0.03)/(1-0.03)</f>
        <v>254.33238026029787</v>
      </c>
      <c r="AF268" s="3" t="s">
        <v>600</v>
      </c>
    </row>
    <row r="269" spans="1:32" ht="11.25" customHeight="1" x14ac:dyDescent="0.3">
      <c r="A269" s="3" t="s">
        <v>21</v>
      </c>
      <c r="B269" s="3" t="s">
        <v>32</v>
      </c>
      <c r="C269" s="3" t="s">
        <v>23</v>
      </c>
      <c r="D269" s="3" t="s">
        <v>46</v>
      </c>
      <c r="E269" s="3" t="s">
        <v>47</v>
      </c>
      <c r="F269" s="3" t="s">
        <v>25</v>
      </c>
      <c r="G269" s="3" t="s">
        <v>25</v>
      </c>
      <c r="H269" s="3" t="s">
        <v>25</v>
      </c>
      <c r="I269" s="6">
        <v>44593</v>
      </c>
      <c r="J269" s="4">
        <v>0</v>
      </c>
      <c r="K269" s="52">
        <v>0</v>
      </c>
      <c r="L269" s="4">
        <v>15.356999999999999</v>
      </c>
      <c r="M269" s="52">
        <v>15.356999999999999</v>
      </c>
      <c r="N269" s="4">
        <v>15.356999999999999</v>
      </c>
      <c r="O269" s="52">
        <v>15.356999999999999</v>
      </c>
      <c r="P269" s="4">
        <v>16</v>
      </c>
      <c r="Q269" s="3" t="s">
        <v>26</v>
      </c>
      <c r="R269" s="3">
        <v>0</v>
      </c>
      <c r="S269" s="3">
        <v>0</v>
      </c>
      <c r="T269" s="3">
        <v>27</v>
      </c>
      <c r="U269" s="3">
        <v>76</v>
      </c>
      <c r="V269" s="52">
        <f>IF(ISERROR(VLOOKUP($S$269,'TAR FIN'!$A$1:$O$85,15,0)),0,VLOOKUP($S$269,'TAR FIN'!$A$1:$O$85,15,0))</f>
        <v>0</v>
      </c>
      <c r="W269" s="52">
        <f>IF(ISERROR(VLOOKUP($T$269,'TAR FIN'!$A$1:$O$85,15,0)),0,VLOOKUP($T$269,'TAR FIN'!$A$1:$O$85,15,0))*(1-0.06)</f>
        <v>348.42040000000003</v>
      </c>
      <c r="X269" s="52">
        <f>IF(ISERROR(VLOOKUP($U$269,'TAR FIN'!$A$1:$O$85,15,0)),0,VLOOKUP($U$269,'TAR FIN'!$A$1:$O$85,15,0))*(1-0.06)</f>
        <v>274.339</v>
      </c>
      <c r="Y269" s="52"/>
      <c r="Z269" s="52">
        <f ca="1">('TUSD BE'!$AM$48+'TUSD BF'!$AM$48+'TUSD CVA'!$AM$48)*1*(1-0.03)</f>
        <v>416.33453167912546</v>
      </c>
      <c r="AA269" s="52">
        <f>('TE BE'!$AB$39+'TE BF'!$AB$39+'TE CVA'!$AB$39)*1*(1-0.03)</f>
        <v>207.36009315335826</v>
      </c>
      <c r="AB269" s="52">
        <f>(SUBSIDIO!$J$269*SUBSIDIO!$V$269)*(0.06)/(1-0.06)</f>
        <v>0</v>
      </c>
      <c r="AC269" s="52">
        <f>((SUBSIDIO!$L$269*SUBSIDIO!$W$269)+(SUBSIDIO!$N$269*SUBSIDIO!$X$269))*(0.06)/(1-0.06)</f>
        <v>610.44996420000007</v>
      </c>
      <c r="AD269" s="52">
        <f>(SUBSIDIO!$J$269*SUBSIDIO!$Y$269)*(0.03)/(1-0.03)</f>
        <v>0</v>
      </c>
      <c r="AE269" s="52">
        <f ca="1">((SUBSIDIO!$L$269*SUBSIDIO!$Z$269)+(SUBSIDIO!$N$269*SUBSIDIO!$AA$269))*(0.03)/(1-0.03)</f>
        <v>296.2292274294573</v>
      </c>
      <c r="AF269" s="3" t="s">
        <v>600</v>
      </c>
    </row>
    <row r="270" spans="1:32" ht="11.25" customHeight="1" x14ac:dyDescent="0.3">
      <c r="A270" s="3" t="s">
        <v>21</v>
      </c>
      <c r="B270" s="3" t="s">
        <v>32</v>
      </c>
      <c r="C270" s="3" t="s">
        <v>23</v>
      </c>
      <c r="D270" s="3" t="s">
        <v>46</v>
      </c>
      <c r="E270" s="3" t="s">
        <v>47</v>
      </c>
      <c r="F270" s="3" t="s">
        <v>25</v>
      </c>
      <c r="G270" s="3" t="s">
        <v>25</v>
      </c>
      <c r="H270" s="3" t="s">
        <v>25</v>
      </c>
      <c r="I270" s="6">
        <v>44621</v>
      </c>
      <c r="J270" s="4">
        <v>0</v>
      </c>
      <c r="K270" s="52">
        <v>0</v>
      </c>
      <c r="L270" s="4">
        <v>14.31</v>
      </c>
      <c r="M270" s="52">
        <v>14.31</v>
      </c>
      <c r="N270" s="4">
        <v>14.31</v>
      </c>
      <c r="O270" s="52">
        <v>14.31</v>
      </c>
      <c r="P270" s="4">
        <v>16</v>
      </c>
      <c r="Q270" s="3" t="s">
        <v>26</v>
      </c>
      <c r="R270" s="3">
        <v>0</v>
      </c>
      <c r="S270" s="3">
        <v>0</v>
      </c>
      <c r="T270" s="3">
        <v>27</v>
      </c>
      <c r="U270" s="3">
        <v>76</v>
      </c>
      <c r="V270" s="52">
        <f>IF(ISERROR(VLOOKUP($S$270,'TAR FIN'!$A$1:$O$85,15,0)),0,VLOOKUP($S$270,'TAR FIN'!$A$1:$O$85,15,0))</f>
        <v>0</v>
      </c>
      <c r="W270" s="52">
        <f>IF(ISERROR(VLOOKUP($T$270,'TAR FIN'!$A$1:$O$85,15,0)),0,VLOOKUP($T$270,'TAR FIN'!$A$1:$O$85,15,0))*(1-0.06)</f>
        <v>348.42040000000003</v>
      </c>
      <c r="X270" s="52">
        <f>IF(ISERROR(VLOOKUP($U$270,'TAR FIN'!$A$1:$O$85,15,0)),0,VLOOKUP($U$270,'TAR FIN'!$A$1:$O$85,15,0))*(1-0.06)</f>
        <v>274.339</v>
      </c>
      <c r="Y270" s="52"/>
      <c r="Z270" s="52">
        <f ca="1">('TUSD BE'!$AM$48+'TUSD BF'!$AM$48+'TUSD CVA'!$AM$48)*1*(1-0.03)</f>
        <v>416.33453167912546</v>
      </c>
      <c r="AA270" s="52">
        <f>('TE BE'!$AB$39+'TE BF'!$AB$39+'TE CVA'!$AB$39)*1*(1-0.03)</f>
        <v>207.36009315335826</v>
      </c>
      <c r="AB270" s="52">
        <f>(SUBSIDIO!$J$270*SUBSIDIO!$V$270)*(0.06)/(1-0.06)</f>
        <v>0</v>
      </c>
      <c r="AC270" s="52">
        <f>((SUBSIDIO!$L$270*SUBSIDIO!$W$270)+(SUBSIDIO!$N$270*SUBSIDIO!$X$270))*(0.06)/(1-0.06)</f>
        <v>568.83108600000003</v>
      </c>
      <c r="AD270" s="52">
        <f>(SUBSIDIO!$J$270*SUBSIDIO!$Y$270)*(0.03)/(1-0.03)</f>
        <v>0</v>
      </c>
      <c r="AE270" s="52">
        <f ca="1">((SUBSIDIO!$L$270*SUBSIDIO!$Z$270)+(SUBSIDIO!$N$270*SUBSIDIO!$AA$270))*(0.03)/(1-0.03)</f>
        <v>276.03309529957244</v>
      </c>
      <c r="AF270" s="3" t="s">
        <v>600</v>
      </c>
    </row>
    <row r="271" spans="1:32" ht="11.25" customHeight="1" x14ac:dyDescent="0.3">
      <c r="A271" s="3" t="s">
        <v>21</v>
      </c>
      <c r="B271" s="3" t="s">
        <v>32</v>
      </c>
      <c r="C271" s="3" t="s">
        <v>23</v>
      </c>
      <c r="D271" s="3" t="s">
        <v>46</v>
      </c>
      <c r="E271" s="3" t="s">
        <v>47</v>
      </c>
      <c r="F271" s="3" t="s">
        <v>25</v>
      </c>
      <c r="G271" s="3" t="s">
        <v>25</v>
      </c>
      <c r="H271" s="3" t="s">
        <v>25</v>
      </c>
      <c r="I271" s="6">
        <v>44652</v>
      </c>
      <c r="J271" s="4">
        <v>0</v>
      </c>
      <c r="K271" s="52">
        <v>0</v>
      </c>
      <c r="L271" s="4">
        <v>14.478999999999999</v>
      </c>
      <c r="M271" s="52">
        <v>14.478999999999999</v>
      </c>
      <c r="N271" s="4">
        <v>14.478999999999999</v>
      </c>
      <c r="O271" s="52">
        <v>14.478999999999999</v>
      </c>
      <c r="P271" s="4">
        <v>16</v>
      </c>
      <c r="Q271" s="3" t="s">
        <v>26</v>
      </c>
      <c r="R271" s="3">
        <v>0</v>
      </c>
      <c r="S271" s="3">
        <v>0</v>
      </c>
      <c r="T271" s="3">
        <v>27</v>
      </c>
      <c r="U271" s="3">
        <v>76</v>
      </c>
      <c r="V271" s="52">
        <f>IF(ISERROR(VLOOKUP($S$271,'TAR FIN'!$A$1:$O$85,15,0)),0,VLOOKUP($S$271,'TAR FIN'!$A$1:$O$85,15,0))</f>
        <v>0</v>
      </c>
      <c r="W271" s="52">
        <f>IF(ISERROR(VLOOKUP($T$271,'TAR FIN'!$A$1:$O$85,15,0)),0,VLOOKUP($T$271,'TAR FIN'!$A$1:$O$85,15,0))*(1-0.06)</f>
        <v>348.42040000000003</v>
      </c>
      <c r="X271" s="52">
        <f>IF(ISERROR(VLOOKUP($U$271,'TAR FIN'!$A$1:$O$85,15,0)),0,VLOOKUP($U$271,'TAR FIN'!$A$1:$O$85,15,0))*(1-0.06)</f>
        <v>274.339</v>
      </c>
      <c r="Y271" s="52"/>
      <c r="Z271" s="52">
        <f ca="1">('TUSD BE'!$AM$48+'TUSD BF'!$AM$48+'TUSD CVA'!$AM$48)*1*(1-0.03)</f>
        <v>416.33453167912546</v>
      </c>
      <c r="AA271" s="52">
        <f>('TE BE'!$AB$39+'TE BF'!$AB$39+'TE CVA'!$AB$39)*1*(1-0.03)</f>
        <v>207.36009315335826</v>
      </c>
      <c r="AB271" s="52">
        <f>(SUBSIDIO!$J$271*SUBSIDIO!$V$271)*(0.06)/(1-0.06)</f>
        <v>0</v>
      </c>
      <c r="AC271" s="52">
        <f>((SUBSIDIO!$L$271*SUBSIDIO!$W$271)+(SUBSIDIO!$N$271*SUBSIDIO!$X$271))*(0.06)/(1-0.06)</f>
        <v>575.54893739999989</v>
      </c>
      <c r="AD271" s="52">
        <f>(SUBSIDIO!$J$271*SUBSIDIO!$Y$271)*(0.03)/(1-0.03)</f>
        <v>0</v>
      </c>
      <c r="AE271" s="52">
        <f ca="1">((SUBSIDIO!$L$271*SUBSIDIO!$Z$271)+(SUBSIDIO!$N$271*SUBSIDIO!$AA$271))*(0.03)/(1-0.03)</f>
        <v>279.29302493658344</v>
      </c>
      <c r="AF271" s="3" t="s">
        <v>600</v>
      </c>
    </row>
    <row r="272" spans="1:32" ht="11.25" customHeight="1" x14ac:dyDescent="0.3">
      <c r="A272" s="3" t="s">
        <v>21</v>
      </c>
      <c r="B272" s="3" t="s">
        <v>32</v>
      </c>
      <c r="C272" s="3" t="s">
        <v>23</v>
      </c>
      <c r="D272" s="3" t="s">
        <v>46</v>
      </c>
      <c r="E272" s="3" t="s">
        <v>47</v>
      </c>
      <c r="F272" s="3" t="s">
        <v>25</v>
      </c>
      <c r="G272" s="3" t="s">
        <v>25</v>
      </c>
      <c r="H272" s="3" t="s">
        <v>25</v>
      </c>
      <c r="I272" s="6">
        <v>44682</v>
      </c>
      <c r="J272" s="4">
        <v>0</v>
      </c>
      <c r="K272" s="52">
        <v>0</v>
      </c>
      <c r="L272" s="4">
        <v>14.087</v>
      </c>
      <c r="M272" s="52">
        <v>14.087</v>
      </c>
      <c r="N272" s="4">
        <v>14.087</v>
      </c>
      <c r="O272" s="52">
        <v>14.087</v>
      </c>
      <c r="P272" s="4">
        <v>16</v>
      </c>
      <c r="Q272" s="3" t="s">
        <v>26</v>
      </c>
      <c r="R272" s="3">
        <v>0</v>
      </c>
      <c r="S272" s="3">
        <v>0</v>
      </c>
      <c r="T272" s="3">
        <v>27</v>
      </c>
      <c r="U272" s="3">
        <v>76</v>
      </c>
      <c r="V272" s="52">
        <f>IF(ISERROR(VLOOKUP($S$272,'TAR FIN'!$A$1:$O$85,15,0)),0,VLOOKUP($S$272,'TAR FIN'!$A$1:$O$85,15,0))</f>
        <v>0</v>
      </c>
      <c r="W272" s="52">
        <f>IF(ISERROR(VLOOKUP($T$272,'TAR FIN'!$A$1:$O$85,15,0)),0,VLOOKUP($T$272,'TAR FIN'!$A$1:$O$85,15,0))*(1-0.06)</f>
        <v>348.42040000000003</v>
      </c>
      <c r="X272" s="52">
        <f>IF(ISERROR(VLOOKUP($U$272,'TAR FIN'!$A$1:$O$85,15,0)),0,VLOOKUP($U$272,'TAR FIN'!$A$1:$O$85,15,0))*(1-0.06)</f>
        <v>274.339</v>
      </c>
      <c r="Y272" s="52"/>
      <c r="Z272" s="52">
        <f ca="1">('TUSD BE'!$AM$48+'TUSD BF'!$AM$48+'TUSD CVA'!$AM$48)*1*(1-0.03)</f>
        <v>416.33453167912546</v>
      </c>
      <c r="AA272" s="52">
        <f>('TE BE'!$AB$39+'TE BF'!$AB$39+'TE CVA'!$AB$39)*1*(1-0.03)</f>
        <v>207.36009315335826</v>
      </c>
      <c r="AB272" s="52">
        <f>(SUBSIDIO!$J$272*SUBSIDIO!$V$272)*(0.06)/(1-0.06)</f>
        <v>0</v>
      </c>
      <c r="AC272" s="52">
        <f>((SUBSIDIO!$L$272*SUBSIDIO!$W$272)+(SUBSIDIO!$N$272*SUBSIDIO!$X$272))*(0.06)/(1-0.06)</f>
        <v>559.9667022000001</v>
      </c>
      <c r="AD272" s="52">
        <f>(SUBSIDIO!$J$272*SUBSIDIO!$Y$272)*(0.03)/(1-0.03)</f>
        <v>0</v>
      </c>
      <c r="AE272" s="52">
        <f ca="1">((SUBSIDIO!$L$272*SUBSIDIO!$Z$272)+(SUBSIDIO!$N$272*SUBSIDIO!$AA$272))*(0.03)/(1-0.03)</f>
        <v>271.73153134067621</v>
      </c>
      <c r="AF272" s="3" t="s">
        <v>600</v>
      </c>
    </row>
    <row r="273" spans="1:32" ht="11.25" customHeight="1" x14ac:dyDescent="0.3">
      <c r="A273" s="3" t="s">
        <v>21</v>
      </c>
      <c r="B273" s="3" t="s">
        <v>32</v>
      </c>
      <c r="C273" s="3" t="s">
        <v>23</v>
      </c>
      <c r="D273" s="3" t="s">
        <v>46</v>
      </c>
      <c r="E273" s="3" t="s">
        <v>47</v>
      </c>
      <c r="F273" s="3" t="s">
        <v>25</v>
      </c>
      <c r="G273" s="3" t="s">
        <v>25</v>
      </c>
      <c r="H273" s="3" t="s">
        <v>25</v>
      </c>
      <c r="I273" s="6">
        <v>44713</v>
      </c>
      <c r="J273" s="4">
        <v>0</v>
      </c>
      <c r="K273" s="52">
        <v>0</v>
      </c>
      <c r="L273" s="4">
        <v>15.03</v>
      </c>
      <c r="M273" s="52">
        <v>15.03</v>
      </c>
      <c r="N273" s="4">
        <v>15.03</v>
      </c>
      <c r="O273" s="52">
        <v>15.03</v>
      </c>
      <c r="P273" s="4">
        <v>16</v>
      </c>
      <c r="Q273" s="3" t="s">
        <v>26</v>
      </c>
      <c r="R273" s="3">
        <v>0</v>
      </c>
      <c r="S273" s="3">
        <v>0</v>
      </c>
      <c r="T273" s="3">
        <v>27</v>
      </c>
      <c r="U273" s="3">
        <v>76</v>
      </c>
      <c r="V273" s="52">
        <f>IF(ISERROR(VLOOKUP($S$273,'TAR FIN'!$A$1:$O$85,15,0)),0,VLOOKUP($S$273,'TAR FIN'!$A$1:$O$85,15,0))</f>
        <v>0</v>
      </c>
      <c r="W273" s="52">
        <f>IF(ISERROR(VLOOKUP($T$273,'TAR FIN'!$A$1:$O$85,15,0)),0,VLOOKUP($T$273,'TAR FIN'!$A$1:$O$85,15,0))*(1-0.06)</f>
        <v>348.42040000000003</v>
      </c>
      <c r="X273" s="52">
        <f>IF(ISERROR(VLOOKUP($U$273,'TAR FIN'!$A$1:$O$85,15,0)),0,VLOOKUP($U$273,'TAR FIN'!$A$1:$O$85,15,0))*(1-0.06)</f>
        <v>274.339</v>
      </c>
      <c r="Y273" s="52"/>
      <c r="Z273" s="52">
        <f ca="1">('TUSD BE'!$AM$48+'TUSD BF'!$AM$48+'TUSD CVA'!$AM$48)*1*(1-0.03)</f>
        <v>416.33453167912546</v>
      </c>
      <c r="AA273" s="52">
        <f>('TE BE'!$AB$39+'TE BF'!$AB$39+'TE CVA'!$AB$39)*1*(1-0.03)</f>
        <v>207.36009315335826</v>
      </c>
      <c r="AB273" s="52">
        <f>(SUBSIDIO!$J$273*SUBSIDIO!$V$273)*(0.06)/(1-0.06)</f>
        <v>0</v>
      </c>
      <c r="AC273" s="52">
        <f>((SUBSIDIO!$L$273*SUBSIDIO!$W$273)+(SUBSIDIO!$N$273*SUBSIDIO!$X$273))*(0.06)/(1-0.06)</f>
        <v>597.45151799999996</v>
      </c>
      <c r="AD273" s="52">
        <f>(SUBSIDIO!$J$273*SUBSIDIO!$Y$273)*(0.03)/(1-0.03)</f>
        <v>0</v>
      </c>
      <c r="AE273" s="52">
        <f ca="1">((SUBSIDIO!$L$273*SUBSIDIO!$Z$273)+(SUBSIDIO!$N$273*SUBSIDIO!$AA$273))*(0.03)/(1-0.03)</f>
        <v>289.92155292470812</v>
      </c>
      <c r="AF273" s="3" t="s">
        <v>600</v>
      </c>
    </row>
    <row r="274" spans="1:32" ht="11.25" customHeight="1" x14ac:dyDescent="0.3">
      <c r="A274" s="3" t="s">
        <v>21</v>
      </c>
      <c r="B274" s="3" t="s">
        <v>32</v>
      </c>
      <c r="C274" s="3" t="s">
        <v>23</v>
      </c>
      <c r="D274" s="3" t="s">
        <v>46</v>
      </c>
      <c r="E274" s="3" t="s">
        <v>47</v>
      </c>
      <c r="F274" s="3" t="s">
        <v>25</v>
      </c>
      <c r="G274" s="3" t="s">
        <v>25</v>
      </c>
      <c r="H274" s="3" t="s">
        <v>25</v>
      </c>
      <c r="I274" s="6">
        <v>44743</v>
      </c>
      <c r="J274" s="4">
        <v>0</v>
      </c>
      <c r="K274" s="52">
        <v>0</v>
      </c>
      <c r="L274" s="4">
        <v>13.217000000000001</v>
      </c>
      <c r="M274" s="52">
        <v>13.217000000000001</v>
      </c>
      <c r="N274" s="4">
        <v>13.217000000000001</v>
      </c>
      <c r="O274" s="52">
        <v>13.217000000000001</v>
      </c>
      <c r="P274" s="4">
        <v>16</v>
      </c>
      <c r="Q274" s="3" t="s">
        <v>26</v>
      </c>
      <c r="R274" s="3">
        <v>0</v>
      </c>
      <c r="S274" s="3">
        <v>0</v>
      </c>
      <c r="T274" s="3">
        <v>27</v>
      </c>
      <c r="U274" s="3">
        <v>76</v>
      </c>
      <c r="V274" s="52">
        <f>IF(ISERROR(VLOOKUP($S$274,'TAR FIN'!$A$1:$O$85,15,0)),0,VLOOKUP($S$274,'TAR FIN'!$A$1:$O$85,15,0))</f>
        <v>0</v>
      </c>
      <c r="W274" s="52">
        <f>IF(ISERROR(VLOOKUP($T$274,'TAR FIN'!$A$1:$O$85,15,0)),0,VLOOKUP($T$274,'TAR FIN'!$A$1:$O$85,15,0))*(1-0.06)</f>
        <v>348.42040000000003</v>
      </c>
      <c r="X274" s="52">
        <f>IF(ISERROR(VLOOKUP($U$274,'TAR FIN'!$A$1:$O$85,15,0)),0,VLOOKUP($U$274,'TAR FIN'!$A$1:$O$85,15,0))*(1-0.06)</f>
        <v>274.339</v>
      </c>
      <c r="Y274" s="52"/>
      <c r="Z274" s="52">
        <f ca="1">('TUSD BE'!$AM$48+'TUSD BF'!$AM$48+'TUSD CVA'!$AM$48)*1*(1-0.03)</f>
        <v>416.33453167912546</v>
      </c>
      <c r="AA274" s="52">
        <f>('TE BE'!$AB$39+'TE BF'!$AB$39+'TE CVA'!$AB$39)*1*(1-0.03)</f>
        <v>207.36009315335826</v>
      </c>
      <c r="AB274" s="52">
        <f>(SUBSIDIO!$J$274*SUBSIDIO!$V$274)*(0.06)/(1-0.06)</f>
        <v>0</v>
      </c>
      <c r="AC274" s="52">
        <f>((SUBSIDIO!$L$274*SUBSIDIO!$W$274)+(SUBSIDIO!$N$274*SUBSIDIO!$X$274))*(0.06)/(1-0.06)</f>
        <v>525.38368020000007</v>
      </c>
      <c r="AD274" s="52">
        <f>(SUBSIDIO!$J$274*SUBSIDIO!$Y$274)*(0.03)/(1-0.03)</f>
        <v>0</v>
      </c>
      <c r="AE274" s="52">
        <f ca="1">((SUBSIDIO!$L$274*SUBSIDIO!$Z$274)+(SUBSIDIO!$N$274*SUBSIDIO!$AA$274))*(0.03)/(1-0.03)</f>
        <v>254.94964504363719</v>
      </c>
      <c r="AF274" s="3" t="s">
        <v>600</v>
      </c>
    </row>
    <row r="275" spans="1:32" ht="11.25" customHeight="1" x14ac:dyDescent="0.3">
      <c r="A275" s="3" t="s">
        <v>53</v>
      </c>
      <c r="B275" s="3" t="s">
        <v>32</v>
      </c>
      <c r="C275" s="3" t="s">
        <v>23</v>
      </c>
      <c r="D275" s="3" t="s">
        <v>46</v>
      </c>
      <c r="E275" s="3" t="s">
        <v>47</v>
      </c>
      <c r="F275" s="3" t="s">
        <v>25</v>
      </c>
      <c r="G275" s="3" t="s">
        <v>25</v>
      </c>
      <c r="H275" s="3" t="s">
        <v>25</v>
      </c>
      <c r="I275" s="6">
        <v>44774</v>
      </c>
      <c r="J275" s="4">
        <v>0</v>
      </c>
      <c r="K275" s="52">
        <v>0</v>
      </c>
      <c r="L275" s="4">
        <v>13.217000000000001</v>
      </c>
      <c r="M275" s="52">
        <v>13.217000000000001</v>
      </c>
      <c r="N275" s="4">
        <v>13.217000000000001</v>
      </c>
      <c r="O275" s="52">
        <v>13.217000000000001</v>
      </c>
      <c r="P275" s="4">
        <v>16</v>
      </c>
      <c r="Q275" s="3" t="s">
        <v>26</v>
      </c>
      <c r="R275" s="3">
        <v>0</v>
      </c>
      <c r="S275" s="3">
        <v>0</v>
      </c>
      <c r="T275" s="3">
        <v>27</v>
      </c>
      <c r="U275" s="3">
        <v>76</v>
      </c>
      <c r="V275" s="52">
        <f>IF(ISERROR(VLOOKUP($S$275,'TAR FIN'!$A$1:$O$85,15,0)),0,VLOOKUP($S$275,'TAR FIN'!$A$1:$O$85,15,0))</f>
        <v>0</v>
      </c>
      <c r="W275" s="52">
        <f>IF(ISERROR(VLOOKUP($T$275,'TAR FIN'!$A$1:$O$85,15,0)),0,VLOOKUP($T$275,'TAR FIN'!$A$1:$O$85,15,0))*(1-0.06)</f>
        <v>348.42040000000003</v>
      </c>
      <c r="X275" s="52">
        <f>IF(ISERROR(VLOOKUP($U$275,'TAR FIN'!$A$1:$O$85,15,0)),0,VLOOKUP($U$275,'TAR FIN'!$A$1:$O$85,15,0))*(1-0.06)</f>
        <v>274.339</v>
      </c>
      <c r="Y275" s="52"/>
      <c r="Z275" s="52">
        <f ca="1">('TUSD BE'!$AM$48+'TUSD BF'!$AM$48+'TUSD CVA'!$AM$48)*1*(1-0.03)</f>
        <v>416.33453167912546</v>
      </c>
      <c r="AA275" s="52">
        <f>('TE BE'!$AB$39+'TE BF'!$AB$39+'TE CVA'!$AB$39)*1*(1-0.03)</f>
        <v>207.36009315335826</v>
      </c>
      <c r="AB275" s="52">
        <f>(SUBSIDIO!$J$275*SUBSIDIO!$V$275)*(0.06)/(1-0.06)</f>
        <v>0</v>
      </c>
      <c r="AC275" s="52">
        <f>((SUBSIDIO!$L$275*SUBSIDIO!$W$275)+(SUBSIDIO!$N$275*SUBSIDIO!$X$275))*(0.06)/(1-0.06)</f>
        <v>525.38368020000007</v>
      </c>
      <c r="AD275" s="52">
        <f>(SUBSIDIO!$J$275*SUBSIDIO!$Y$275)*(0.03)/(1-0.03)</f>
        <v>0</v>
      </c>
      <c r="AE275" s="52">
        <f ca="1">((SUBSIDIO!$L$275*SUBSIDIO!$Z$275)+(SUBSIDIO!$N$275*SUBSIDIO!$AA$275))*(0.03)/(1-0.03)</f>
        <v>254.94964504363719</v>
      </c>
      <c r="AF275" s="3" t="s">
        <v>600</v>
      </c>
    </row>
    <row r="276" spans="1:32" ht="11.25" customHeight="1" x14ac:dyDescent="0.3"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2" ht="11.25" customHeight="1" x14ac:dyDescent="0.3"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2" ht="11.25" customHeight="1" x14ac:dyDescent="0.3"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2" ht="11.25" customHeight="1" x14ac:dyDescent="0.3"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2" ht="11.25" customHeight="1" x14ac:dyDescent="0.3"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2" ht="11.25" customHeight="1" x14ac:dyDescent="0.3"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2" ht="11.25" customHeight="1" x14ac:dyDescent="0.3"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2" ht="11.25" customHeight="1" x14ac:dyDescent="0.3"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2" ht="11.25" customHeight="1" x14ac:dyDescent="0.3"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2" ht="11.25" customHeight="1" x14ac:dyDescent="0.3"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2" ht="11.25" customHeight="1" x14ac:dyDescent="0.3"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2" ht="11.25" customHeight="1" x14ac:dyDescent="0.3"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2" ht="11.25" customHeight="1" x14ac:dyDescent="0.3"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22:31" ht="11.25" customHeight="1" x14ac:dyDescent="0.3"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22:31" ht="11.25" customHeight="1" x14ac:dyDescent="0.3"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22:31" ht="11.25" customHeight="1" x14ac:dyDescent="0.3"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22:31" ht="11.25" customHeight="1" x14ac:dyDescent="0.3"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22:31" ht="11.25" customHeight="1" x14ac:dyDescent="0.3"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22:31" ht="11.25" customHeight="1" x14ac:dyDescent="0.3"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22:31" ht="11.25" customHeight="1" x14ac:dyDescent="0.3"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22:31" ht="11.25" customHeight="1" x14ac:dyDescent="0.3"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22:31" ht="11.25" customHeight="1" x14ac:dyDescent="0.3"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22:31" ht="11.25" customHeight="1" x14ac:dyDescent="0.3"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22:31" ht="11.25" customHeight="1" x14ac:dyDescent="0.3"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22:31" ht="11.25" customHeight="1" x14ac:dyDescent="0.3"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22:31" ht="11.25" customHeight="1" x14ac:dyDescent="0.3"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22:31" ht="11.25" customHeight="1" x14ac:dyDescent="0.3"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22:31" ht="11.25" customHeight="1" x14ac:dyDescent="0.3"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22:31" ht="11.25" customHeight="1" x14ac:dyDescent="0.3"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22:31" ht="11.25" customHeight="1" x14ac:dyDescent="0.3"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22:31" ht="11.25" customHeight="1" x14ac:dyDescent="0.3"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22:31" ht="11.25" customHeight="1" x14ac:dyDescent="0.3"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22:31" ht="11.25" customHeight="1" x14ac:dyDescent="0.3"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22:31" ht="11.25" customHeight="1" x14ac:dyDescent="0.3"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22:31" ht="11.25" customHeight="1" x14ac:dyDescent="0.3"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22:31" ht="11.25" customHeight="1" x14ac:dyDescent="0.3"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22:31" ht="11.25" customHeight="1" x14ac:dyDescent="0.3"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22:31" ht="11.25" customHeight="1" x14ac:dyDescent="0.3"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22:31" ht="11.25" customHeight="1" x14ac:dyDescent="0.3"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22:31" ht="11.25" customHeight="1" x14ac:dyDescent="0.3"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22:31" ht="11.25" customHeight="1" x14ac:dyDescent="0.3"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22:31" ht="11.25" customHeight="1" x14ac:dyDescent="0.3"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22:31" ht="11.25" customHeight="1" x14ac:dyDescent="0.3"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22:31" ht="11.25" customHeight="1" x14ac:dyDescent="0.3"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22:31" ht="11.25" customHeight="1" x14ac:dyDescent="0.3"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2:31" ht="11.25" customHeight="1" x14ac:dyDescent="0.3"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2:31" ht="11.25" customHeight="1" x14ac:dyDescent="0.3"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2:31" ht="11.25" customHeight="1" x14ac:dyDescent="0.3"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2:31" ht="11.25" customHeight="1" x14ac:dyDescent="0.3"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2:31" ht="11.25" customHeight="1" x14ac:dyDescent="0.3"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2:31" ht="11.25" customHeight="1" x14ac:dyDescent="0.3"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2:31" ht="11.25" customHeight="1" x14ac:dyDescent="0.3"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2:31" ht="11.25" customHeight="1" x14ac:dyDescent="0.3"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2:31" ht="11.25" customHeight="1" x14ac:dyDescent="0.3"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2:31" ht="11.25" customHeight="1" x14ac:dyDescent="0.3"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2:31" ht="11.25" customHeight="1" x14ac:dyDescent="0.3"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22:31" ht="11.25" customHeight="1" x14ac:dyDescent="0.3"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22:31" ht="11.25" customHeight="1" x14ac:dyDescent="0.3"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22:31" ht="11.25" customHeight="1" x14ac:dyDescent="0.3"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22:31" ht="11.25" customHeight="1" x14ac:dyDescent="0.3"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22:31" ht="11.25" customHeight="1" x14ac:dyDescent="0.3"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22:31" ht="11.25" customHeight="1" x14ac:dyDescent="0.3"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22:31" ht="11.25" customHeight="1" x14ac:dyDescent="0.3"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22:31" ht="11.25" customHeight="1" x14ac:dyDescent="0.3"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22:31" ht="11.25" customHeight="1" x14ac:dyDescent="0.3"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22:31" ht="11.25" customHeight="1" x14ac:dyDescent="0.3"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22:31" ht="11.25" customHeight="1" x14ac:dyDescent="0.3"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22:31" ht="11.25" customHeight="1" x14ac:dyDescent="0.3"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22:31" ht="11.25" customHeight="1" x14ac:dyDescent="0.3"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22:31" ht="11.25" customHeight="1" x14ac:dyDescent="0.3"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22:31" ht="11.25" customHeight="1" x14ac:dyDescent="0.3"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22:31" ht="11.25" customHeight="1" x14ac:dyDescent="0.3"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22:31" ht="11.25" customHeight="1" x14ac:dyDescent="0.3"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22:31" ht="11.25" customHeight="1" x14ac:dyDescent="0.3"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22:31" ht="11.25" customHeight="1" x14ac:dyDescent="0.3"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22:31" ht="11.25" customHeight="1" x14ac:dyDescent="0.3"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22:31" ht="11.25" customHeight="1" x14ac:dyDescent="0.3"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22:31" ht="11.25" customHeight="1" x14ac:dyDescent="0.3"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22:31" ht="11.25" customHeight="1" x14ac:dyDescent="0.3"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22:31" ht="11.25" customHeight="1" x14ac:dyDescent="0.3"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22:31" ht="11.25" customHeight="1" x14ac:dyDescent="0.3"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22:31" ht="11.25" customHeight="1" x14ac:dyDescent="0.3"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22:31" ht="11.25" customHeight="1" x14ac:dyDescent="0.3"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22:31" ht="11.25" customHeight="1" x14ac:dyDescent="0.3"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22:31" ht="11.25" customHeight="1" x14ac:dyDescent="0.3"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22:31" ht="11.25" customHeight="1" x14ac:dyDescent="0.3"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22:31" ht="11.25" customHeight="1" x14ac:dyDescent="0.3"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22:31" ht="11.25" customHeight="1" x14ac:dyDescent="0.3"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22:31" ht="11.25" customHeight="1" x14ac:dyDescent="0.3"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22:31" ht="11.25" customHeight="1" x14ac:dyDescent="0.3"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22:31" ht="11.25" customHeight="1" x14ac:dyDescent="0.3"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22:31" ht="11.25" customHeight="1" x14ac:dyDescent="0.3"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22:31" ht="11.25" customHeight="1" x14ac:dyDescent="0.3"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22:31" ht="11.25" customHeight="1" x14ac:dyDescent="0.3"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22:31" ht="11.25" customHeight="1" x14ac:dyDescent="0.3"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22:31" ht="11.25" customHeight="1" x14ac:dyDescent="0.3"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22:31" ht="11.25" customHeight="1" x14ac:dyDescent="0.3"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22:31" ht="11.25" customHeight="1" x14ac:dyDescent="0.3"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22:31" ht="11.25" customHeight="1" x14ac:dyDescent="0.3"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22:31" ht="11.25" customHeight="1" x14ac:dyDescent="0.3"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22:31" ht="11.25" customHeight="1" x14ac:dyDescent="0.3"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22:31" ht="11.25" customHeight="1" x14ac:dyDescent="0.3"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22:31" ht="11.25" customHeight="1" x14ac:dyDescent="0.3"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22:31" ht="11.25" customHeight="1" x14ac:dyDescent="0.3"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22:31" ht="11.25" customHeight="1" x14ac:dyDescent="0.3"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22:31" ht="11.25" customHeight="1" x14ac:dyDescent="0.3"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22:31" ht="11.25" customHeight="1" x14ac:dyDescent="0.3"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22:31" ht="11.25" customHeight="1" x14ac:dyDescent="0.3"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22:31" ht="11.25" customHeight="1" x14ac:dyDescent="0.3"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22:31" ht="11.25" customHeight="1" x14ac:dyDescent="0.3"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22:31" ht="11.25" customHeight="1" x14ac:dyDescent="0.3"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22:31" ht="11.25" customHeight="1" x14ac:dyDescent="0.3"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22:31" ht="11.25" customHeight="1" x14ac:dyDescent="0.3"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22:31" ht="11.25" customHeight="1" x14ac:dyDescent="0.3"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22:31" ht="11.25" customHeight="1" x14ac:dyDescent="0.3"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22:31" ht="11.25" customHeight="1" x14ac:dyDescent="0.3"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22:31" ht="11.25" customHeight="1" x14ac:dyDescent="0.3"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22:31" ht="11.25" customHeight="1" x14ac:dyDescent="0.3"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22:31" ht="11.25" customHeight="1" x14ac:dyDescent="0.3"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22:31" ht="11.25" customHeight="1" x14ac:dyDescent="0.3"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22:31" ht="11.25" customHeight="1" x14ac:dyDescent="0.3"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22:31" ht="11.25" customHeight="1" x14ac:dyDescent="0.3"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22:31" ht="11.25" customHeight="1" x14ac:dyDescent="0.3"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22:31" ht="11.25" customHeight="1" x14ac:dyDescent="0.3"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22:31" ht="11.25" customHeight="1" x14ac:dyDescent="0.3"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22:31" ht="11.25" customHeight="1" x14ac:dyDescent="0.3"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22:31" ht="11.25" customHeight="1" x14ac:dyDescent="0.3"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22:31" ht="11.25" customHeight="1" x14ac:dyDescent="0.3"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22:31" ht="11.25" customHeight="1" x14ac:dyDescent="0.3"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22:31" ht="11.25" customHeight="1" x14ac:dyDescent="0.3"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22:31" ht="11.25" customHeight="1" x14ac:dyDescent="0.3"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22:31" ht="11.25" customHeight="1" x14ac:dyDescent="0.3"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22:31" ht="11.25" customHeight="1" x14ac:dyDescent="0.3"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22:31" ht="11.25" customHeight="1" x14ac:dyDescent="0.3"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22:31" ht="11.25" customHeight="1" x14ac:dyDescent="0.3"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22:31" ht="11.25" customHeight="1" x14ac:dyDescent="0.3"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22:31" ht="11.25" customHeight="1" x14ac:dyDescent="0.3"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22:31" ht="11.25" customHeight="1" x14ac:dyDescent="0.3"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22:31" ht="11.25" customHeight="1" x14ac:dyDescent="0.3"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22:31" ht="11.25" customHeight="1" x14ac:dyDescent="0.3"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22:31" ht="11.25" customHeight="1" x14ac:dyDescent="0.3"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22:31" ht="11.25" customHeight="1" x14ac:dyDescent="0.3"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22:31" ht="11.25" customHeight="1" x14ac:dyDescent="0.3"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22:31" ht="11.25" customHeight="1" x14ac:dyDescent="0.3"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22:31" ht="11.25" customHeight="1" x14ac:dyDescent="0.3"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22:31" ht="11.25" customHeight="1" x14ac:dyDescent="0.3"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22:31" ht="11.25" customHeight="1" x14ac:dyDescent="0.3"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22:31" ht="11.25" customHeight="1" x14ac:dyDescent="0.3"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22:31" ht="11.25" customHeight="1" x14ac:dyDescent="0.3"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22:31" ht="11.25" customHeight="1" x14ac:dyDescent="0.3"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22:31" ht="11.25" customHeight="1" x14ac:dyDescent="0.3"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22:31" ht="11.25" customHeight="1" x14ac:dyDescent="0.3"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22:31" ht="11.25" customHeight="1" x14ac:dyDescent="0.3"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22:31" ht="11.25" customHeight="1" x14ac:dyDescent="0.3"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22:31" ht="11.25" customHeight="1" x14ac:dyDescent="0.3"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22:31" ht="11.25" customHeight="1" x14ac:dyDescent="0.3"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22:31" ht="11.25" customHeight="1" x14ac:dyDescent="0.3"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22:31" ht="11.25" customHeight="1" x14ac:dyDescent="0.3"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22:31" ht="11.25" customHeight="1" x14ac:dyDescent="0.3"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22:31" ht="11.25" customHeight="1" x14ac:dyDescent="0.3"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22:31" ht="11.25" customHeight="1" x14ac:dyDescent="0.3"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22:31" ht="11.25" customHeight="1" x14ac:dyDescent="0.3"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22:31" ht="11.25" customHeight="1" x14ac:dyDescent="0.3"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22:31" ht="11.25" customHeight="1" x14ac:dyDescent="0.3"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22:31" ht="11.25" customHeight="1" x14ac:dyDescent="0.3"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22:31" ht="11.25" customHeight="1" x14ac:dyDescent="0.3"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22:31" ht="11.25" customHeight="1" x14ac:dyDescent="0.3"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22:31" ht="11.25" customHeight="1" x14ac:dyDescent="0.3"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22:31" ht="11.25" customHeight="1" x14ac:dyDescent="0.3"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22:31" ht="11.25" customHeight="1" x14ac:dyDescent="0.3"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22:31" ht="11.25" customHeight="1" x14ac:dyDescent="0.3"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22:31" ht="11.25" customHeight="1" x14ac:dyDescent="0.3"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22:31" ht="11.25" customHeight="1" x14ac:dyDescent="0.3"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22:31" ht="11.25" customHeight="1" x14ac:dyDescent="0.3"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22:31" ht="11.25" customHeight="1" x14ac:dyDescent="0.3"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22:31" ht="11.25" customHeight="1" x14ac:dyDescent="0.3"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22:31" ht="11.25" customHeight="1" x14ac:dyDescent="0.3"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22:31" ht="11.25" customHeight="1" x14ac:dyDescent="0.3"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22:31" ht="11.25" customHeight="1" x14ac:dyDescent="0.3"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22:31" ht="11.25" customHeight="1" x14ac:dyDescent="0.3"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22:31" ht="11.25" customHeight="1" x14ac:dyDescent="0.3"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22:31" ht="11.25" customHeight="1" x14ac:dyDescent="0.3"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22:31" ht="11.25" customHeight="1" x14ac:dyDescent="0.3"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22:31" ht="11.25" customHeight="1" x14ac:dyDescent="0.3"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22:31" ht="11.25" customHeight="1" x14ac:dyDescent="0.3"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22:31" ht="11.25" customHeight="1" x14ac:dyDescent="0.3"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22:31" ht="11.25" customHeight="1" x14ac:dyDescent="0.3"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22:31" ht="11.25" customHeight="1" x14ac:dyDescent="0.3"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22:31" ht="11.25" customHeight="1" x14ac:dyDescent="0.3"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22:31" ht="11.25" customHeight="1" x14ac:dyDescent="0.3"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22:31" ht="11.25" customHeight="1" x14ac:dyDescent="0.3"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22:31" ht="11.25" customHeight="1" x14ac:dyDescent="0.3"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22:31" ht="11.25" customHeight="1" x14ac:dyDescent="0.3"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22:31" ht="11.25" customHeight="1" x14ac:dyDescent="0.3"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22:31" ht="11.25" customHeight="1" x14ac:dyDescent="0.3"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22:31" ht="11.25" customHeight="1" x14ac:dyDescent="0.3"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22:31" ht="11.25" customHeight="1" x14ac:dyDescent="0.3"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22:31" ht="11.25" customHeight="1" x14ac:dyDescent="0.3"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22:31" ht="11.25" customHeight="1" x14ac:dyDescent="0.3"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22:31" ht="11.25" customHeight="1" x14ac:dyDescent="0.3"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22:31" ht="11.25" customHeight="1" x14ac:dyDescent="0.3"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22:31" ht="11.25" customHeight="1" x14ac:dyDescent="0.3"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22:31" ht="11.25" customHeight="1" x14ac:dyDescent="0.3"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22:31" ht="11.25" customHeight="1" x14ac:dyDescent="0.3"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22:31" ht="11.25" customHeight="1" x14ac:dyDescent="0.3"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22:31" ht="11.25" customHeight="1" x14ac:dyDescent="0.3"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22:31" ht="11.25" customHeight="1" x14ac:dyDescent="0.3"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22:31" ht="11.25" customHeight="1" x14ac:dyDescent="0.3"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22:31" ht="11.25" customHeight="1" x14ac:dyDescent="0.3"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F5A4-6933-42CA-B719-434F653C5582}">
  <dimension ref="A1:J476"/>
  <sheetViews>
    <sheetView showGridLines="0" workbookViewId="0"/>
  </sheetViews>
  <sheetFormatPr defaultRowHeight="11.25" customHeight="1" x14ac:dyDescent="0.2"/>
  <cols>
    <col min="1" max="1" width="32.33203125" style="14" bestFit="1" customWidth="1"/>
    <col min="2" max="2" width="23.21875" style="39" bestFit="1" customWidth="1"/>
    <col min="3" max="3" width="24.21875" style="39" bestFit="1" customWidth="1"/>
    <col min="4" max="4" width="24.44140625" style="39" bestFit="1" customWidth="1"/>
    <col min="5" max="5" width="25.5546875" style="39" bestFit="1" customWidth="1"/>
    <col min="6" max="6" width="22.44140625" style="39" bestFit="1" customWidth="1"/>
    <col min="7" max="7" width="23.44140625" style="39" bestFit="1" customWidth="1"/>
    <col min="8" max="8" width="17.109375" style="40" bestFit="1" customWidth="1"/>
    <col min="9" max="9" width="15" style="40" bestFit="1" customWidth="1"/>
    <col min="10" max="10" width="12.6640625" style="40" bestFit="1" customWidth="1"/>
    <col min="11" max="16384" width="8.88671875" style="14"/>
  </cols>
  <sheetData>
    <row r="1" spans="1:10" ht="11.25" customHeight="1" x14ac:dyDescent="0.2">
      <c r="A1" s="38" t="s">
        <v>580</v>
      </c>
      <c r="B1" s="39" t="s">
        <v>581</v>
      </c>
      <c r="C1" s="39" t="s">
        <v>582</v>
      </c>
      <c r="D1" s="39" t="s">
        <v>583</v>
      </c>
      <c r="E1" s="39" t="s">
        <v>584</v>
      </c>
      <c r="F1" s="39" t="s">
        <v>585</v>
      </c>
      <c r="G1" s="39" t="s">
        <v>586</v>
      </c>
      <c r="H1" s="40" t="s">
        <v>587</v>
      </c>
      <c r="I1" s="40" t="s">
        <v>588</v>
      </c>
      <c r="J1" s="40" t="s">
        <v>589</v>
      </c>
    </row>
    <row r="2" spans="1:10" ht="11.25" customHeight="1" x14ac:dyDescent="0.2">
      <c r="A2" s="41" t="s">
        <v>26</v>
      </c>
      <c r="B2" s="39">
        <v>891376.19039999961</v>
      </c>
      <c r="C2" s="39">
        <v>999112.84028644569</v>
      </c>
      <c r="D2" s="39">
        <v>13123718.2464788</v>
      </c>
      <c r="E2" s="39">
        <v>15255463.305423575</v>
      </c>
      <c r="F2" s="39">
        <v>11761210.876093009</v>
      </c>
      <c r="G2" s="39">
        <v>9035548.3781688809</v>
      </c>
      <c r="H2" s="40">
        <v>0.1597906970172347</v>
      </c>
      <c r="I2" s="40">
        <v>-0.23175015962553369</v>
      </c>
      <c r="J2" s="40">
        <v>-1.8861539044861431E-2</v>
      </c>
    </row>
    <row r="3" spans="1:10" ht="11.25" customHeight="1" x14ac:dyDescent="0.2">
      <c r="A3" s="42" t="s">
        <v>34</v>
      </c>
      <c r="B3" s="39">
        <v>891376.19039999961</v>
      </c>
      <c r="C3" s="39">
        <v>999112.84028644569</v>
      </c>
      <c r="D3" s="39">
        <v>1084259.3845739996</v>
      </c>
      <c r="E3" s="39">
        <v>1290896.549551707</v>
      </c>
      <c r="F3" s="39">
        <v>2260929.8581740009</v>
      </c>
      <c r="G3" s="39">
        <v>1701344.1635454402</v>
      </c>
      <c r="H3" s="40">
        <v>0.15912540695583011</v>
      </c>
      <c r="I3" s="40">
        <v>-0.24750245683450789</v>
      </c>
      <c r="J3" s="40">
        <v>-5.7879875487300558E-2</v>
      </c>
    </row>
    <row r="4" spans="1:10" ht="11.25" customHeight="1" x14ac:dyDescent="0.2">
      <c r="A4" s="43" t="s">
        <v>35</v>
      </c>
      <c r="B4" s="39">
        <v>33159.180000000008</v>
      </c>
      <c r="C4" s="39">
        <v>33621.650715937583</v>
      </c>
      <c r="D4" s="39">
        <v>13468.347359999998</v>
      </c>
      <c r="E4" s="39">
        <v>18210.897568915396</v>
      </c>
      <c r="F4" s="39">
        <v>48689.919199999982</v>
      </c>
      <c r="G4" s="39">
        <v>36639.044574926309</v>
      </c>
      <c r="H4" s="40">
        <v>0.11162978651358135</v>
      </c>
      <c r="I4" s="40">
        <v>-0.24750245683450789</v>
      </c>
      <c r="J4" s="40">
        <v>-7.1821622874794544E-2</v>
      </c>
    </row>
    <row r="5" spans="1:10" ht="11.25" customHeight="1" x14ac:dyDescent="0.2">
      <c r="A5" s="44" t="s">
        <v>33</v>
      </c>
      <c r="B5" s="39">
        <v>33159.180000000008</v>
      </c>
      <c r="C5" s="39">
        <v>33621.650715937583</v>
      </c>
      <c r="D5" s="39">
        <v>13468.347359999998</v>
      </c>
      <c r="E5" s="39">
        <v>18210.897568915396</v>
      </c>
      <c r="F5" s="39">
        <v>48689.919199999982</v>
      </c>
      <c r="G5" s="39">
        <v>36639.044574926309</v>
      </c>
      <c r="H5" s="40">
        <v>0.11162978651358135</v>
      </c>
      <c r="I5" s="40">
        <v>-0.24750245683450789</v>
      </c>
      <c r="J5" s="40">
        <v>-7.1821622874794544E-2</v>
      </c>
    </row>
    <row r="6" spans="1:10" ht="11.25" customHeight="1" x14ac:dyDescent="0.2">
      <c r="A6" s="45" t="s">
        <v>25</v>
      </c>
      <c r="B6" s="39">
        <v>33159.180000000008</v>
      </c>
      <c r="C6" s="39">
        <v>33621.650715937583</v>
      </c>
      <c r="D6" s="39">
        <v>13468.347359999998</v>
      </c>
      <c r="E6" s="39">
        <v>18210.897568915396</v>
      </c>
      <c r="F6" s="39">
        <v>48689.919199999982</v>
      </c>
      <c r="G6" s="39">
        <v>36639.044574926309</v>
      </c>
      <c r="H6" s="40">
        <v>0.11162978651358135</v>
      </c>
      <c r="I6" s="40">
        <v>-0.24750245683450789</v>
      </c>
      <c r="J6" s="40">
        <v>-7.1821622874794544E-2</v>
      </c>
    </row>
    <row r="7" spans="1:10" ht="11.25" customHeight="1" x14ac:dyDescent="0.2">
      <c r="A7" s="46" t="s">
        <v>25</v>
      </c>
      <c r="B7" s="39">
        <v>33159.180000000008</v>
      </c>
      <c r="C7" s="39">
        <v>33621.650715937583</v>
      </c>
      <c r="D7" s="39">
        <v>13468.347359999998</v>
      </c>
      <c r="E7" s="39">
        <v>18210.897568915396</v>
      </c>
      <c r="F7" s="39">
        <v>48689.919199999982</v>
      </c>
      <c r="G7" s="39">
        <v>36639.044574926309</v>
      </c>
      <c r="H7" s="40">
        <v>0.11162978651358135</v>
      </c>
      <c r="I7" s="40">
        <v>-0.24750245683450789</v>
      </c>
      <c r="J7" s="40">
        <v>-7.1821622874794544E-2</v>
      </c>
    </row>
    <row r="8" spans="1:10" ht="11.25" customHeight="1" x14ac:dyDescent="0.2">
      <c r="A8" s="47" t="s">
        <v>25</v>
      </c>
      <c r="B8" s="39">
        <v>33159.180000000008</v>
      </c>
      <c r="C8" s="39">
        <v>33621.650715937583</v>
      </c>
      <c r="D8" s="39">
        <v>13468.347359999998</v>
      </c>
      <c r="E8" s="39">
        <v>18210.897568915396</v>
      </c>
      <c r="F8" s="39">
        <v>48689.919199999982</v>
      </c>
      <c r="G8" s="39">
        <v>36639.044574926309</v>
      </c>
      <c r="H8" s="40">
        <v>0.11162978651358135</v>
      </c>
      <c r="I8" s="40">
        <v>-0.24750245683450789</v>
      </c>
      <c r="J8" s="40">
        <v>-7.1821622874794544E-2</v>
      </c>
    </row>
    <row r="9" spans="1:10" ht="11.25" customHeight="1" x14ac:dyDescent="0.2">
      <c r="A9" s="48" t="s">
        <v>37</v>
      </c>
      <c r="B9" s="39">
        <v>9295.3799999999992</v>
      </c>
      <c r="C9" s="39">
        <v>10457.270579532098</v>
      </c>
      <c r="D9" s="39">
        <v>12366.140670000001</v>
      </c>
      <c r="E9" s="39">
        <v>16720.575661197439</v>
      </c>
      <c r="F9" s="39">
        <v>44705.291149999997</v>
      </c>
      <c r="G9" s="39">
        <v>33640.621756873014</v>
      </c>
      <c r="H9" s="40">
        <v>0.25466012542551297</v>
      </c>
      <c r="I9" s="40">
        <v>-0.24750245683450789</v>
      </c>
      <c r="J9" s="40">
        <v>-8.3601180623918858E-2</v>
      </c>
    </row>
    <row r="10" spans="1:10" ht="11.25" customHeight="1" x14ac:dyDescent="0.2">
      <c r="A10" s="49">
        <v>44440</v>
      </c>
      <c r="B10" s="39">
        <v>772.92</v>
      </c>
      <c r="C10" s="39">
        <v>869.53234578166246</v>
      </c>
      <c r="D10" s="39">
        <v>1027.6929</v>
      </c>
      <c r="E10" s="39">
        <v>1389.5699029700115</v>
      </c>
      <c r="F10" s="39">
        <v>3715.2505000000006</v>
      </c>
      <c r="G10" s="39">
        <v>2795.7168734943657</v>
      </c>
      <c r="H10" s="40">
        <v>0.25462960348205543</v>
      </c>
      <c r="I10" s="40">
        <v>-0.24750245683450811</v>
      </c>
      <c r="J10" s="40">
        <v>-8.3585151465854102E-2</v>
      </c>
    </row>
    <row r="11" spans="1:10" ht="11.25" customHeight="1" x14ac:dyDescent="0.2">
      <c r="A11" s="49">
        <v>44470</v>
      </c>
      <c r="B11" s="39">
        <v>772.92</v>
      </c>
      <c r="C11" s="39">
        <v>869.53234578166246</v>
      </c>
      <c r="D11" s="39">
        <v>1022.2032600000001</v>
      </c>
      <c r="E11" s="39">
        <v>1382.1472200633375</v>
      </c>
      <c r="F11" s="39">
        <v>3695.4047000000005</v>
      </c>
      <c r="G11" s="39">
        <v>2780.782957752212</v>
      </c>
      <c r="H11" s="40">
        <v>0.25433145233993559</v>
      </c>
      <c r="I11" s="40">
        <v>-0.24750245683450811</v>
      </c>
      <c r="J11" s="40">
        <v>-8.3428304115727991E-2</v>
      </c>
    </row>
    <row r="12" spans="1:10" ht="11.25" customHeight="1" x14ac:dyDescent="0.2">
      <c r="A12" s="49">
        <v>44501</v>
      </c>
      <c r="B12" s="39">
        <v>772.92</v>
      </c>
      <c r="C12" s="39">
        <v>869.53234578166246</v>
      </c>
      <c r="D12" s="39">
        <v>1031.08356</v>
      </c>
      <c r="E12" s="39">
        <v>1394.1545012358984</v>
      </c>
      <c r="F12" s="39">
        <v>3727.5082000000002</v>
      </c>
      <c r="G12" s="39">
        <v>2804.9407626292254</v>
      </c>
      <c r="H12" s="40">
        <v>0.25481284915954427</v>
      </c>
      <c r="I12" s="40">
        <v>-0.247502456834508</v>
      </c>
      <c r="J12" s="40">
        <v>-8.3681309999278364E-2</v>
      </c>
    </row>
    <row r="13" spans="1:10" ht="11.25" customHeight="1" x14ac:dyDescent="0.2">
      <c r="A13" s="49">
        <v>44531</v>
      </c>
      <c r="B13" s="39">
        <v>772.92</v>
      </c>
      <c r="C13" s="39">
        <v>869.53234578166246</v>
      </c>
      <c r="D13" s="39">
        <v>1149.6759300000001</v>
      </c>
      <c r="E13" s="39">
        <v>1554.5062834403718</v>
      </c>
      <c r="F13" s="39">
        <v>4156.23585</v>
      </c>
      <c r="G13" s="39">
        <v>3127.5572659413401</v>
      </c>
      <c r="H13" s="40">
        <v>0.26081543781382832</v>
      </c>
      <c r="I13" s="40">
        <v>-0.24750245683450811</v>
      </c>
      <c r="J13" s="40">
        <v>-8.6733093449186671E-2</v>
      </c>
    </row>
    <row r="14" spans="1:10" ht="11.25" customHeight="1" x14ac:dyDescent="0.2">
      <c r="A14" s="49">
        <v>44562</v>
      </c>
      <c r="B14" s="39">
        <v>793.26</v>
      </c>
      <c r="C14" s="39">
        <v>892.41477593381148</v>
      </c>
      <c r="D14" s="39">
        <v>1143.86337</v>
      </c>
      <c r="E14" s="39">
        <v>1546.6469721274227</v>
      </c>
      <c r="F14" s="39">
        <v>4135.2226500000006</v>
      </c>
      <c r="G14" s="39">
        <v>3111.7448845672952</v>
      </c>
      <c r="H14" s="40">
        <v>0.25911533866902547</v>
      </c>
      <c r="I14" s="40">
        <v>-0.24750245683450811</v>
      </c>
      <c r="J14" s="40">
        <v>-8.588762657031046E-2</v>
      </c>
    </row>
    <row r="15" spans="1:10" ht="11.25" customHeight="1" x14ac:dyDescent="0.2">
      <c r="A15" s="49">
        <v>44593</v>
      </c>
      <c r="B15" s="39">
        <v>772.92</v>
      </c>
      <c r="C15" s="39">
        <v>869.53234578166246</v>
      </c>
      <c r="D15" s="39">
        <v>1053.0421200000001</v>
      </c>
      <c r="E15" s="39">
        <v>1423.8452328625947</v>
      </c>
      <c r="F15" s="39">
        <v>3806.8914000000004</v>
      </c>
      <c r="G15" s="39">
        <v>2864.6764255978401</v>
      </c>
      <c r="H15" s="40">
        <v>0.25598310804183422</v>
      </c>
      <c r="I15" s="40">
        <v>-0.24750245683450811</v>
      </c>
      <c r="J15" s="40">
        <v>-8.429111711712034E-2</v>
      </c>
    </row>
    <row r="16" spans="1:10" ht="11.25" customHeight="1" x14ac:dyDescent="0.2">
      <c r="A16" s="49">
        <v>44621</v>
      </c>
      <c r="B16" s="39">
        <v>772.92</v>
      </c>
      <c r="C16" s="39">
        <v>869.53234578166246</v>
      </c>
      <c r="D16" s="39">
        <v>1055.78694</v>
      </c>
      <c r="E16" s="39">
        <v>1427.5565743159316</v>
      </c>
      <c r="F16" s="39">
        <v>3816.8143</v>
      </c>
      <c r="G16" s="39">
        <v>2872.1433834689169</v>
      </c>
      <c r="H16" s="40">
        <v>0.25612741432347486</v>
      </c>
      <c r="I16" s="40">
        <v>-0.24750245683450811</v>
      </c>
      <c r="J16" s="40">
        <v>-8.4365803649600557E-2</v>
      </c>
    </row>
    <row r="17" spans="1:10" ht="11.25" customHeight="1" x14ac:dyDescent="0.2">
      <c r="A17" s="49">
        <v>44652</v>
      </c>
      <c r="B17" s="39">
        <v>772.92</v>
      </c>
      <c r="C17" s="39">
        <v>869.53234578166246</v>
      </c>
      <c r="D17" s="39">
        <v>988.05447000000015</v>
      </c>
      <c r="E17" s="39">
        <v>1335.9737660997621</v>
      </c>
      <c r="F17" s="39">
        <v>3571.9521500000005</v>
      </c>
      <c r="G17" s="39">
        <v>2687.8852171796971</v>
      </c>
      <c r="H17" s="40">
        <v>0.25243502927184669</v>
      </c>
      <c r="I17" s="40">
        <v>-0.24750245683450811</v>
      </c>
      <c r="J17" s="40">
        <v>-8.2419152232565018E-2</v>
      </c>
    </row>
    <row r="18" spans="1:10" ht="11.25" customHeight="1" x14ac:dyDescent="0.2">
      <c r="A18" s="49">
        <v>44682</v>
      </c>
      <c r="B18" s="39">
        <v>772.92</v>
      </c>
      <c r="C18" s="39">
        <v>869.53234578166246</v>
      </c>
      <c r="D18" s="39">
        <v>981.27314999999999</v>
      </c>
      <c r="E18" s="39">
        <v>1326.804569567988</v>
      </c>
      <c r="F18" s="39">
        <v>3547.4367500000003</v>
      </c>
      <c r="G18" s="39">
        <v>2669.4374389099776</v>
      </c>
      <c r="H18" s="40">
        <v>0.25204964763979976</v>
      </c>
      <c r="I18" s="40">
        <v>-0.24750245683450811</v>
      </c>
      <c r="J18" s="40">
        <v>-8.2211613024962715E-2</v>
      </c>
    </row>
    <row r="19" spans="1:10" ht="11.25" customHeight="1" x14ac:dyDescent="0.2">
      <c r="A19" s="49">
        <v>44713</v>
      </c>
      <c r="B19" s="39">
        <v>772.92</v>
      </c>
      <c r="C19" s="39">
        <v>869.53234578166246</v>
      </c>
      <c r="D19" s="39">
        <v>914.26724999999999</v>
      </c>
      <c r="E19" s="39">
        <v>1236.204175265937</v>
      </c>
      <c r="F19" s="39">
        <v>3305.2012500000001</v>
      </c>
      <c r="G19" s="39">
        <v>2487.155820292513</v>
      </c>
      <c r="H19" s="40">
        <v>0.24807517425679904</v>
      </c>
      <c r="I19" s="40">
        <v>-0.247502456834508</v>
      </c>
      <c r="J19" s="40">
        <v>-8.0021047773002341E-2</v>
      </c>
    </row>
    <row r="20" spans="1:10" ht="11.25" customHeight="1" x14ac:dyDescent="0.2">
      <c r="A20" s="49">
        <v>44743</v>
      </c>
      <c r="B20" s="39">
        <v>772.92</v>
      </c>
      <c r="C20" s="39">
        <v>869.53234578166246</v>
      </c>
      <c r="D20" s="39">
        <v>999.59886000000006</v>
      </c>
      <c r="E20" s="39">
        <v>1351.5832316240912</v>
      </c>
      <c r="F20" s="39">
        <v>3613.6867000000002</v>
      </c>
      <c r="G20" s="39">
        <v>2719.290363519814</v>
      </c>
      <c r="H20" s="40">
        <v>0.25308431268582021</v>
      </c>
      <c r="I20" s="40">
        <v>-0.24750245683450811</v>
      </c>
      <c r="J20" s="40">
        <v>-8.2766915244585015E-2</v>
      </c>
    </row>
    <row r="21" spans="1:10" ht="11.25" customHeight="1" x14ac:dyDescent="0.2">
      <c r="A21" s="49">
        <v>44774</v>
      </c>
      <c r="B21" s="39">
        <v>772.92</v>
      </c>
      <c r="C21" s="39">
        <v>869.53234578166246</v>
      </c>
      <c r="D21" s="39">
        <v>999.59886000000006</v>
      </c>
      <c r="E21" s="39">
        <v>1351.5832316240912</v>
      </c>
      <c r="F21" s="39">
        <v>3613.6867000000002</v>
      </c>
      <c r="G21" s="39">
        <v>2719.290363519814</v>
      </c>
      <c r="H21" s="40">
        <v>0.25308431268582021</v>
      </c>
      <c r="I21" s="40">
        <v>-0.24750245683450811</v>
      </c>
      <c r="J21" s="40">
        <v>-8.2766915244585015E-2</v>
      </c>
    </row>
    <row r="22" spans="1:10" ht="11.25" customHeight="1" x14ac:dyDescent="0.2">
      <c r="A22" s="48" t="s">
        <v>36</v>
      </c>
      <c r="B22" s="39">
        <v>23863.800000000003</v>
      </c>
      <c r="C22" s="39">
        <v>23164.380136405485</v>
      </c>
      <c r="D22" s="39">
        <v>1102.20669</v>
      </c>
      <c r="E22" s="39">
        <v>1490.3219077179547</v>
      </c>
      <c r="F22" s="39">
        <v>3984.6280500000007</v>
      </c>
      <c r="G22" s="39">
        <v>2998.4228180533046</v>
      </c>
      <c r="H22" s="40">
        <v>-1.2469140529440481E-2</v>
      </c>
      <c r="I22" s="40">
        <v>-0.24750245683450833</v>
      </c>
      <c r="J22" s="40">
        <v>-4.4818011400300506E-2</v>
      </c>
    </row>
    <row r="23" spans="1:10" ht="11.25" customHeight="1" x14ac:dyDescent="0.2">
      <c r="A23" s="49">
        <v>44440</v>
      </c>
      <c r="B23" s="39">
        <v>1988.65</v>
      </c>
      <c r="C23" s="39">
        <v>1930.3650113671235</v>
      </c>
      <c r="D23" s="39">
        <v>87.349860000000007</v>
      </c>
      <c r="E23" s="39">
        <v>118.10798389737253</v>
      </c>
      <c r="F23" s="39">
        <v>315.78170000000006</v>
      </c>
      <c r="G23" s="39">
        <v>237.62495342662245</v>
      </c>
      <c r="H23" s="40">
        <v>-1.3259569649250236E-2</v>
      </c>
      <c r="I23" s="40">
        <v>-0.24750245683450811</v>
      </c>
      <c r="J23" s="40">
        <v>-4.4186146877426835E-2</v>
      </c>
    </row>
    <row r="24" spans="1:10" ht="11.25" customHeight="1" x14ac:dyDescent="0.2">
      <c r="A24" s="49">
        <v>44470</v>
      </c>
      <c r="B24" s="39">
        <v>1988.65</v>
      </c>
      <c r="C24" s="39">
        <v>1930.3650113671235</v>
      </c>
      <c r="D24" s="39">
        <v>88.076430000000002</v>
      </c>
      <c r="E24" s="39">
        <v>119.09039781149116</v>
      </c>
      <c r="F24" s="39">
        <v>318.40835000000004</v>
      </c>
      <c r="G24" s="39">
        <v>239.60150109837807</v>
      </c>
      <c r="H24" s="40">
        <v>-1.313173484356589E-2</v>
      </c>
      <c r="I24" s="40">
        <v>-0.24750245683450811</v>
      </c>
      <c r="J24" s="40">
        <v>-4.4288893722718825E-2</v>
      </c>
    </row>
    <row r="25" spans="1:10" ht="11.25" customHeight="1" x14ac:dyDescent="0.2">
      <c r="A25" s="49">
        <v>44501</v>
      </c>
      <c r="B25" s="39">
        <v>1988.65</v>
      </c>
      <c r="C25" s="39">
        <v>1930.3650113671235</v>
      </c>
      <c r="D25" s="39">
        <v>80.810729999999992</v>
      </c>
      <c r="E25" s="39">
        <v>109.26625867030489</v>
      </c>
      <c r="F25" s="39">
        <v>292.14184999999998</v>
      </c>
      <c r="G25" s="39">
        <v>219.83602438082167</v>
      </c>
      <c r="H25" s="40">
        <v>-1.4414122254241435E-2</v>
      </c>
      <c r="I25" s="40">
        <v>-0.247502456834508</v>
      </c>
      <c r="J25" s="40">
        <v>-4.3248295224063482E-2</v>
      </c>
    </row>
    <row r="26" spans="1:10" ht="11.25" customHeight="1" x14ac:dyDescent="0.2">
      <c r="A26" s="49">
        <v>44531</v>
      </c>
      <c r="B26" s="39">
        <v>1988.65</v>
      </c>
      <c r="C26" s="39">
        <v>1930.3650113671235</v>
      </c>
      <c r="D26" s="39">
        <v>91.709279999999993</v>
      </c>
      <c r="E26" s="39">
        <v>124.00246738208428</v>
      </c>
      <c r="F26" s="39">
        <v>331.54160000000002</v>
      </c>
      <c r="G26" s="39">
        <v>249.48423945715626</v>
      </c>
      <c r="H26" s="40">
        <v>-1.2493900212655729E-2</v>
      </c>
      <c r="I26" s="40">
        <v>-0.24750245683450811</v>
      </c>
      <c r="J26" s="40">
        <v>-4.4798342539530855E-2</v>
      </c>
    </row>
    <row r="27" spans="1:10" ht="11.25" customHeight="1" x14ac:dyDescent="0.2">
      <c r="A27" s="49">
        <v>44562</v>
      </c>
      <c r="B27" s="39">
        <v>1988.65</v>
      </c>
      <c r="C27" s="39">
        <v>1930.3650113671235</v>
      </c>
      <c r="D27" s="39">
        <v>94.211910000000003</v>
      </c>
      <c r="E27" s="39">
        <v>127.38633753071511</v>
      </c>
      <c r="F27" s="39">
        <v>340.58895000000001</v>
      </c>
      <c r="G27" s="39">
        <v>256.29234810431461</v>
      </c>
      <c r="H27" s="40">
        <v>-1.2055797353441089E-2</v>
      </c>
      <c r="I27" s="40">
        <v>-0.247502456834508</v>
      </c>
      <c r="J27" s="40">
        <v>-4.5145195557151352E-2</v>
      </c>
    </row>
    <row r="28" spans="1:10" ht="11.25" customHeight="1" x14ac:dyDescent="0.2">
      <c r="A28" s="49">
        <v>44593</v>
      </c>
      <c r="B28" s="39">
        <v>1988.65</v>
      </c>
      <c r="C28" s="39">
        <v>1930.3650113671235</v>
      </c>
      <c r="D28" s="39">
        <v>80.810729999999992</v>
      </c>
      <c r="E28" s="39">
        <v>109.26625867030489</v>
      </c>
      <c r="F28" s="39">
        <v>292.14184999999998</v>
      </c>
      <c r="G28" s="39">
        <v>219.83602438082167</v>
      </c>
      <c r="H28" s="40">
        <v>-1.4414122254241435E-2</v>
      </c>
      <c r="I28" s="40">
        <v>-0.247502456834508</v>
      </c>
      <c r="J28" s="40">
        <v>-4.3248295224063482E-2</v>
      </c>
    </row>
    <row r="29" spans="1:10" ht="11.25" customHeight="1" x14ac:dyDescent="0.2">
      <c r="A29" s="49">
        <v>44621</v>
      </c>
      <c r="B29" s="39">
        <v>1988.65</v>
      </c>
      <c r="C29" s="39">
        <v>1930.3650113671235</v>
      </c>
      <c r="D29" s="39">
        <v>93.404610000000005</v>
      </c>
      <c r="E29" s="39">
        <v>126.29476651502775</v>
      </c>
      <c r="F29" s="39">
        <v>337.67045000000002</v>
      </c>
      <c r="G29" s="39">
        <v>254.09618402458611</v>
      </c>
      <c r="H29" s="40">
        <v>-1.2197005782595083E-2</v>
      </c>
      <c r="I29" s="40">
        <v>-0.247502456834508</v>
      </c>
      <c r="J29" s="40">
        <v>-4.5033669276980937E-2</v>
      </c>
    </row>
    <row r="30" spans="1:10" ht="11.25" customHeight="1" x14ac:dyDescent="0.2">
      <c r="A30" s="49">
        <v>44652</v>
      </c>
      <c r="B30" s="39">
        <v>1988.65</v>
      </c>
      <c r="C30" s="39">
        <v>1930.3650113671235</v>
      </c>
      <c r="D30" s="39">
        <v>89.125920000000008</v>
      </c>
      <c r="E30" s="39">
        <v>120.50944013188474</v>
      </c>
      <c r="F30" s="39">
        <v>322.20240000000007</v>
      </c>
      <c r="G30" s="39">
        <v>242.45651440202514</v>
      </c>
      <c r="H30" s="40">
        <v>-1.29472424057121E-2</v>
      </c>
      <c r="I30" s="40">
        <v>-0.24750245683450811</v>
      </c>
      <c r="J30" s="40">
        <v>-4.4436798953653156E-2</v>
      </c>
    </row>
    <row r="31" spans="1:10" ht="11.25" customHeight="1" x14ac:dyDescent="0.2">
      <c r="A31" s="49">
        <v>44682</v>
      </c>
      <c r="B31" s="39">
        <v>1988.65</v>
      </c>
      <c r="C31" s="39">
        <v>1930.3650113671235</v>
      </c>
      <c r="D31" s="39">
        <v>94.131180000000001</v>
      </c>
      <c r="E31" s="39">
        <v>127.27718042914636</v>
      </c>
      <c r="F31" s="39">
        <v>340.2971</v>
      </c>
      <c r="G31" s="39">
        <v>256.07273169634175</v>
      </c>
      <c r="H31" s="40">
        <v>-1.2069913270356225E-2</v>
      </c>
      <c r="I31" s="40">
        <v>-0.247502456834508</v>
      </c>
      <c r="J31" s="40">
        <v>-4.5134058362897078E-2</v>
      </c>
    </row>
    <row r="32" spans="1:10" ht="11.25" customHeight="1" x14ac:dyDescent="0.2">
      <c r="A32" s="49">
        <v>44713</v>
      </c>
      <c r="B32" s="39">
        <v>1988.65</v>
      </c>
      <c r="C32" s="39">
        <v>1930.3650113671235</v>
      </c>
      <c r="D32" s="39">
        <v>96.230159999999998</v>
      </c>
      <c r="E32" s="39">
        <v>130.11526506993351</v>
      </c>
      <c r="F32" s="39">
        <v>347.8852</v>
      </c>
      <c r="G32" s="39">
        <v>261.78275830363577</v>
      </c>
      <c r="H32" s="40">
        <v>-1.1703254715102251E-2</v>
      </c>
      <c r="I32" s="40">
        <v>-0.24750245683450811</v>
      </c>
      <c r="J32" s="40">
        <v>-4.5422516727756768E-2</v>
      </c>
    </row>
    <row r="33" spans="1:10" ht="11.25" customHeight="1" x14ac:dyDescent="0.2">
      <c r="A33" s="49">
        <v>44743</v>
      </c>
      <c r="B33" s="39">
        <v>1988.65</v>
      </c>
      <c r="C33" s="39">
        <v>1930.3650113671235</v>
      </c>
      <c r="D33" s="39">
        <v>103.17294000000001</v>
      </c>
      <c r="E33" s="39">
        <v>139.50277580484482</v>
      </c>
      <c r="F33" s="39">
        <v>372.98430000000002</v>
      </c>
      <c r="G33" s="39">
        <v>280.66976938930082</v>
      </c>
      <c r="H33" s="40">
        <v>-1.0495703249163046E-2</v>
      </c>
      <c r="I33" s="40">
        <v>-0.247502456834508</v>
      </c>
      <c r="J33" s="40">
        <v>-4.6360494883458392E-2</v>
      </c>
    </row>
    <row r="34" spans="1:10" ht="11.25" customHeight="1" x14ac:dyDescent="0.2">
      <c r="A34" s="49">
        <v>44774</v>
      </c>
      <c r="B34" s="39">
        <v>1988.65</v>
      </c>
      <c r="C34" s="39">
        <v>1930.3650113671235</v>
      </c>
      <c r="D34" s="39">
        <v>103.17294000000001</v>
      </c>
      <c r="E34" s="39">
        <v>139.50277580484482</v>
      </c>
      <c r="F34" s="39">
        <v>372.98430000000002</v>
      </c>
      <c r="G34" s="39">
        <v>280.66976938930082</v>
      </c>
      <c r="H34" s="40">
        <v>-1.0495703249163046E-2</v>
      </c>
      <c r="I34" s="40">
        <v>-0.247502456834508</v>
      </c>
      <c r="J34" s="40">
        <v>-4.6360494883458392E-2</v>
      </c>
    </row>
    <row r="35" spans="1:10" ht="11.25" customHeight="1" x14ac:dyDescent="0.2">
      <c r="A35" s="43" t="s">
        <v>38</v>
      </c>
      <c r="B35" s="39">
        <v>858217.01039999968</v>
      </c>
      <c r="C35" s="39">
        <v>965491.18957050808</v>
      </c>
      <c r="D35" s="39">
        <v>1070791.0372139995</v>
      </c>
      <c r="E35" s="39">
        <v>1272685.6519827917</v>
      </c>
      <c r="F35" s="39">
        <v>2212239.938974001</v>
      </c>
      <c r="G35" s="39">
        <v>1664705.118970514</v>
      </c>
      <c r="H35" s="40">
        <v>0.16027345988613839</v>
      </c>
      <c r="I35" s="40">
        <v>-0.24750245683450789</v>
      </c>
      <c r="J35" s="40">
        <v>-5.7558983870603209E-2</v>
      </c>
    </row>
    <row r="36" spans="1:10" ht="11.25" customHeight="1" x14ac:dyDescent="0.2">
      <c r="A36" s="44" t="s">
        <v>33</v>
      </c>
      <c r="B36" s="39">
        <v>848239.02</v>
      </c>
      <c r="C36" s="39">
        <v>954265.98463507032</v>
      </c>
      <c r="D36" s="39">
        <v>1055475.2203500001</v>
      </c>
      <c r="E36" s="39">
        <v>1255185.1002933134</v>
      </c>
      <c r="F36" s="39">
        <v>2187255.5243500001</v>
      </c>
      <c r="G36" s="39">
        <v>1645904.4083485254</v>
      </c>
      <c r="H36" s="40">
        <v>0.16060017732607457</v>
      </c>
      <c r="I36" s="40">
        <v>-0.247502456834508</v>
      </c>
      <c r="J36" s="40">
        <v>-5.7593745486987258E-2</v>
      </c>
    </row>
    <row r="37" spans="1:10" ht="11.25" customHeight="1" x14ac:dyDescent="0.2">
      <c r="A37" s="45" t="s">
        <v>25</v>
      </c>
      <c r="B37" s="39">
        <v>848239.02</v>
      </c>
      <c r="C37" s="39">
        <v>954265.98463507032</v>
      </c>
      <c r="D37" s="39">
        <v>1055475.2203500001</v>
      </c>
      <c r="E37" s="39">
        <v>1255185.1002933134</v>
      </c>
      <c r="F37" s="39">
        <v>2187255.5243500001</v>
      </c>
      <c r="G37" s="39">
        <v>1645904.4083485254</v>
      </c>
      <c r="H37" s="40">
        <v>0.16060017732607457</v>
      </c>
      <c r="I37" s="40">
        <v>-0.247502456834508</v>
      </c>
      <c r="J37" s="40">
        <v>-5.7593745486987258E-2</v>
      </c>
    </row>
    <row r="38" spans="1:10" ht="11.25" customHeight="1" x14ac:dyDescent="0.2">
      <c r="A38" s="46" t="s">
        <v>25</v>
      </c>
      <c r="B38" s="39">
        <v>848239.02</v>
      </c>
      <c r="C38" s="39">
        <v>954265.98463507032</v>
      </c>
      <c r="D38" s="39">
        <v>1055475.2203500001</v>
      </c>
      <c r="E38" s="39">
        <v>1255185.1002933134</v>
      </c>
      <c r="F38" s="39">
        <v>2187255.5243500001</v>
      </c>
      <c r="G38" s="39">
        <v>1645904.4083485254</v>
      </c>
      <c r="H38" s="40">
        <v>0.16060017732607457</v>
      </c>
      <c r="I38" s="40">
        <v>-0.247502456834508</v>
      </c>
      <c r="J38" s="40">
        <v>-5.7593745486987258E-2</v>
      </c>
    </row>
    <row r="39" spans="1:10" ht="11.25" customHeight="1" x14ac:dyDescent="0.2">
      <c r="A39" s="47" t="s">
        <v>25</v>
      </c>
      <c r="B39" s="39">
        <v>848239.02</v>
      </c>
      <c r="C39" s="39">
        <v>954265.98463507032</v>
      </c>
      <c r="D39" s="39">
        <v>1055475.2203500001</v>
      </c>
      <c r="E39" s="39">
        <v>1255185.1002933134</v>
      </c>
      <c r="F39" s="39">
        <v>2187255.5243500001</v>
      </c>
      <c r="G39" s="39">
        <v>1645904.4083485254</v>
      </c>
      <c r="H39" s="40">
        <v>0.16060017732607457</v>
      </c>
      <c r="I39" s="40">
        <v>-0.247502456834508</v>
      </c>
      <c r="J39" s="40">
        <v>-5.7593745486987258E-2</v>
      </c>
    </row>
    <row r="40" spans="1:10" ht="11.25" customHeight="1" x14ac:dyDescent="0.2">
      <c r="A40" s="48" t="s">
        <v>37</v>
      </c>
      <c r="B40" s="39">
        <v>0</v>
      </c>
      <c r="C40" s="39">
        <v>0</v>
      </c>
      <c r="D40" s="39">
        <v>581467.75479000004</v>
      </c>
      <c r="E40" s="39">
        <v>786217.45037231513</v>
      </c>
      <c r="F40" s="39">
        <v>2102085.5225500003</v>
      </c>
      <c r="G40" s="39">
        <v>1581814.1912426248</v>
      </c>
      <c r="H40" s="40">
        <v>0.35212562329662012</v>
      </c>
      <c r="I40" s="40">
        <v>-0.24750245683450822</v>
      </c>
      <c r="J40" s="40">
        <v>-0.11757606543135724</v>
      </c>
    </row>
    <row r="41" spans="1:10" ht="11.25" customHeight="1" x14ac:dyDescent="0.2">
      <c r="A41" s="49">
        <v>44440</v>
      </c>
      <c r="B41" s="39">
        <v>0</v>
      </c>
      <c r="C41" s="39">
        <v>0</v>
      </c>
      <c r="D41" s="39">
        <v>51168.611520000006</v>
      </c>
      <c r="E41" s="39">
        <v>69186.390744702643</v>
      </c>
      <c r="F41" s="39">
        <v>184981.53440000003</v>
      </c>
      <c r="G41" s="39">
        <v>139198.15016698296</v>
      </c>
      <c r="H41" s="40">
        <v>0.35212562329662056</v>
      </c>
      <c r="I41" s="40">
        <v>-0.247502456834508</v>
      </c>
      <c r="J41" s="40">
        <v>-0.11757606543135701</v>
      </c>
    </row>
    <row r="42" spans="1:10" ht="11.25" customHeight="1" x14ac:dyDescent="0.2">
      <c r="A42" s="49">
        <v>44470</v>
      </c>
      <c r="B42" s="39">
        <v>0</v>
      </c>
      <c r="C42" s="39">
        <v>0</v>
      </c>
      <c r="D42" s="39">
        <v>51777.154259999996</v>
      </c>
      <c r="E42" s="39">
        <v>70009.216976327763</v>
      </c>
      <c r="F42" s="39">
        <v>187181.49970000001</v>
      </c>
      <c r="G42" s="39">
        <v>140853.61865028227</v>
      </c>
      <c r="H42" s="40">
        <v>0.35212562329662056</v>
      </c>
      <c r="I42" s="40">
        <v>-0.24750245683450811</v>
      </c>
      <c r="J42" s="40">
        <v>-0.11757606543135712</v>
      </c>
    </row>
    <row r="43" spans="1:10" ht="11.25" customHeight="1" x14ac:dyDescent="0.2">
      <c r="A43" s="49">
        <v>44501</v>
      </c>
      <c r="B43" s="39">
        <v>0</v>
      </c>
      <c r="C43" s="39">
        <v>0</v>
      </c>
      <c r="D43" s="39">
        <v>49983.414390000005</v>
      </c>
      <c r="E43" s="39">
        <v>67583.855336572029</v>
      </c>
      <c r="F43" s="39">
        <v>180696.88455000005</v>
      </c>
      <c r="G43" s="39">
        <v>135973.96168153355</v>
      </c>
      <c r="H43" s="40">
        <v>0.35212562329662056</v>
      </c>
      <c r="I43" s="40">
        <v>-0.24750245683450822</v>
      </c>
      <c r="J43" s="40">
        <v>-0.11757606543135712</v>
      </c>
    </row>
    <row r="44" spans="1:10" ht="11.25" customHeight="1" x14ac:dyDescent="0.2">
      <c r="A44" s="49">
        <v>44531</v>
      </c>
      <c r="B44" s="39">
        <v>0</v>
      </c>
      <c r="C44" s="39">
        <v>0</v>
      </c>
      <c r="D44" s="39">
        <v>43385.351490000001</v>
      </c>
      <c r="E44" s="39">
        <v>58662.445425359212</v>
      </c>
      <c r="F44" s="39">
        <v>156843.98405</v>
      </c>
      <c r="G44" s="39">
        <v>118024.71265791261</v>
      </c>
      <c r="H44" s="40">
        <v>0.35212562329662056</v>
      </c>
      <c r="I44" s="40">
        <v>-0.247502456834508</v>
      </c>
      <c r="J44" s="40">
        <v>-0.11757606543135701</v>
      </c>
    </row>
    <row r="45" spans="1:10" ht="11.25" customHeight="1" x14ac:dyDescent="0.2">
      <c r="A45" s="49">
        <v>44562</v>
      </c>
      <c r="B45" s="39">
        <v>0</v>
      </c>
      <c r="C45" s="39">
        <v>0</v>
      </c>
      <c r="D45" s="39">
        <v>52020.232290000007</v>
      </c>
      <c r="E45" s="39">
        <v>70337.889009151229</v>
      </c>
      <c r="F45" s="39">
        <v>188060.26005000004</v>
      </c>
      <c r="G45" s="39">
        <v>141514.88365468854</v>
      </c>
      <c r="H45" s="40">
        <v>0.35212562329662012</v>
      </c>
      <c r="I45" s="40">
        <v>-0.24750245683450811</v>
      </c>
      <c r="J45" s="40">
        <v>-0.11757606543135712</v>
      </c>
    </row>
    <row r="46" spans="1:10" ht="11.25" customHeight="1" x14ac:dyDescent="0.2">
      <c r="A46" s="49">
        <v>44593</v>
      </c>
      <c r="B46" s="39">
        <v>0</v>
      </c>
      <c r="C46" s="39">
        <v>0</v>
      </c>
      <c r="D46" s="39">
        <v>50193.554580000004</v>
      </c>
      <c r="E46" s="39">
        <v>67867.991271955441</v>
      </c>
      <c r="F46" s="39">
        <v>181456.57010000001</v>
      </c>
      <c r="G46" s="39">
        <v>136545.6231914869</v>
      </c>
      <c r="H46" s="40">
        <v>0.35212562329662034</v>
      </c>
      <c r="I46" s="40">
        <v>-0.24750245683450789</v>
      </c>
      <c r="J46" s="40">
        <v>-0.1175760654313569</v>
      </c>
    </row>
    <row r="47" spans="1:10" ht="11.25" customHeight="1" x14ac:dyDescent="0.2">
      <c r="A47" s="49">
        <v>44621</v>
      </c>
      <c r="B47" s="39">
        <v>0</v>
      </c>
      <c r="C47" s="39">
        <v>0</v>
      </c>
      <c r="D47" s="39">
        <v>50397.155639999997</v>
      </c>
      <c r="E47" s="39">
        <v>68143.28548211178</v>
      </c>
      <c r="F47" s="39">
        <v>182192.6158</v>
      </c>
      <c r="G47" s="39">
        <v>137099.49577239438</v>
      </c>
      <c r="H47" s="40">
        <v>0.35212562329662034</v>
      </c>
      <c r="I47" s="40">
        <v>-0.24750245683450811</v>
      </c>
      <c r="J47" s="40">
        <v>-0.11757606543135712</v>
      </c>
    </row>
    <row r="48" spans="1:10" ht="11.25" customHeight="1" x14ac:dyDescent="0.2">
      <c r="A48" s="49">
        <v>44652</v>
      </c>
      <c r="B48" s="39">
        <v>0</v>
      </c>
      <c r="C48" s="39">
        <v>0</v>
      </c>
      <c r="D48" s="39">
        <v>47089.001700000008</v>
      </c>
      <c r="E48" s="39">
        <v>63670.245774028117</v>
      </c>
      <c r="F48" s="39">
        <v>170233.18650000001</v>
      </c>
      <c r="G48" s="39">
        <v>128100.054606483</v>
      </c>
      <c r="H48" s="40">
        <v>0.35212562329662012</v>
      </c>
      <c r="I48" s="40">
        <v>-0.24750245683450811</v>
      </c>
      <c r="J48" s="40">
        <v>-0.11757606543135712</v>
      </c>
    </row>
    <row r="49" spans="1:10" ht="11.25" customHeight="1" x14ac:dyDescent="0.2">
      <c r="A49" s="49">
        <v>44682</v>
      </c>
      <c r="B49" s="39">
        <v>0</v>
      </c>
      <c r="C49" s="39">
        <v>0</v>
      </c>
      <c r="D49" s="39">
        <v>49313.678310000003</v>
      </c>
      <c r="E49" s="39">
        <v>66678.288021957778</v>
      </c>
      <c r="F49" s="39">
        <v>178275.69695000001</v>
      </c>
      <c r="G49" s="39">
        <v>134152.0239609908</v>
      </c>
      <c r="H49" s="40">
        <v>0.35212562329662034</v>
      </c>
      <c r="I49" s="40">
        <v>-0.247502456834508</v>
      </c>
      <c r="J49" s="40">
        <v>-0.11757606543135701</v>
      </c>
    </row>
    <row r="50" spans="1:10" ht="11.25" customHeight="1" x14ac:dyDescent="0.2">
      <c r="A50" s="49">
        <v>44713</v>
      </c>
      <c r="B50" s="39">
        <v>0</v>
      </c>
      <c r="C50" s="39">
        <v>0</v>
      </c>
      <c r="D50" s="39">
        <v>48642.489090000003</v>
      </c>
      <c r="E50" s="39">
        <v>65770.755879515316</v>
      </c>
      <c r="F50" s="39">
        <v>175849.25605</v>
      </c>
      <c r="G50" s="39">
        <v>132326.13314510454</v>
      </c>
      <c r="H50" s="40">
        <v>0.35212562329662056</v>
      </c>
      <c r="I50" s="40">
        <v>-0.24750245683450789</v>
      </c>
      <c r="J50" s="40">
        <v>-0.11757606543135701</v>
      </c>
    </row>
    <row r="51" spans="1:10" ht="11.25" customHeight="1" x14ac:dyDescent="0.2">
      <c r="A51" s="49">
        <v>44743</v>
      </c>
      <c r="B51" s="39">
        <v>0</v>
      </c>
      <c r="C51" s="39">
        <v>0</v>
      </c>
      <c r="D51" s="39">
        <v>43748.555760000003</v>
      </c>
      <c r="E51" s="39">
        <v>59153.543225316942</v>
      </c>
      <c r="F51" s="39">
        <v>158157.0172</v>
      </c>
      <c r="G51" s="39">
        <v>119012.76687738244</v>
      </c>
      <c r="H51" s="40">
        <v>0.35212562329662012</v>
      </c>
      <c r="I51" s="40">
        <v>-0.24750245683450811</v>
      </c>
      <c r="J51" s="40">
        <v>-0.11757606543135724</v>
      </c>
    </row>
    <row r="52" spans="1:10" ht="11.25" customHeight="1" x14ac:dyDescent="0.2">
      <c r="A52" s="49">
        <v>44774</v>
      </c>
      <c r="B52" s="39">
        <v>0</v>
      </c>
      <c r="C52" s="39">
        <v>0</v>
      </c>
      <c r="D52" s="39">
        <v>43748.555760000003</v>
      </c>
      <c r="E52" s="39">
        <v>59153.543225316942</v>
      </c>
      <c r="F52" s="39">
        <v>158157.0172</v>
      </c>
      <c r="G52" s="39">
        <v>119012.76687738244</v>
      </c>
      <c r="H52" s="40">
        <v>0.35212562329662012</v>
      </c>
      <c r="I52" s="40">
        <v>-0.24750245683450811</v>
      </c>
      <c r="J52" s="40">
        <v>-0.11757606543135724</v>
      </c>
    </row>
    <row r="53" spans="1:10" ht="11.25" customHeight="1" x14ac:dyDescent="0.2">
      <c r="A53" s="48" t="s">
        <v>25</v>
      </c>
      <c r="B53" s="39">
        <v>848239.02</v>
      </c>
      <c r="C53" s="39">
        <v>954265.98463507032</v>
      </c>
      <c r="D53" s="39">
        <v>0</v>
      </c>
      <c r="E53" s="39">
        <v>0</v>
      </c>
      <c r="F53" s="39">
        <v>0</v>
      </c>
      <c r="G53" s="39">
        <v>0</v>
      </c>
      <c r="H53" s="40">
        <v>0.12499656598569353</v>
      </c>
      <c r="I53" s="40">
        <v>0</v>
      </c>
      <c r="J53" s="40">
        <v>0.12499656598569353</v>
      </c>
    </row>
    <row r="54" spans="1:10" ht="11.25" customHeight="1" x14ac:dyDescent="0.2">
      <c r="A54" s="49">
        <v>44440</v>
      </c>
      <c r="B54" s="39">
        <v>67793.22</v>
      </c>
      <c r="C54" s="39">
        <v>76267.139697112652</v>
      </c>
      <c r="D54" s="39">
        <v>0</v>
      </c>
      <c r="E54" s="39">
        <v>0</v>
      </c>
      <c r="F54" s="39">
        <v>0</v>
      </c>
      <c r="G54" s="39">
        <v>0</v>
      </c>
      <c r="H54" s="40">
        <v>0.12499656598569375</v>
      </c>
      <c r="I54" s="40">
        <v>0</v>
      </c>
      <c r="J54" s="40">
        <v>0.12499656598569375</v>
      </c>
    </row>
    <row r="55" spans="1:10" ht="11.25" customHeight="1" x14ac:dyDescent="0.2">
      <c r="A55" s="49">
        <v>44470</v>
      </c>
      <c r="B55" s="39">
        <v>67488.12</v>
      </c>
      <c r="C55" s="39">
        <v>75923.903244830421</v>
      </c>
      <c r="D55" s="39">
        <v>0</v>
      </c>
      <c r="E55" s="39">
        <v>0</v>
      </c>
      <c r="F55" s="39">
        <v>0</v>
      </c>
      <c r="G55" s="39">
        <v>0</v>
      </c>
      <c r="H55" s="40">
        <v>0.12499656598569397</v>
      </c>
      <c r="I55" s="40">
        <v>0</v>
      </c>
      <c r="J55" s="40">
        <v>0.12499656598569397</v>
      </c>
    </row>
    <row r="56" spans="1:10" ht="11.25" customHeight="1" x14ac:dyDescent="0.2">
      <c r="A56" s="49">
        <v>44501</v>
      </c>
      <c r="B56" s="39">
        <v>66837.239999999991</v>
      </c>
      <c r="C56" s="39">
        <v>75191.665479961666</v>
      </c>
      <c r="D56" s="39">
        <v>0</v>
      </c>
      <c r="E56" s="39">
        <v>0</v>
      </c>
      <c r="F56" s="39">
        <v>0</v>
      </c>
      <c r="G56" s="39">
        <v>0</v>
      </c>
      <c r="H56" s="40">
        <v>0.1249965659856942</v>
      </c>
      <c r="I56" s="40">
        <v>0</v>
      </c>
      <c r="J56" s="40">
        <v>0.1249965659856942</v>
      </c>
    </row>
    <row r="57" spans="1:10" ht="11.25" customHeight="1" x14ac:dyDescent="0.2">
      <c r="A57" s="49">
        <v>44531</v>
      </c>
      <c r="B57" s="39">
        <v>68159.34</v>
      </c>
      <c r="C57" s="39">
        <v>76679.023439851342</v>
      </c>
      <c r="D57" s="39">
        <v>0</v>
      </c>
      <c r="E57" s="39">
        <v>0</v>
      </c>
      <c r="F57" s="39">
        <v>0</v>
      </c>
      <c r="G57" s="39">
        <v>0</v>
      </c>
      <c r="H57" s="40">
        <v>0.12499656598569397</v>
      </c>
      <c r="I57" s="40">
        <v>0</v>
      </c>
      <c r="J57" s="40">
        <v>0.12499656598569397</v>
      </c>
    </row>
    <row r="58" spans="1:10" ht="11.25" customHeight="1" x14ac:dyDescent="0.2">
      <c r="A58" s="49">
        <v>44562</v>
      </c>
      <c r="B58" s="39">
        <v>69359.399999999994</v>
      </c>
      <c r="C58" s="39">
        <v>78029.086818828131</v>
      </c>
      <c r="D58" s="39">
        <v>0</v>
      </c>
      <c r="E58" s="39">
        <v>0</v>
      </c>
      <c r="F58" s="39">
        <v>0</v>
      </c>
      <c r="G58" s="39">
        <v>0</v>
      </c>
      <c r="H58" s="40">
        <v>0.12499656598569397</v>
      </c>
      <c r="I58" s="40">
        <v>0</v>
      </c>
      <c r="J58" s="40">
        <v>0.12499656598569397</v>
      </c>
    </row>
    <row r="59" spans="1:10" ht="11.25" customHeight="1" x14ac:dyDescent="0.2">
      <c r="A59" s="49">
        <v>44593</v>
      </c>
      <c r="B59" s="39">
        <v>67996.62</v>
      </c>
      <c r="C59" s="39">
        <v>76495.96399863415</v>
      </c>
      <c r="D59" s="39">
        <v>0</v>
      </c>
      <c r="E59" s="39">
        <v>0</v>
      </c>
      <c r="F59" s="39">
        <v>0</v>
      </c>
      <c r="G59" s="39">
        <v>0</v>
      </c>
      <c r="H59" s="40">
        <v>0.12499656598569397</v>
      </c>
      <c r="I59" s="40">
        <v>0</v>
      </c>
      <c r="J59" s="40">
        <v>0.12499656598569397</v>
      </c>
    </row>
    <row r="60" spans="1:10" ht="11.25" customHeight="1" x14ac:dyDescent="0.2">
      <c r="A60" s="49">
        <v>44621</v>
      </c>
      <c r="B60" s="39">
        <v>75054.600000000006</v>
      </c>
      <c r="C60" s="39">
        <v>84436.167261429859</v>
      </c>
      <c r="D60" s="39">
        <v>0</v>
      </c>
      <c r="E60" s="39">
        <v>0</v>
      </c>
      <c r="F60" s="39">
        <v>0</v>
      </c>
      <c r="G60" s="39">
        <v>0</v>
      </c>
      <c r="H60" s="40">
        <v>0.12499656598569375</v>
      </c>
      <c r="I60" s="40">
        <v>0</v>
      </c>
      <c r="J60" s="40">
        <v>0.12499656598569375</v>
      </c>
    </row>
    <row r="61" spans="1:10" ht="11.25" customHeight="1" x14ac:dyDescent="0.2">
      <c r="A61" s="49">
        <v>44652</v>
      </c>
      <c r="B61" s="39">
        <v>74607.12</v>
      </c>
      <c r="C61" s="39">
        <v>83932.753798082573</v>
      </c>
      <c r="D61" s="39">
        <v>0</v>
      </c>
      <c r="E61" s="39">
        <v>0</v>
      </c>
      <c r="F61" s="39">
        <v>0</v>
      </c>
      <c r="G61" s="39">
        <v>0</v>
      </c>
      <c r="H61" s="40">
        <v>0.12499656598569375</v>
      </c>
      <c r="I61" s="40">
        <v>0</v>
      </c>
      <c r="J61" s="40">
        <v>0.12499656598569375</v>
      </c>
    </row>
    <row r="62" spans="1:10" ht="11.25" customHeight="1" x14ac:dyDescent="0.2">
      <c r="A62" s="49">
        <v>44682</v>
      </c>
      <c r="B62" s="39">
        <v>74403.72</v>
      </c>
      <c r="C62" s="39">
        <v>83703.92949656109</v>
      </c>
      <c r="D62" s="39">
        <v>0</v>
      </c>
      <c r="E62" s="39">
        <v>0</v>
      </c>
      <c r="F62" s="39">
        <v>0</v>
      </c>
      <c r="G62" s="39">
        <v>0</v>
      </c>
      <c r="H62" s="40">
        <v>0.12499656598569375</v>
      </c>
      <c r="I62" s="40">
        <v>0</v>
      </c>
      <c r="J62" s="40">
        <v>0.12499656598569375</v>
      </c>
    </row>
    <row r="63" spans="1:10" ht="11.25" customHeight="1" x14ac:dyDescent="0.2">
      <c r="A63" s="49">
        <v>44713</v>
      </c>
      <c r="B63" s="39">
        <v>74647.799999999988</v>
      </c>
      <c r="C63" s="39">
        <v>83978.518658386878</v>
      </c>
      <c r="D63" s="39">
        <v>0</v>
      </c>
      <c r="E63" s="39">
        <v>0</v>
      </c>
      <c r="F63" s="39">
        <v>0</v>
      </c>
      <c r="G63" s="39">
        <v>0</v>
      </c>
      <c r="H63" s="40">
        <v>0.12499656598569397</v>
      </c>
      <c r="I63" s="40">
        <v>0</v>
      </c>
      <c r="J63" s="40">
        <v>0.12499656598569397</v>
      </c>
    </row>
    <row r="64" spans="1:10" ht="11.25" customHeight="1" x14ac:dyDescent="0.2">
      <c r="A64" s="49">
        <v>44743</v>
      </c>
      <c r="B64" s="39">
        <v>70945.919999999998</v>
      </c>
      <c r="C64" s="39">
        <v>79813.916370695762</v>
      </c>
      <c r="D64" s="39">
        <v>0</v>
      </c>
      <c r="E64" s="39">
        <v>0</v>
      </c>
      <c r="F64" s="39">
        <v>0</v>
      </c>
      <c r="G64" s="39">
        <v>0</v>
      </c>
      <c r="H64" s="40">
        <v>0.12499656598569397</v>
      </c>
      <c r="I64" s="40">
        <v>0</v>
      </c>
      <c r="J64" s="40">
        <v>0.12499656598569397</v>
      </c>
    </row>
    <row r="65" spans="1:10" ht="11.25" customHeight="1" x14ac:dyDescent="0.2">
      <c r="A65" s="49">
        <v>44774</v>
      </c>
      <c r="B65" s="39">
        <v>70945.919999999998</v>
      </c>
      <c r="C65" s="39">
        <v>79813.916370695762</v>
      </c>
      <c r="D65" s="39">
        <v>0</v>
      </c>
      <c r="E65" s="39">
        <v>0</v>
      </c>
      <c r="F65" s="39">
        <v>0</v>
      </c>
      <c r="G65" s="39">
        <v>0</v>
      </c>
      <c r="H65" s="40">
        <v>0.12499656598569397</v>
      </c>
      <c r="I65" s="40">
        <v>0</v>
      </c>
      <c r="J65" s="40">
        <v>0.12499656598569397</v>
      </c>
    </row>
    <row r="66" spans="1:10" ht="11.25" customHeight="1" x14ac:dyDescent="0.2">
      <c r="A66" s="48" t="s">
        <v>36</v>
      </c>
      <c r="B66" s="39">
        <v>0</v>
      </c>
      <c r="C66" s="39">
        <v>0</v>
      </c>
      <c r="D66" s="39">
        <v>474007.46556000004</v>
      </c>
      <c r="E66" s="39">
        <v>468967.64992099849</v>
      </c>
      <c r="F66" s="39">
        <v>85170.001800000013</v>
      </c>
      <c r="G66" s="39">
        <v>64090.21710590052</v>
      </c>
      <c r="H66" s="40">
        <v>-1.0632354984214221E-2</v>
      </c>
      <c r="I66" s="40">
        <v>-0.24750245683450811</v>
      </c>
      <c r="J66" s="40">
        <v>-4.6710752592405758E-2</v>
      </c>
    </row>
    <row r="67" spans="1:10" ht="11.25" customHeight="1" x14ac:dyDescent="0.2">
      <c r="A67" s="49">
        <v>44440</v>
      </c>
      <c r="B67" s="39">
        <v>0</v>
      </c>
      <c r="C67" s="39">
        <v>0</v>
      </c>
      <c r="D67" s="39">
        <v>30448.565419999999</v>
      </c>
      <c r="E67" s="39">
        <v>30124.825463694491</v>
      </c>
      <c r="F67" s="39">
        <v>5471.0201000000006</v>
      </c>
      <c r="G67" s="39">
        <v>4116.9291838590243</v>
      </c>
      <c r="H67" s="40">
        <v>-1.063235498421411E-2</v>
      </c>
      <c r="I67" s="40">
        <v>-0.24750245683450811</v>
      </c>
      <c r="J67" s="40">
        <v>-4.671075259240598E-2</v>
      </c>
    </row>
    <row r="68" spans="1:10" ht="11.25" customHeight="1" x14ac:dyDescent="0.2">
      <c r="A68" s="49">
        <v>44470</v>
      </c>
      <c r="B68" s="39">
        <v>0</v>
      </c>
      <c r="C68" s="39">
        <v>0</v>
      </c>
      <c r="D68" s="39">
        <v>30271.519989999997</v>
      </c>
      <c r="E68" s="39">
        <v>29949.662443554582</v>
      </c>
      <c r="F68" s="39">
        <v>5439.2084500000001</v>
      </c>
      <c r="G68" s="39">
        <v>4092.9909953899833</v>
      </c>
      <c r="H68" s="40">
        <v>-1.0632354984214221E-2</v>
      </c>
      <c r="I68" s="40">
        <v>-0.24750245683450811</v>
      </c>
      <c r="J68" s="40">
        <v>-4.6710752592405869E-2</v>
      </c>
    </row>
    <row r="69" spans="1:10" ht="11.25" customHeight="1" x14ac:dyDescent="0.2">
      <c r="A69" s="49">
        <v>44501</v>
      </c>
      <c r="B69" s="39">
        <v>0</v>
      </c>
      <c r="C69" s="39">
        <v>0</v>
      </c>
      <c r="D69" s="39">
        <v>28600.14616</v>
      </c>
      <c r="E69" s="39">
        <v>28296.059253426469</v>
      </c>
      <c r="F69" s="39">
        <v>5138.8948000000009</v>
      </c>
      <c r="G69" s="39">
        <v>3867.0057115859222</v>
      </c>
      <c r="H69" s="40">
        <v>-1.0632354984214221E-2</v>
      </c>
      <c r="I69" s="40">
        <v>-0.24750245683450822</v>
      </c>
      <c r="J69" s="40">
        <v>-4.6710752592405869E-2</v>
      </c>
    </row>
    <row r="70" spans="1:10" ht="11.25" customHeight="1" x14ac:dyDescent="0.2">
      <c r="A70" s="49">
        <v>44531</v>
      </c>
      <c r="B70" s="39">
        <v>0</v>
      </c>
      <c r="C70" s="39">
        <v>0</v>
      </c>
      <c r="D70" s="39">
        <v>30375.473269999999</v>
      </c>
      <c r="E70" s="39">
        <v>30052.510455379848</v>
      </c>
      <c r="F70" s="39">
        <v>5457.8868500000008</v>
      </c>
      <c r="G70" s="39">
        <v>4107.0464455002457</v>
      </c>
      <c r="H70" s="40">
        <v>-1.0632354984214221E-2</v>
      </c>
      <c r="I70" s="40">
        <v>-0.24750245683450822</v>
      </c>
      <c r="J70" s="40">
        <v>-4.6710752592405869E-2</v>
      </c>
    </row>
    <row r="71" spans="1:10" ht="11.25" customHeight="1" x14ac:dyDescent="0.2">
      <c r="A71" s="49">
        <v>44562</v>
      </c>
      <c r="B71" s="39">
        <v>0</v>
      </c>
      <c r="C71" s="39">
        <v>0</v>
      </c>
      <c r="D71" s="39">
        <v>35066.365030000001</v>
      </c>
      <c r="E71" s="39">
        <v>34693.526988995007</v>
      </c>
      <c r="F71" s="39">
        <v>6300.7496500000007</v>
      </c>
      <c r="G71" s="39">
        <v>4741.2986317258337</v>
      </c>
      <c r="H71" s="40">
        <v>-1.0632354984214221E-2</v>
      </c>
      <c r="I71" s="40">
        <v>-0.24750245683450811</v>
      </c>
      <c r="J71" s="40">
        <v>-4.6710752592405869E-2</v>
      </c>
    </row>
    <row r="72" spans="1:10" ht="11.25" customHeight="1" x14ac:dyDescent="0.2">
      <c r="A72" s="49">
        <v>44593</v>
      </c>
      <c r="B72" s="39">
        <v>0</v>
      </c>
      <c r="C72" s="39">
        <v>0</v>
      </c>
      <c r="D72" s="39">
        <v>32092.326659999999</v>
      </c>
      <c r="E72" s="39">
        <v>31751.109650681516</v>
      </c>
      <c r="F72" s="39">
        <v>5766.3723000000009</v>
      </c>
      <c r="G72" s="39">
        <v>4339.1809887275467</v>
      </c>
      <c r="H72" s="40">
        <v>-1.0632354984214221E-2</v>
      </c>
      <c r="I72" s="40">
        <v>-0.24750245683450822</v>
      </c>
      <c r="J72" s="40">
        <v>-4.6710752592406091E-2</v>
      </c>
    </row>
    <row r="73" spans="1:10" ht="11.25" customHeight="1" x14ac:dyDescent="0.2">
      <c r="A73" s="49">
        <v>44621</v>
      </c>
      <c r="B73" s="39">
        <v>0</v>
      </c>
      <c r="C73" s="39">
        <v>0</v>
      </c>
      <c r="D73" s="39">
        <v>85540.55528</v>
      </c>
      <c r="E73" s="39">
        <v>84631.057730716246</v>
      </c>
      <c r="F73" s="39">
        <v>15369.988400000002</v>
      </c>
      <c r="G73" s="39">
        <v>11565.878509482111</v>
      </c>
      <c r="H73" s="40">
        <v>-1.063235498421411E-2</v>
      </c>
      <c r="I73" s="40">
        <v>-0.24750245683450811</v>
      </c>
      <c r="J73" s="40">
        <v>-4.6710752592405869E-2</v>
      </c>
    </row>
    <row r="74" spans="1:10" ht="11.25" customHeight="1" x14ac:dyDescent="0.2">
      <c r="A74" s="49">
        <v>44652</v>
      </c>
      <c r="B74" s="39">
        <v>0</v>
      </c>
      <c r="C74" s="39">
        <v>0</v>
      </c>
      <c r="D74" s="39">
        <v>66315.695559999993</v>
      </c>
      <c r="E74" s="39">
        <v>65610.603543781006</v>
      </c>
      <c r="F74" s="39">
        <v>11915.651800000001</v>
      </c>
      <c r="G74" s="39">
        <v>8966.4987047154718</v>
      </c>
      <c r="H74" s="40">
        <v>-1.0632354984213999E-2</v>
      </c>
      <c r="I74" s="40">
        <v>-0.24750245683450811</v>
      </c>
      <c r="J74" s="40">
        <v>-4.6710752592405869E-2</v>
      </c>
    </row>
    <row r="75" spans="1:10" ht="11.25" customHeight="1" x14ac:dyDescent="0.2">
      <c r="A75" s="49">
        <v>44682</v>
      </c>
      <c r="B75" s="39">
        <v>0</v>
      </c>
      <c r="C75" s="39">
        <v>0</v>
      </c>
      <c r="D75" s="39">
        <v>27011.610099999998</v>
      </c>
      <c r="E75" s="39">
        <v>26724.413072721614</v>
      </c>
      <c r="F75" s="39">
        <v>4853.4655000000002</v>
      </c>
      <c r="G75" s="39">
        <v>3652.2208645884762</v>
      </c>
      <c r="H75" s="40">
        <v>-1.063235498421411E-2</v>
      </c>
      <c r="I75" s="40">
        <v>-0.247502456834508</v>
      </c>
      <c r="J75" s="40">
        <v>-4.6710752592405869E-2</v>
      </c>
    </row>
    <row r="76" spans="1:10" ht="11.25" customHeight="1" x14ac:dyDescent="0.2">
      <c r="A76" s="49">
        <v>44713</v>
      </c>
      <c r="B76" s="39">
        <v>0</v>
      </c>
      <c r="C76" s="39">
        <v>0</v>
      </c>
      <c r="D76" s="39">
        <v>32711.17353</v>
      </c>
      <c r="E76" s="39">
        <v>32363.376721078806</v>
      </c>
      <c r="F76" s="39">
        <v>5877.5671500000008</v>
      </c>
      <c r="G76" s="39">
        <v>4422.8548401652024</v>
      </c>
      <c r="H76" s="40">
        <v>-1.0632354984214221E-2</v>
      </c>
      <c r="I76" s="40">
        <v>-0.24750245683450811</v>
      </c>
      <c r="J76" s="40">
        <v>-4.6710752592406091E-2</v>
      </c>
    </row>
    <row r="77" spans="1:10" ht="11.25" customHeight="1" x14ac:dyDescent="0.2">
      <c r="A77" s="49">
        <v>44743</v>
      </c>
      <c r="B77" s="39">
        <v>0</v>
      </c>
      <c r="C77" s="39">
        <v>0</v>
      </c>
      <c r="D77" s="39">
        <v>37787.01728</v>
      </c>
      <c r="E77" s="39">
        <v>37385.252298484411</v>
      </c>
      <c r="F77" s="39">
        <v>6789.5984000000008</v>
      </c>
      <c r="G77" s="39">
        <v>5109.1561150803554</v>
      </c>
      <c r="H77" s="40">
        <v>-1.0632354984213999E-2</v>
      </c>
      <c r="I77" s="40">
        <v>-0.24750245683450811</v>
      </c>
      <c r="J77" s="40">
        <v>-4.6710752592405869E-2</v>
      </c>
    </row>
    <row r="78" spans="1:10" ht="11.25" customHeight="1" x14ac:dyDescent="0.2">
      <c r="A78" s="49">
        <v>44774</v>
      </c>
      <c r="B78" s="39">
        <v>0</v>
      </c>
      <c r="C78" s="39">
        <v>0</v>
      </c>
      <c r="D78" s="39">
        <v>37787.01728</v>
      </c>
      <c r="E78" s="39">
        <v>37385.252298484411</v>
      </c>
      <c r="F78" s="39">
        <v>6789.5984000000008</v>
      </c>
      <c r="G78" s="39">
        <v>5109.1561150803554</v>
      </c>
      <c r="H78" s="40">
        <v>-1.0632354984213999E-2</v>
      </c>
      <c r="I78" s="40">
        <v>-0.24750245683450811</v>
      </c>
      <c r="J78" s="40">
        <v>-4.6710752592405869E-2</v>
      </c>
    </row>
    <row r="79" spans="1:10" ht="11.25" customHeight="1" x14ac:dyDescent="0.2">
      <c r="A79" s="44" t="s">
        <v>41</v>
      </c>
      <c r="B79" s="39">
        <v>9977.9903999999988</v>
      </c>
      <c r="C79" s="39">
        <v>11225.20493543822</v>
      </c>
      <c r="D79" s="39">
        <v>15315.816864</v>
      </c>
      <c r="E79" s="39">
        <v>17500.551689478583</v>
      </c>
      <c r="F79" s="39">
        <v>24984.414624000005</v>
      </c>
      <c r="G79" s="39">
        <v>18800.71062198799</v>
      </c>
      <c r="H79" s="40">
        <v>0.13568338388509038</v>
      </c>
      <c r="I79" s="40">
        <v>-0.24750245683450811</v>
      </c>
      <c r="J79" s="40">
        <v>-5.4730548093467335E-2</v>
      </c>
    </row>
    <row r="80" spans="1:10" ht="11.25" customHeight="1" x14ac:dyDescent="0.2">
      <c r="A80" s="45" t="s">
        <v>25</v>
      </c>
      <c r="B80" s="39">
        <v>9977.9903999999988</v>
      </c>
      <c r="C80" s="39">
        <v>11225.20493543822</v>
      </c>
      <c r="D80" s="39">
        <v>15315.816864</v>
      </c>
      <c r="E80" s="39">
        <v>17500.551689478583</v>
      </c>
      <c r="F80" s="39">
        <v>24984.414624000005</v>
      </c>
      <c r="G80" s="39">
        <v>18800.71062198799</v>
      </c>
      <c r="H80" s="40">
        <v>0.13568338388509038</v>
      </c>
      <c r="I80" s="40">
        <v>-0.24750245683450811</v>
      </c>
      <c r="J80" s="40">
        <v>-5.4730548093467335E-2</v>
      </c>
    </row>
    <row r="81" spans="1:10" ht="11.25" customHeight="1" x14ac:dyDescent="0.2">
      <c r="A81" s="46" t="s">
        <v>25</v>
      </c>
      <c r="B81" s="39">
        <v>9977.9903999999988</v>
      </c>
      <c r="C81" s="39">
        <v>11225.20493543822</v>
      </c>
      <c r="D81" s="39">
        <v>15315.816864</v>
      </c>
      <c r="E81" s="39">
        <v>17500.551689478583</v>
      </c>
      <c r="F81" s="39">
        <v>24984.414624000005</v>
      </c>
      <c r="G81" s="39">
        <v>18800.71062198799</v>
      </c>
      <c r="H81" s="40">
        <v>0.13568338388509038</v>
      </c>
      <c r="I81" s="40">
        <v>-0.24750245683450811</v>
      </c>
      <c r="J81" s="40">
        <v>-5.4730548093467335E-2</v>
      </c>
    </row>
    <row r="82" spans="1:10" ht="11.25" customHeight="1" x14ac:dyDescent="0.2">
      <c r="A82" s="47" t="s">
        <v>25</v>
      </c>
      <c r="B82" s="39">
        <v>9977.9903999999988</v>
      </c>
      <c r="C82" s="39">
        <v>11225.20493543822</v>
      </c>
      <c r="D82" s="39">
        <v>15315.816864</v>
      </c>
      <c r="E82" s="39">
        <v>17500.551689478583</v>
      </c>
      <c r="F82" s="39">
        <v>24984.414624000005</v>
      </c>
      <c r="G82" s="39">
        <v>18800.71062198799</v>
      </c>
      <c r="H82" s="40">
        <v>0.13568338388509038</v>
      </c>
      <c r="I82" s="40">
        <v>-0.24750245683450811</v>
      </c>
      <c r="J82" s="40">
        <v>-5.4730548093467335E-2</v>
      </c>
    </row>
    <row r="83" spans="1:10" ht="11.25" customHeight="1" x14ac:dyDescent="0.2">
      <c r="A83" s="48" t="s">
        <v>37</v>
      </c>
      <c r="B83" s="39">
        <v>0</v>
      </c>
      <c r="C83" s="39">
        <v>0</v>
      </c>
      <c r="D83" s="39">
        <v>6471.4718015999997</v>
      </c>
      <c r="E83" s="39">
        <v>8750.2428433849036</v>
      </c>
      <c r="F83" s="39">
        <v>23395.256352</v>
      </c>
      <c r="G83" s="39">
        <v>17604.872926606869</v>
      </c>
      <c r="H83" s="40">
        <v>0.35212562329662056</v>
      </c>
      <c r="I83" s="40">
        <v>-0.24750245683450811</v>
      </c>
      <c r="J83" s="40">
        <v>-0.11757606543135701</v>
      </c>
    </row>
    <row r="84" spans="1:10" ht="11.25" customHeight="1" x14ac:dyDescent="0.2">
      <c r="A84" s="49">
        <v>44501</v>
      </c>
      <c r="B84" s="39">
        <v>0</v>
      </c>
      <c r="C84" s="39">
        <v>0</v>
      </c>
      <c r="D84" s="39">
        <v>178.71684480000002</v>
      </c>
      <c r="E84" s="39">
        <v>241.6476251688054</v>
      </c>
      <c r="F84" s="39">
        <v>646.08585600000015</v>
      </c>
      <c r="G84" s="39">
        <v>486.17801931397389</v>
      </c>
      <c r="H84" s="40">
        <v>0.35212562329662034</v>
      </c>
      <c r="I84" s="40">
        <v>-0.24750245683450811</v>
      </c>
      <c r="J84" s="40">
        <v>-0.11757606543135701</v>
      </c>
    </row>
    <row r="85" spans="1:10" ht="11.25" customHeight="1" x14ac:dyDescent="0.2">
      <c r="A85" s="49">
        <v>44531</v>
      </c>
      <c r="B85" s="39">
        <v>0</v>
      </c>
      <c r="C85" s="39">
        <v>0</v>
      </c>
      <c r="D85" s="39">
        <v>561.88080000000002</v>
      </c>
      <c r="E85" s="39">
        <v>759.73342691840367</v>
      </c>
      <c r="F85" s="39">
        <v>2031.2760000000001</v>
      </c>
      <c r="G85" s="39">
        <v>1528.5301994910278</v>
      </c>
      <c r="H85" s="40">
        <v>0.35212562329662034</v>
      </c>
      <c r="I85" s="40">
        <v>-0.24750245683450811</v>
      </c>
      <c r="J85" s="40">
        <v>-0.11757606543135701</v>
      </c>
    </row>
    <row r="86" spans="1:10" ht="11.25" customHeight="1" x14ac:dyDescent="0.2">
      <c r="A86" s="49">
        <v>44562</v>
      </c>
      <c r="B86" s="39">
        <v>0</v>
      </c>
      <c r="C86" s="39">
        <v>0</v>
      </c>
      <c r="D86" s="39">
        <v>968.06249279999997</v>
      </c>
      <c r="E86" s="39">
        <v>1308.9421014672801</v>
      </c>
      <c r="F86" s="39">
        <v>3499.6784159999997</v>
      </c>
      <c r="G86" s="39">
        <v>2633.4994099093001</v>
      </c>
      <c r="H86" s="40">
        <v>0.35212562329662034</v>
      </c>
      <c r="I86" s="40">
        <v>-0.24750245683450811</v>
      </c>
      <c r="J86" s="40">
        <v>-0.11757606543135712</v>
      </c>
    </row>
    <row r="87" spans="1:10" ht="11.25" customHeight="1" x14ac:dyDescent="0.2">
      <c r="A87" s="49">
        <v>44593</v>
      </c>
      <c r="B87" s="39">
        <v>0</v>
      </c>
      <c r="C87" s="39">
        <v>0</v>
      </c>
      <c r="D87" s="39">
        <v>684.56456639999999</v>
      </c>
      <c r="E87" s="39">
        <v>925.61729103038067</v>
      </c>
      <c r="F87" s="39">
        <v>2474.7946080000002</v>
      </c>
      <c r="G87" s="39">
        <v>1862.2768623592069</v>
      </c>
      <c r="H87" s="40">
        <v>0.35212562329662034</v>
      </c>
      <c r="I87" s="40">
        <v>-0.247502456834508</v>
      </c>
      <c r="J87" s="40">
        <v>-0.11757606543135701</v>
      </c>
    </row>
    <row r="88" spans="1:10" ht="11.25" customHeight="1" x14ac:dyDescent="0.2">
      <c r="A88" s="49">
        <v>44621</v>
      </c>
      <c r="B88" s="39">
        <v>0</v>
      </c>
      <c r="C88" s="39">
        <v>0</v>
      </c>
      <c r="D88" s="39">
        <v>940.31720640000003</v>
      </c>
      <c r="E88" s="39">
        <v>1271.4269888001368</v>
      </c>
      <c r="F88" s="39">
        <v>3399.3754079999999</v>
      </c>
      <c r="G88" s="39">
        <v>2558.0216428171916</v>
      </c>
      <c r="H88" s="40">
        <v>0.35212562329662034</v>
      </c>
      <c r="I88" s="40">
        <v>-0.24750245683450811</v>
      </c>
      <c r="J88" s="40">
        <v>-0.11757606543135712</v>
      </c>
    </row>
    <row r="89" spans="1:10" ht="11.25" customHeight="1" x14ac:dyDescent="0.2">
      <c r="A89" s="49">
        <v>44652</v>
      </c>
      <c r="B89" s="39">
        <v>0</v>
      </c>
      <c r="C89" s="39">
        <v>0</v>
      </c>
      <c r="D89" s="39">
        <v>765.08789760000002</v>
      </c>
      <c r="E89" s="39">
        <v>1034.4949504191009</v>
      </c>
      <c r="F89" s="39">
        <v>2765.8974720000001</v>
      </c>
      <c r="G89" s="39">
        <v>2081.331052327645</v>
      </c>
      <c r="H89" s="40">
        <v>0.35212562329662034</v>
      </c>
      <c r="I89" s="40">
        <v>-0.24750245683450811</v>
      </c>
      <c r="J89" s="40">
        <v>-0.11757606543135712</v>
      </c>
    </row>
    <row r="90" spans="1:10" ht="11.25" customHeight="1" x14ac:dyDescent="0.2">
      <c r="A90" s="49">
        <v>44682</v>
      </c>
      <c r="B90" s="39">
        <v>0</v>
      </c>
      <c r="C90" s="39">
        <v>0</v>
      </c>
      <c r="D90" s="39">
        <v>554.98322880000001</v>
      </c>
      <c r="E90" s="39">
        <v>750.4070441603709</v>
      </c>
      <c r="F90" s="39">
        <v>2006.340336</v>
      </c>
      <c r="G90" s="39">
        <v>1509.7661735938277</v>
      </c>
      <c r="H90" s="40">
        <v>0.35212562329662034</v>
      </c>
      <c r="I90" s="40">
        <v>-0.247502456834508</v>
      </c>
      <c r="J90" s="40">
        <v>-0.11757606543135701</v>
      </c>
    </row>
    <row r="91" spans="1:10" ht="11.25" customHeight="1" x14ac:dyDescent="0.2">
      <c r="A91" s="49">
        <v>44713</v>
      </c>
      <c r="B91" s="39">
        <v>0</v>
      </c>
      <c r="C91" s="39">
        <v>0</v>
      </c>
      <c r="D91" s="39">
        <v>572.26590720000002</v>
      </c>
      <c r="E91" s="39">
        <v>773.77539646420587</v>
      </c>
      <c r="F91" s="39">
        <v>2068.8195840000003</v>
      </c>
      <c r="G91" s="39">
        <v>1556.7816542126552</v>
      </c>
      <c r="H91" s="40">
        <v>0.35212562329662034</v>
      </c>
      <c r="I91" s="40">
        <v>-0.24750245683450811</v>
      </c>
      <c r="J91" s="40">
        <v>-0.11757606543135724</v>
      </c>
    </row>
    <row r="92" spans="1:10" ht="11.25" customHeight="1" x14ac:dyDescent="0.2">
      <c r="A92" s="49">
        <v>44743</v>
      </c>
      <c r="B92" s="39">
        <v>0</v>
      </c>
      <c r="C92" s="39">
        <v>0</v>
      </c>
      <c r="D92" s="39">
        <v>622.79642880000006</v>
      </c>
      <c r="E92" s="39">
        <v>842.09900947810922</v>
      </c>
      <c r="F92" s="39">
        <v>2251.4943360000002</v>
      </c>
      <c r="G92" s="39">
        <v>1694.2439562910206</v>
      </c>
      <c r="H92" s="40">
        <v>0.35212562329662012</v>
      </c>
      <c r="I92" s="40">
        <v>-0.24750245683450811</v>
      </c>
      <c r="J92" s="40">
        <v>-0.11757606543135701</v>
      </c>
    </row>
    <row r="93" spans="1:10" ht="11.25" customHeight="1" x14ac:dyDescent="0.2">
      <c r="A93" s="49">
        <v>44774</v>
      </c>
      <c r="B93" s="39">
        <v>0</v>
      </c>
      <c r="C93" s="39">
        <v>0</v>
      </c>
      <c r="D93" s="39">
        <v>622.79642880000006</v>
      </c>
      <c r="E93" s="39">
        <v>842.09900947810922</v>
      </c>
      <c r="F93" s="39">
        <v>2251.4943360000002</v>
      </c>
      <c r="G93" s="39">
        <v>1694.2439562910206</v>
      </c>
      <c r="H93" s="40">
        <v>0.35212562329662012</v>
      </c>
      <c r="I93" s="40">
        <v>-0.24750245683450811</v>
      </c>
      <c r="J93" s="40">
        <v>-0.11757606543135701</v>
      </c>
    </row>
    <row r="94" spans="1:10" ht="11.25" customHeight="1" x14ac:dyDescent="0.2">
      <c r="A94" s="48" t="s">
        <v>25</v>
      </c>
      <c r="B94" s="39">
        <v>9977.9903999999988</v>
      </c>
      <c r="C94" s="39">
        <v>11225.20493543822</v>
      </c>
      <c r="D94" s="39">
        <v>0</v>
      </c>
      <c r="E94" s="39">
        <v>0</v>
      </c>
      <c r="F94" s="39">
        <v>0</v>
      </c>
      <c r="G94" s="39">
        <v>0</v>
      </c>
      <c r="H94" s="40">
        <v>0.12499656598569397</v>
      </c>
      <c r="I94" s="40">
        <v>0</v>
      </c>
      <c r="J94" s="40">
        <v>0.12499656598569397</v>
      </c>
    </row>
    <row r="95" spans="1:10" ht="11.25" customHeight="1" x14ac:dyDescent="0.2">
      <c r="A95" s="49">
        <v>44501</v>
      </c>
      <c r="B95" s="39">
        <v>976.31999999999994</v>
      </c>
      <c r="C95" s="39">
        <v>1098.3566473031526</v>
      </c>
      <c r="D95" s="39">
        <v>0</v>
      </c>
      <c r="E95" s="39">
        <v>0</v>
      </c>
      <c r="F95" s="39">
        <v>0</v>
      </c>
      <c r="G95" s="39">
        <v>0</v>
      </c>
      <c r="H95" s="40">
        <v>0.12499656598569397</v>
      </c>
      <c r="I95" s="40">
        <v>0</v>
      </c>
      <c r="J95" s="40">
        <v>0.12499656598569397</v>
      </c>
    </row>
    <row r="96" spans="1:10" ht="11.25" customHeight="1" x14ac:dyDescent="0.2">
      <c r="A96" s="49">
        <v>44531</v>
      </c>
      <c r="B96" s="39">
        <v>976.31999999999994</v>
      </c>
      <c r="C96" s="39">
        <v>1098.3566473031526</v>
      </c>
      <c r="D96" s="39">
        <v>0</v>
      </c>
      <c r="E96" s="39">
        <v>0</v>
      </c>
      <c r="F96" s="39">
        <v>0</v>
      </c>
      <c r="G96" s="39">
        <v>0</v>
      </c>
      <c r="H96" s="40">
        <v>0.12499656598569397</v>
      </c>
      <c r="I96" s="40">
        <v>0</v>
      </c>
      <c r="J96" s="40">
        <v>0.12499656598569397</v>
      </c>
    </row>
    <row r="97" spans="1:10" ht="11.25" customHeight="1" x14ac:dyDescent="0.2">
      <c r="A97" s="49">
        <v>44562</v>
      </c>
      <c r="B97" s="39">
        <v>1073.952</v>
      </c>
      <c r="C97" s="39">
        <v>1208.1923120334677</v>
      </c>
      <c r="D97" s="39">
        <v>0</v>
      </c>
      <c r="E97" s="39">
        <v>0</v>
      </c>
      <c r="F97" s="39">
        <v>0</v>
      </c>
      <c r="G97" s="39">
        <v>0</v>
      </c>
      <c r="H97" s="40">
        <v>0.12499656598569375</v>
      </c>
      <c r="I97" s="40">
        <v>0</v>
      </c>
      <c r="J97" s="40">
        <v>0.12499656598569375</v>
      </c>
    </row>
    <row r="98" spans="1:10" ht="11.25" customHeight="1" x14ac:dyDescent="0.2">
      <c r="A98" s="49">
        <v>44593</v>
      </c>
      <c r="B98" s="39">
        <v>976.31999999999994</v>
      </c>
      <c r="C98" s="39">
        <v>1098.3566473031526</v>
      </c>
      <c r="D98" s="39">
        <v>0</v>
      </c>
      <c r="E98" s="39">
        <v>0</v>
      </c>
      <c r="F98" s="39">
        <v>0</v>
      </c>
      <c r="G98" s="39">
        <v>0</v>
      </c>
      <c r="H98" s="40">
        <v>0.12499656598569397</v>
      </c>
      <c r="I98" s="40">
        <v>0</v>
      </c>
      <c r="J98" s="40">
        <v>0.12499656598569397</v>
      </c>
    </row>
    <row r="99" spans="1:10" ht="11.25" customHeight="1" x14ac:dyDescent="0.2">
      <c r="A99" s="49">
        <v>44621</v>
      </c>
      <c r="B99" s="39">
        <v>1054.4255999999998</v>
      </c>
      <c r="C99" s="39">
        <v>1186.2251790874047</v>
      </c>
      <c r="D99" s="39">
        <v>0</v>
      </c>
      <c r="E99" s="39">
        <v>0</v>
      </c>
      <c r="F99" s="39">
        <v>0</v>
      </c>
      <c r="G99" s="39">
        <v>0</v>
      </c>
      <c r="H99" s="40">
        <v>0.12499656598569397</v>
      </c>
      <c r="I99" s="40">
        <v>0</v>
      </c>
      <c r="J99" s="40">
        <v>0.12499656598569397</v>
      </c>
    </row>
    <row r="100" spans="1:10" ht="11.25" customHeight="1" x14ac:dyDescent="0.2">
      <c r="A100" s="49">
        <v>44652</v>
      </c>
      <c r="B100" s="39">
        <v>1015.3728</v>
      </c>
      <c r="C100" s="39">
        <v>1142.2909131952788</v>
      </c>
      <c r="D100" s="39">
        <v>0</v>
      </c>
      <c r="E100" s="39">
        <v>0</v>
      </c>
      <c r="F100" s="39">
        <v>0</v>
      </c>
      <c r="G100" s="39">
        <v>0</v>
      </c>
      <c r="H100" s="40">
        <v>0.12499656598569397</v>
      </c>
      <c r="I100" s="40">
        <v>0</v>
      </c>
      <c r="J100" s="40">
        <v>0.12499656598569397</v>
      </c>
    </row>
    <row r="101" spans="1:10" ht="11.25" customHeight="1" x14ac:dyDescent="0.2">
      <c r="A101" s="49">
        <v>44682</v>
      </c>
      <c r="B101" s="39">
        <v>976.31999999999994</v>
      </c>
      <c r="C101" s="39">
        <v>1098.3566473031526</v>
      </c>
      <c r="D101" s="39">
        <v>0</v>
      </c>
      <c r="E101" s="39">
        <v>0</v>
      </c>
      <c r="F101" s="39">
        <v>0</v>
      </c>
      <c r="G101" s="39">
        <v>0</v>
      </c>
      <c r="H101" s="40">
        <v>0.12499656598569397</v>
      </c>
      <c r="I101" s="40">
        <v>0</v>
      </c>
      <c r="J101" s="40">
        <v>0.12499656598569397</v>
      </c>
    </row>
    <row r="102" spans="1:10" ht="11.25" customHeight="1" x14ac:dyDescent="0.2">
      <c r="A102" s="49">
        <v>44713</v>
      </c>
      <c r="B102" s="39">
        <v>976.31999999999994</v>
      </c>
      <c r="C102" s="39">
        <v>1098.3566473031526</v>
      </c>
      <c r="D102" s="39">
        <v>0</v>
      </c>
      <c r="E102" s="39">
        <v>0</v>
      </c>
      <c r="F102" s="39">
        <v>0</v>
      </c>
      <c r="G102" s="39">
        <v>0</v>
      </c>
      <c r="H102" s="40">
        <v>0.12499656598569397</v>
      </c>
      <c r="I102" s="40">
        <v>0</v>
      </c>
      <c r="J102" s="40">
        <v>0.12499656598569397</v>
      </c>
    </row>
    <row r="103" spans="1:10" ht="11.25" customHeight="1" x14ac:dyDescent="0.2">
      <c r="A103" s="49">
        <v>44743</v>
      </c>
      <c r="B103" s="39">
        <v>976.31999999999994</v>
      </c>
      <c r="C103" s="39">
        <v>1098.3566473031526</v>
      </c>
      <c r="D103" s="39">
        <v>0</v>
      </c>
      <c r="E103" s="39">
        <v>0</v>
      </c>
      <c r="F103" s="39">
        <v>0</v>
      </c>
      <c r="G103" s="39">
        <v>0</v>
      </c>
      <c r="H103" s="40">
        <v>0.12499656598569397</v>
      </c>
      <c r="I103" s="40">
        <v>0</v>
      </c>
      <c r="J103" s="40">
        <v>0.12499656598569397</v>
      </c>
    </row>
    <row r="104" spans="1:10" ht="11.25" customHeight="1" x14ac:dyDescent="0.2">
      <c r="A104" s="49">
        <v>44774</v>
      </c>
      <c r="B104" s="39">
        <v>976.31999999999994</v>
      </c>
      <c r="C104" s="39">
        <v>1098.3566473031526</v>
      </c>
      <c r="D104" s="39">
        <v>0</v>
      </c>
      <c r="E104" s="39">
        <v>0</v>
      </c>
      <c r="F104" s="39">
        <v>0</v>
      </c>
      <c r="G104" s="39">
        <v>0</v>
      </c>
      <c r="H104" s="40">
        <v>0.12499656598569397</v>
      </c>
      <c r="I104" s="40">
        <v>0</v>
      </c>
      <c r="J104" s="40">
        <v>0.12499656598569397</v>
      </c>
    </row>
    <row r="105" spans="1:10" ht="11.25" customHeight="1" x14ac:dyDescent="0.2">
      <c r="A105" s="48" t="s">
        <v>36</v>
      </c>
      <c r="B105" s="39">
        <v>0</v>
      </c>
      <c r="C105" s="39">
        <v>0</v>
      </c>
      <c r="D105" s="39">
        <v>8844.3450623999997</v>
      </c>
      <c r="E105" s="39">
        <v>8750.3088460936815</v>
      </c>
      <c r="F105" s="39">
        <v>1589.1582720000001</v>
      </c>
      <c r="G105" s="39">
        <v>1195.8376953811187</v>
      </c>
      <c r="H105" s="40">
        <v>-1.063235498421411E-2</v>
      </c>
      <c r="I105" s="40">
        <v>-0.247502456834508</v>
      </c>
      <c r="J105" s="40">
        <v>-4.6710752592405869E-2</v>
      </c>
    </row>
    <row r="106" spans="1:10" ht="11.25" customHeight="1" x14ac:dyDescent="0.2">
      <c r="A106" s="49">
        <v>44501</v>
      </c>
      <c r="B106" s="39">
        <v>0</v>
      </c>
      <c r="C106" s="39">
        <v>0</v>
      </c>
      <c r="D106" s="39">
        <v>1094.6280383999999</v>
      </c>
      <c r="E106" s="39">
        <v>1082.989564520057</v>
      </c>
      <c r="F106" s="39">
        <v>196.68355199999999</v>
      </c>
      <c r="G106" s="39">
        <v>148.00388966106229</v>
      </c>
      <c r="H106" s="40">
        <v>-1.0632354984214221E-2</v>
      </c>
      <c r="I106" s="40">
        <v>-0.247502456834508</v>
      </c>
      <c r="J106" s="40">
        <v>-4.671075259240598E-2</v>
      </c>
    </row>
    <row r="107" spans="1:10" ht="11.25" customHeight="1" x14ac:dyDescent="0.2">
      <c r="A107" s="49">
        <v>44531</v>
      </c>
      <c r="B107" s="39">
        <v>0</v>
      </c>
      <c r="C107" s="39">
        <v>0</v>
      </c>
      <c r="D107" s="39">
        <v>1247.4393600000001</v>
      </c>
      <c r="E107" s="39">
        <v>1234.1761419031991</v>
      </c>
      <c r="F107" s="39">
        <v>224.14080000000001</v>
      </c>
      <c r="G107" s="39">
        <v>168.6654013231479</v>
      </c>
      <c r="H107" s="40">
        <v>-1.0632354984214221E-2</v>
      </c>
      <c r="I107" s="40">
        <v>-0.24750245683450811</v>
      </c>
      <c r="J107" s="40">
        <v>-4.6710752592405758E-2</v>
      </c>
    </row>
    <row r="108" spans="1:10" ht="11.25" customHeight="1" x14ac:dyDescent="0.2">
      <c r="A108" s="49">
        <v>44562</v>
      </c>
      <c r="B108" s="39">
        <v>0</v>
      </c>
      <c r="C108" s="39">
        <v>0</v>
      </c>
      <c r="D108" s="39">
        <v>1358.1496032</v>
      </c>
      <c r="E108" s="39">
        <v>1343.709274497108</v>
      </c>
      <c r="F108" s="39">
        <v>244.03329600000004</v>
      </c>
      <c r="G108" s="39">
        <v>183.63445569057728</v>
      </c>
      <c r="H108" s="40">
        <v>-1.063235498421411E-2</v>
      </c>
      <c r="I108" s="40">
        <v>-0.24750245683450811</v>
      </c>
      <c r="J108" s="40">
        <v>-4.671075259240598E-2</v>
      </c>
    </row>
    <row r="109" spans="1:10" ht="11.25" customHeight="1" x14ac:dyDescent="0.2">
      <c r="A109" s="49">
        <v>44593</v>
      </c>
      <c r="B109" s="39">
        <v>0</v>
      </c>
      <c r="C109" s="39">
        <v>0</v>
      </c>
      <c r="D109" s="39">
        <v>1068.119952</v>
      </c>
      <c r="E109" s="39">
        <v>1056.7633215046142</v>
      </c>
      <c r="F109" s="39">
        <v>191.92056000000002</v>
      </c>
      <c r="G109" s="39">
        <v>144.41974988294541</v>
      </c>
      <c r="H109" s="40">
        <v>-1.0632354984214221E-2</v>
      </c>
      <c r="I109" s="40">
        <v>-0.247502456834508</v>
      </c>
      <c r="J109" s="40">
        <v>-4.671075259240598E-2</v>
      </c>
    </row>
    <row r="110" spans="1:10" ht="11.25" customHeight="1" x14ac:dyDescent="0.2">
      <c r="A110" s="49">
        <v>44621</v>
      </c>
      <c r="B110" s="39">
        <v>0</v>
      </c>
      <c r="C110" s="39">
        <v>0</v>
      </c>
      <c r="D110" s="39">
        <v>753.14151359999994</v>
      </c>
      <c r="E110" s="39">
        <v>745.13384567405637</v>
      </c>
      <c r="F110" s="39">
        <v>135.325008</v>
      </c>
      <c r="G110" s="39">
        <v>101.83173604885054</v>
      </c>
      <c r="H110" s="40">
        <v>-1.0632354984214221E-2</v>
      </c>
      <c r="I110" s="40">
        <v>-0.247502456834508</v>
      </c>
      <c r="J110" s="40">
        <v>-4.6710752592405869E-2</v>
      </c>
    </row>
    <row r="111" spans="1:10" ht="11.25" customHeight="1" x14ac:dyDescent="0.2">
      <c r="A111" s="49">
        <v>44652</v>
      </c>
      <c r="B111" s="39">
        <v>0</v>
      </c>
      <c r="C111" s="39">
        <v>0</v>
      </c>
      <c r="D111" s="39">
        <v>547.31401919999996</v>
      </c>
      <c r="E111" s="39">
        <v>541.4947822600285</v>
      </c>
      <c r="F111" s="39">
        <v>98.341775999999996</v>
      </c>
      <c r="G111" s="39">
        <v>74.001944830531144</v>
      </c>
      <c r="H111" s="40">
        <v>-1.0632354984214221E-2</v>
      </c>
      <c r="I111" s="40">
        <v>-0.247502456834508</v>
      </c>
      <c r="J111" s="40">
        <v>-4.671075259240598E-2</v>
      </c>
    </row>
    <row r="112" spans="1:10" ht="11.25" customHeight="1" x14ac:dyDescent="0.2">
      <c r="A112" s="49">
        <v>44682</v>
      </c>
      <c r="B112" s="39">
        <v>0</v>
      </c>
      <c r="C112" s="39">
        <v>0</v>
      </c>
      <c r="D112" s="39">
        <v>626.83827839999992</v>
      </c>
      <c r="E112" s="39">
        <v>620.17351130635745</v>
      </c>
      <c r="F112" s="39">
        <v>112.630752</v>
      </c>
      <c r="G112" s="39">
        <v>84.754364164881821</v>
      </c>
      <c r="H112" s="40">
        <v>-1.0632354984214221E-2</v>
      </c>
      <c r="I112" s="40">
        <v>-0.247502456834508</v>
      </c>
      <c r="J112" s="40">
        <v>-4.6710752592405869E-2</v>
      </c>
    </row>
    <row r="113" spans="1:10" ht="11.25" customHeight="1" x14ac:dyDescent="0.2">
      <c r="A113" s="49">
        <v>44713</v>
      </c>
      <c r="B113" s="39">
        <v>0</v>
      </c>
      <c r="C113" s="39">
        <v>0</v>
      </c>
      <c r="D113" s="39">
        <v>792.12399359999995</v>
      </c>
      <c r="E113" s="39">
        <v>783.7018501085314</v>
      </c>
      <c r="F113" s="39">
        <v>142.329408</v>
      </c>
      <c r="G113" s="39">
        <v>107.10252984019893</v>
      </c>
      <c r="H113" s="40">
        <v>-1.063235498421411E-2</v>
      </c>
      <c r="I113" s="40">
        <v>-0.247502456834508</v>
      </c>
      <c r="J113" s="40">
        <v>-4.6710752592405869E-2</v>
      </c>
    </row>
    <row r="114" spans="1:10" ht="11.25" customHeight="1" x14ac:dyDescent="0.2">
      <c r="A114" s="49">
        <v>44743</v>
      </c>
      <c r="B114" s="39">
        <v>0</v>
      </c>
      <c r="C114" s="39">
        <v>0</v>
      </c>
      <c r="D114" s="39">
        <v>678.29515199999992</v>
      </c>
      <c r="E114" s="39">
        <v>671.08327715986445</v>
      </c>
      <c r="F114" s="39">
        <v>121.87656</v>
      </c>
      <c r="G114" s="39">
        <v>91.711811969461664</v>
      </c>
      <c r="H114" s="40">
        <v>-1.063235498421411E-2</v>
      </c>
      <c r="I114" s="40">
        <v>-0.24750245683450811</v>
      </c>
      <c r="J114" s="40">
        <v>-4.6710752592405869E-2</v>
      </c>
    </row>
    <row r="115" spans="1:10" ht="11.25" customHeight="1" x14ac:dyDescent="0.2">
      <c r="A115" s="49">
        <v>44774</v>
      </c>
      <c r="B115" s="39">
        <v>0</v>
      </c>
      <c r="C115" s="39">
        <v>0</v>
      </c>
      <c r="D115" s="39">
        <v>678.29515199999992</v>
      </c>
      <c r="E115" s="39">
        <v>671.08327715986445</v>
      </c>
      <c r="F115" s="39">
        <v>121.87656</v>
      </c>
      <c r="G115" s="39">
        <v>91.711811969461664</v>
      </c>
      <c r="H115" s="40">
        <v>-1.063235498421411E-2</v>
      </c>
      <c r="I115" s="40">
        <v>-0.24750245683450811</v>
      </c>
      <c r="J115" s="40">
        <v>-4.6710752592405869E-2</v>
      </c>
    </row>
    <row r="116" spans="1:10" ht="11.25" customHeight="1" x14ac:dyDescent="0.2">
      <c r="A116" s="42" t="s">
        <v>22</v>
      </c>
      <c r="B116" s="39">
        <v>0</v>
      </c>
      <c r="C116" s="39">
        <v>0</v>
      </c>
      <c r="D116" s="39">
        <v>4188706.0205800026</v>
      </c>
      <c r="E116" s="39">
        <v>4727137.5742558455</v>
      </c>
      <c r="F116" s="39">
        <v>3318840.3141699997</v>
      </c>
      <c r="G116" s="39">
        <v>2497418.2644398576</v>
      </c>
      <c r="H116" s="40">
        <v>0.12854364833206566</v>
      </c>
      <c r="I116" s="40">
        <v>-0.24750273347681973</v>
      </c>
      <c r="J116" s="40">
        <v>-3.7694139128309878E-2</v>
      </c>
    </row>
    <row r="117" spans="1:10" ht="11.25" customHeight="1" x14ac:dyDescent="0.2">
      <c r="A117" s="43" t="s">
        <v>23</v>
      </c>
      <c r="B117" s="39">
        <v>0</v>
      </c>
      <c r="C117" s="39">
        <v>0</v>
      </c>
      <c r="D117" s="39">
        <v>4188706.0205800026</v>
      </c>
      <c r="E117" s="39">
        <v>4727137.5742558455</v>
      </c>
      <c r="F117" s="39">
        <v>3318840.3141699997</v>
      </c>
      <c r="G117" s="39">
        <v>2497418.2644398576</v>
      </c>
      <c r="H117" s="40">
        <v>0.12854364833206566</v>
      </c>
      <c r="I117" s="40">
        <v>-0.24750273347681973</v>
      </c>
      <c r="J117" s="40">
        <v>-3.7694139128309878E-2</v>
      </c>
    </row>
    <row r="118" spans="1:10" ht="11.25" customHeight="1" x14ac:dyDescent="0.2">
      <c r="A118" s="44" t="s">
        <v>24</v>
      </c>
      <c r="B118" s="39">
        <v>0</v>
      </c>
      <c r="C118" s="39">
        <v>0</v>
      </c>
      <c r="D118" s="39">
        <v>4188706.0205800026</v>
      </c>
      <c r="E118" s="39">
        <v>4727137.5742558455</v>
      </c>
      <c r="F118" s="39">
        <v>3318840.3141699997</v>
      </c>
      <c r="G118" s="39">
        <v>2497418.2644398576</v>
      </c>
      <c r="H118" s="40">
        <v>0.12854364833206566</v>
      </c>
      <c r="I118" s="40">
        <v>-0.24750273347681973</v>
      </c>
      <c r="J118" s="40">
        <v>-3.7694139128309878E-2</v>
      </c>
    </row>
    <row r="119" spans="1:10" ht="11.25" customHeight="1" x14ac:dyDescent="0.2">
      <c r="A119" s="45" t="s">
        <v>24</v>
      </c>
      <c r="B119" s="39">
        <v>0</v>
      </c>
      <c r="C119" s="39">
        <v>0</v>
      </c>
      <c r="D119" s="39">
        <v>4066133.1574600004</v>
      </c>
      <c r="E119" s="39">
        <v>4601134.3332288181</v>
      </c>
      <c r="F119" s="39">
        <v>3201588.9548500008</v>
      </c>
      <c r="G119" s="39">
        <v>2409187.8227504008</v>
      </c>
      <c r="H119" s="40">
        <v>0.13157492759116063</v>
      </c>
      <c r="I119" s="40">
        <v>-0.24750245683450811</v>
      </c>
      <c r="J119" s="40">
        <v>-3.541686822268586E-2</v>
      </c>
    </row>
    <row r="120" spans="1:10" ht="11.25" customHeight="1" x14ac:dyDescent="0.2">
      <c r="A120" s="46" t="s">
        <v>25</v>
      </c>
      <c r="B120" s="39">
        <v>0</v>
      </c>
      <c r="C120" s="39">
        <v>0</v>
      </c>
      <c r="D120" s="39">
        <v>4066133.1574600004</v>
      </c>
      <c r="E120" s="39">
        <v>4601134.3332288181</v>
      </c>
      <c r="F120" s="39">
        <v>3201588.9548500008</v>
      </c>
      <c r="G120" s="39">
        <v>2409187.8227504008</v>
      </c>
      <c r="H120" s="40">
        <v>0.13157492759116063</v>
      </c>
      <c r="I120" s="40">
        <v>-0.24750245683450811</v>
      </c>
      <c r="J120" s="40">
        <v>-3.541686822268586E-2</v>
      </c>
    </row>
    <row r="121" spans="1:10" ht="11.25" customHeight="1" x14ac:dyDescent="0.2">
      <c r="A121" s="47" t="s">
        <v>25</v>
      </c>
      <c r="B121" s="39">
        <v>0</v>
      </c>
      <c r="C121" s="39">
        <v>0</v>
      </c>
      <c r="D121" s="39">
        <v>4066133.1574600004</v>
      </c>
      <c r="E121" s="39">
        <v>4601134.3332288181</v>
      </c>
      <c r="F121" s="39">
        <v>3201588.9548500008</v>
      </c>
      <c r="G121" s="39">
        <v>2409187.8227504008</v>
      </c>
      <c r="H121" s="40">
        <v>0.13157492759116063</v>
      </c>
      <c r="I121" s="40">
        <v>-0.24750245683450811</v>
      </c>
      <c r="J121" s="40">
        <v>-3.541686822268586E-2</v>
      </c>
    </row>
    <row r="122" spans="1:10" ht="11.25" customHeight="1" x14ac:dyDescent="0.2">
      <c r="A122" s="48" t="s">
        <v>25</v>
      </c>
      <c r="B122" s="39">
        <v>0</v>
      </c>
      <c r="C122" s="39">
        <v>0</v>
      </c>
      <c r="D122" s="39">
        <v>4066133.1574600004</v>
      </c>
      <c r="E122" s="39">
        <v>4601134.3332288181</v>
      </c>
      <c r="F122" s="39">
        <v>3201588.9548500008</v>
      </c>
      <c r="G122" s="39">
        <v>2409187.8227504008</v>
      </c>
      <c r="H122" s="40">
        <v>0.13157492759116063</v>
      </c>
      <c r="I122" s="40">
        <v>-0.24750245683450811</v>
      </c>
      <c r="J122" s="40">
        <v>-3.541686822268586E-2</v>
      </c>
    </row>
    <row r="123" spans="1:10" ht="11.25" customHeight="1" x14ac:dyDescent="0.2">
      <c r="A123" s="49">
        <v>44440</v>
      </c>
      <c r="B123" s="39">
        <v>0</v>
      </c>
      <c r="C123" s="39">
        <v>0</v>
      </c>
      <c r="D123" s="39">
        <v>328382.89105999999</v>
      </c>
      <c r="E123" s="39">
        <v>371589.84617339558</v>
      </c>
      <c r="F123" s="39">
        <v>258561.88085000002</v>
      </c>
      <c r="G123" s="39">
        <v>194567.18009587366</v>
      </c>
      <c r="H123" s="40">
        <v>0.13157492759116085</v>
      </c>
      <c r="I123" s="40">
        <v>-0.24750245683450811</v>
      </c>
      <c r="J123" s="40">
        <v>-3.5416868222685749E-2</v>
      </c>
    </row>
    <row r="124" spans="1:10" ht="11.25" customHeight="1" x14ac:dyDescent="0.2">
      <c r="A124" s="49">
        <v>44470</v>
      </c>
      <c r="B124" s="39">
        <v>0</v>
      </c>
      <c r="C124" s="39">
        <v>0</v>
      </c>
      <c r="D124" s="39">
        <v>322189.16246000008</v>
      </c>
      <c r="E124" s="39">
        <v>364581.17818133131</v>
      </c>
      <c r="F124" s="39">
        <v>253685.06735000003</v>
      </c>
      <c r="G124" s="39">
        <v>190897.38991864739</v>
      </c>
      <c r="H124" s="40">
        <v>0.13157492759116063</v>
      </c>
      <c r="I124" s="40">
        <v>-0.247502456834508</v>
      </c>
      <c r="J124" s="40">
        <v>-3.5416868222685749E-2</v>
      </c>
    </row>
    <row r="125" spans="1:10" ht="11.25" customHeight="1" x14ac:dyDescent="0.2">
      <c r="A125" s="49">
        <v>44501</v>
      </c>
      <c r="B125" s="39">
        <v>0</v>
      </c>
      <c r="C125" s="39">
        <v>0</v>
      </c>
      <c r="D125" s="39">
        <v>338981.91376000002</v>
      </c>
      <c r="E125" s="39">
        <v>383583.43451768521</v>
      </c>
      <c r="F125" s="39">
        <v>266907.33160000003</v>
      </c>
      <c r="G125" s="39">
        <v>200847.11128185727</v>
      </c>
      <c r="H125" s="40">
        <v>0.13157492759116107</v>
      </c>
      <c r="I125" s="40">
        <v>-0.24750245683450811</v>
      </c>
      <c r="J125" s="40">
        <v>-3.5416868222685749E-2</v>
      </c>
    </row>
    <row r="126" spans="1:10" ht="11.25" customHeight="1" x14ac:dyDescent="0.2">
      <c r="A126" s="49">
        <v>44531</v>
      </c>
      <c r="B126" s="39">
        <v>0</v>
      </c>
      <c r="C126" s="39">
        <v>0</v>
      </c>
      <c r="D126" s="39">
        <v>314839.34532000008</v>
      </c>
      <c r="E126" s="39">
        <v>356264.30938332755</v>
      </c>
      <c r="F126" s="39">
        <v>247897.97370000003</v>
      </c>
      <c r="G126" s="39">
        <v>186542.61616495374</v>
      </c>
      <c r="H126" s="40">
        <v>0.13157492759116085</v>
      </c>
      <c r="I126" s="40">
        <v>-0.24750245683450811</v>
      </c>
      <c r="J126" s="40">
        <v>-3.5416868222685638E-2</v>
      </c>
    </row>
    <row r="127" spans="1:10" ht="11.25" customHeight="1" x14ac:dyDescent="0.2">
      <c r="A127" s="49">
        <v>44562</v>
      </c>
      <c r="B127" s="39">
        <v>0</v>
      </c>
      <c r="C127" s="39">
        <v>0</v>
      </c>
      <c r="D127" s="39">
        <v>368120.97900000005</v>
      </c>
      <c r="E127" s="39">
        <v>416556.47015671234</v>
      </c>
      <c r="F127" s="39">
        <v>289850.82750000001</v>
      </c>
      <c r="G127" s="39">
        <v>218112.03557823482</v>
      </c>
      <c r="H127" s="40">
        <v>0.13157492759116085</v>
      </c>
      <c r="I127" s="40">
        <v>-0.24750245683450811</v>
      </c>
      <c r="J127" s="40">
        <v>-3.5416868222685638E-2</v>
      </c>
    </row>
    <row r="128" spans="1:10" ht="11.25" customHeight="1" x14ac:dyDescent="0.2">
      <c r="A128" s="49">
        <v>44593</v>
      </c>
      <c r="B128" s="39">
        <v>0</v>
      </c>
      <c r="C128" s="39">
        <v>0</v>
      </c>
      <c r="D128" s="39">
        <v>452637.38956000004</v>
      </c>
      <c r="E128" s="39">
        <v>512193.1213164092</v>
      </c>
      <c r="F128" s="39">
        <v>356397.29709999997</v>
      </c>
      <c r="G128" s="39">
        <v>268188.09045857191</v>
      </c>
      <c r="H128" s="40">
        <v>0.13157492759116107</v>
      </c>
      <c r="I128" s="40">
        <v>-0.247502456834508</v>
      </c>
      <c r="J128" s="40">
        <v>-3.5416868222685527E-2</v>
      </c>
    </row>
    <row r="129" spans="1:10" ht="11.25" customHeight="1" x14ac:dyDescent="0.2">
      <c r="A129" s="49">
        <v>44621</v>
      </c>
      <c r="B129" s="39">
        <v>0</v>
      </c>
      <c r="C129" s="39">
        <v>0</v>
      </c>
      <c r="D129" s="39">
        <v>422311.47099999996</v>
      </c>
      <c r="E129" s="39">
        <v>477877.07221774169</v>
      </c>
      <c r="F129" s="39">
        <v>332519.29750000004</v>
      </c>
      <c r="G129" s="39">
        <v>250219.9544238653</v>
      </c>
      <c r="H129" s="40">
        <v>0.13157492759116107</v>
      </c>
      <c r="I129" s="40">
        <v>-0.24750245683450822</v>
      </c>
      <c r="J129" s="40">
        <v>-3.5416868222685527E-2</v>
      </c>
    </row>
    <row r="130" spans="1:10" ht="11.25" customHeight="1" x14ac:dyDescent="0.2">
      <c r="A130" s="49">
        <v>44652</v>
      </c>
      <c r="B130" s="39">
        <v>0</v>
      </c>
      <c r="C130" s="39">
        <v>0</v>
      </c>
      <c r="D130" s="39">
        <v>265838.0933200001</v>
      </c>
      <c r="E130" s="39">
        <v>300815.72119955131</v>
      </c>
      <c r="F130" s="39">
        <v>209315.4037</v>
      </c>
      <c r="G130" s="39">
        <v>157509.32703094312</v>
      </c>
      <c r="H130" s="40">
        <v>0.13157492759116063</v>
      </c>
      <c r="I130" s="40">
        <v>-0.247502456834508</v>
      </c>
      <c r="J130" s="40">
        <v>-3.541686822268586E-2</v>
      </c>
    </row>
    <row r="131" spans="1:10" ht="11.25" customHeight="1" x14ac:dyDescent="0.2">
      <c r="A131" s="49">
        <v>44682</v>
      </c>
      <c r="B131" s="39">
        <v>0</v>
      </c>
      <c r="C131" s="39">
        <v>0</v>
      </c>
      <c r="D131" s="39">
        <v>298497.68724</v>
      </c>
      <c r="E131" s="39">
        <v>337772.49882473203</v>
      </c>
      <c r="F131" s="39">
        <v>235030.89090000003</v>
      </c>
      <c r="G131" s="39">
        <v>176860.16797024678</v>
      </c>
      <c r="H131" s="40">
        <v>0.13157492759116107</v>
      </c>
      <c r="I131" s="40">
        <v>-0.24750245683450811</v>
      </c>
      <c r="J131" s="40">
        <v>-3.5416868222685638E-2</v>
      </c>
    </row>
    <row r="132" spans="1:10" ht="11.25" customHeight="1" x14ac:dyDescent="0.2">
      <c r="A132" s="49">
        <v>44713</v>
      </c>
      <c r="B132" s="39">
        <v>0</v>
      </c>
      <c r="C132" s="39">
        <v>0</v>
      </c>
      <c r="D132" s="39">
        <v>323814.87722000002</v>
      </c>
      <c r="E132" s="39">
        <v>366420.79624316219</v>
      </c>
      <c r="F132" s="39">
        <v>254965.12145000004</v>
      </c>
      <c r="G132" s="39">
        <v>191860.62748401627</v>
      </c>
      <c r="H132" s="40">
        <v>0.13157492759116085</v>
      </c>
      <c r="I132" s="40">
        <v>-0.24750245683450822</v>
      </c>
      <c r="J132" s="40">
        <v>-3.5416868222685749E-2</v>
      </c>
    </row>
    <row r="133" spans="1:10" ht="11.25" customHeight="1" x14ac:dyDescent="0.2">
      <c r="A133" s="49">
        <v>44743</v>
      </c>
      <c r="B133" s="39">
        <v>0</v>
      </c>
      <c r="C133" s="39">
        <v>0</v>
      </c>
      <c r="D133" s="39">
        <v>315259.67376000003</v>
      </c>
      <c r="E133" s="39">
        <v>356739.9425073851</v>
      </c>
      <c r="F133" s="39">
        <v>248228.93160000004</v>
      </c>
      <c r="G133" s="39">
        <v>186791.66117159495</v>
      </c>
      <c r="H133" s="40">
        <v>0.13157492759116107</v>
      </c>
      <c r="I133" s="40">
        <v>-0.24750245683450811</v>
      </c>
      <c r="J133" s="40">
        <v>-3.5416868222685638E-2</v>
      </c>
    </row>
    <row r="134" spans="1:10" ht="11.25" customHeight="1" x14ac:dyDescent="0.2">
      <c r="A134" s="49">
        <v>44774</v>
      </c>
      <c r="B134" s="39">
        <v>0</v>
      </c>
      <c r="C134" s="39">
        <v>0</v>
      </c>
      <c r="D134" s="39">
        <v>315259.67376000003</v>
      </c>
      <c r="E134" s="39">
        <v>356739.9425073851</v>
      </c>
      <c r="F134" s="39">
        <v>248228.93160000004</v>
      </c>
      <c r="G134" s="39">
        <v>186791.66117159495</v>
      </c>
      <c r="H134" s="40">
        <v>0.13157492759116107</v>
      </c>
      <c r="I134" s="40">
        <v>-0.24750245683450811</v>
      </c>
      <c r="J134" s="40">
        <v>-3.5416868222685638E-2</v>
      </c>
    </row>
    <row r="135" spans="1:10" ht="11.25" customHeight="1" x14ac:dyDescent="0.2">
      <c r="A135" s="45" t="s">
        <v>28</v>
      </c>
      <c r="B135" s="39">
        <v>0</v>
      </c>
      <c r="C135" s="39">
        <v>0</v>
      </c>
      <c r="D135" s="39">
        <v>9320.292300000001</v>
      </c>
      <c r="E135" s="39">
        <v>9581.5486116740994</v>
      </c>
      <c r="F135" s="39">
        <v>8916.1627500000013</v>
      </c>
      <c r="G135" s="39">
        <v>6709.2263594685382</v>
      </c>
      <c r="H135" s="40">
        <v>2.8030913974028238E-2</v>
      </c>
      <c r="I135" s="40">
        <v>-0.24752087331867767</v>
      </c>
      <c r="J135" s="40">
        <v>-0.1066917925398756</v>
      </c>
    </row>
    <row r="136" spans="1:10" ht="11.25" customHeight="1" x14ac:dyDescent="0.2">
      <c r="A136" s="46" t="s">
        <v>25</v>
      </c>
      <c r="B136" s="39">
        <v>0</v>
      </c>
      <c r="C136" s="39">
        <v>0</v>
      </c>
      <c r="D136" s="39">
        <v>9320.292300000001</v>
      </c>
      <c r="E136" s="39">
        <v>9581.5486116740994</v>
      </c>
      <c r="F136" s="39">
        <v>8916.1627500000013</v>
      </c>
      <c r="G136" s="39">
        <v>6709.2263594685382</v>
      </c>
      <c r="H136" s="40">
        <v>2.8030913974028238E-2</v>
      </c>
      <c r="I136" s="40">
        <v>-0.24752087331867767</v>
      </c>
      <c r="J136" s="40">
        <v>-0.1066917925398756</v>
      </c>
    </row>
    <row r="137" spans="1:10" ht="11.25" customHeight="1" x14ac:dyDescent="0.2">
      <c r="A137" s="47" t="s">
        <v>25</v>
      </c>
      <c r="B137" s="39">
        <v>0</v>
      </c>
      <c r="C137" s="39">
        <v>0</v>
      </c>
      <c r="D137" s="39">
        <v>9320.292300000001</v>
      </c>
      <c r="E137" s="39">
        <v>9581.5486116740994</v>
      </c>
      <c r="F137" s="39">
        <v>8916.1627500000013</v>
      </c>
      <c r="G137" s="39">
        <v>6709.2263594685382</v>
      </c>
      <c r="H137" s="40">
        <v>2.8030913974028238E-2</v>
      </c>
      <c r="I137" s="40">
        <v>-0.24752087331867767</v>
      </c>
      <c r="J137" s="40">
        <v>-0.1066917925398756</v>
      </c>
    </row>
    <row r="138" spans="1:10" ht="11.25" customHeight="1" x14ac:dyDescent="0.2">
      <c r="A138" s="48" t="s">
        <v>25</v>
      </c>
      <c r="B138" s="39">
        <v>0</v>
      </c>
      <c r="C138" s="39">
        <v>0</v>
      </c>
      <c r="D138" s="39">
        <v>9320.292300000001</v>
      </c>
      <c r="E138" s="39">
        <v>9581.5486116740994</v>
      </c>
      <c r="F138" s="39">
        <v>8916.1627500000013</v>
      </c>
      <c r="G138" s="39">
        <v>6709.2263594685382</v>
      </c>
      <c r="H138" s="40">
        <v>2.8030913974028238E-2</v>
      </c>
      <c r="I138" s="40">
        <v>-0.24752087331867767</v>
      </c>
      <c r="J138" s="40">
        <v>-0.1066917925398756</v>
      </c>
    </row>
    <row r="139" spans="1:10" ht="11.25" customHeight="1" x14ac:dyDescent="0.2">
      <c r="A139" s="49">
        <v>44440</v>
      </c>
      <c r="B139" s="39">
        <v>0</v>
      </c>
      <c r="C139" s="39">
        <v>0</v>
      </c>
      <c r="D139" s="39">
        <v>595.83240000000001</v>
      </c>
      <c r="E139" s="39">
        <v>612.53412674733886</v>
      </c>
      <c r="F139" s="39">
        <v>569.99700000000007</v>
      </c>
      <c r="G139" s="39">
        <v>428.91084477097371</v>
      </c>
      <c r="H139" s="40">
        <v>2.803091397402846E-2</v>
      </c>
      <c r="I139" s="40">
        <v>-0.24752087331867767</v>
      </c>
      <c r="J139" s="40">
        <v>-0.10669179253987549</v>
      </c>
    </row>
    <row r="140" spans="1:10" ht="11.25" customHeight="1" x14ac:dyDescent="0.2">
      <c r="A140" s="49">
        <v>44470</v>
      </c>
      <c r="B140" s="39">
        <v>0</v>
      </c>
      <c r="C140" s="39">
        <v>0</v>
      </c>
      <c r="D140" s="39">
        <v>603.84090000000003</v>
      </c>
      <c r="E140" s="39">
        <v>620.76711232189984</v>
      </c>
      <c r="F140" s="39">
        <v>577.65825000000007</v>
      </c>
      <c r="G140" s="39">
        <v>434.675775480261</v>
      </c>
      <c r="H140" s="40">
        <v>2.8030913974028238E-2</v>
      </c>
      <c r="I140" s="40">
        <v>-0.24752087331867767</v>
      </c>
      <c r="J140" s="40">
        <v>-0.10669179253987549</v>
      </c>
    </row>
    <row r="141" spans="1:10" ht="11.25" customHeight="1" x14ac:dyDescent="0.2">
      <c r="A141" s="49">
        <v>44501</v>
      </c>
      <c r="B141" s="39">
        <v>0</v>
      </c>
      <c r="C141" s="39">
        <v>0</v>
      </c>
      <c r="D141" s="39">
        <v>592.62900000000002</v>
      </c>
      <c r="E141" s="39">
        <v>609.24093251751435</v>
      </c>
      <c r="F141" s="39">
        <v>566.9325</v>
      </c>
      <c r="G141" s="39">
        <v>426.60487248725877</v>
      </c>
      <c r="H141" s="40">
        <v>2.8030913974028238E-2</v>
      </c>
      <c r="I141" s="40">
        <v>-0.24752087331867767</v>
      </c>
      <c r="J141" s="40">
        <v>-0.10669179253987549</v>
      </c>
    </row>
    <row r="142" spans="1:10" ht="11.25" customHeight="1" x14ac:dyDescent="0.2">
      <c r="A142" s="49">
        <v>44531</v>
      </c>
      <c r="B142" s="39">
        <v>0</v>
      </c>
      <c r="C142" s="39">
        <v>0</v>
      </c>
      <c r="D142" s="39">
        <v>595.83240000000001</v>
      </c>
      <c r="E142" s="39">
        <v>612.53412674733886</v>
      </c>
      <c r="F142" s="39">
        <v>569.99700000000007</v>
      </c>
      <c r="G142" s="39">
        <v>428.91084477097371</v>
      </c>
      <c r="H142" s="40">
        <v>2.803091397402846E-2</v>
      </c>
      <c r="I142" s="40">
        <v>-0.24752087331867767</v>
      </c>
      <c r="J142" s="40">
        <v>-0.10669179253987549</v>
      </c>
    </row>
    <row r="143" spans="1:10" ht="11.25" customHeight="1" x14ac:dyDescent="0.2">
      <c r="A143" s="49">
        <v>44562</v>
      </c>
      <c r="B143" s="39">
        <v>0</v>
      </c>
      <c r="C143" s="39">
        <v>0</v>
      </c>
      <c r="D143" s="39">
        <v>599.03579999999999</v>
      </c>
      <c r="E143" s="39">
        <v>615.82732097716325</v>
      </c>
      <c r="F143" s="39">
        <v>573.06150000000002</v>
      </c>
      <c r="G143" s="39">
        <v>431.21681705468865</v>
      </c>
      <c r="H143" s="40">
        <v>2.803091397402846E-2</v>
      </c>
      <c r="I143" s="40">
        <v>-0.24752087331867756</v>
      </c>
      <c r="J143" s="40">
        <v>-0.10669179253987537</v>
      </c>
    </row>
    <row r="144" spans="1:10" ht="11.25" customHeight="1" x14ac:dyDescent="0.2">
      <c r="A144" s="49">
        <v>44593</v>
      </c>
      <c r="B144" s="39">
        <v>0</v>
      </c>
      <c r="C144" s="39">
        <v>0</v>
      </c>
      <c r="D144" s="39">
        <v>874.52819999999997</v>
      </c>
      <c r="E144" s="39">
        <v>899.04202474206181</v>
      </c>
      <c r="F144" s="39">
        <v>836.60850000000005</v>
      </c>
      <c r="G144" s="39">
        <v>629.53043345417109</v>
      </c>
      <c r="H144" s="40">
        <v>2.8030913974028238E-2</v>
      </c>
      <c r="I144" s="40">
        <v>-0.24752087331867767</v>
      </c>
      <c r="J144" s="40">
        <v>-0.10669179253987549</v>
      </c>
    </row>
    <row r="145" spans="1:10" ht="11.25" customHeight="1" x14ac:dyDescent="0.2">
      <c r="A145" s="49">
        <v>44621</v>
      </c>
      <c r="B145" s="39">
        <v>0</v>
      </c>
      <c r="C145" s="39">
        <v>0</v>
      </c>
      <c r="D145" s="39">
        <v>900.15539999999999</v>
      </c>
      <c r="E145" s="39">
        <v>925.38757858065696</v>
      </c>
      <c r="F145" s="39">
        <v>861.12450000000001</v>
      </c>
      <c r="G145" s="39">
        <v>647.97821172389035</v>
      </c>
      <c r="H145" s="40">
        <v>2.8030913974028238E-2</v>
      </c>
      <c r="I145" s="40">
        <v>-0.24752087331867767</v>
      </c>
      <c r="J145" s="40">
        <v>-0.10669179253987549</v>
      </c>
    </row>
    <row r="146" spans="1:10" ht="11.25" customHeight="1" x14ac:dyDescent="0.2">
      <c r="A146" s="49">
        <v>44652</v>
      </c>
      <c r="B146" s="39">
        <v>0</v>
      </c>
      <c r="C146" s="39">
        <v>0</v>
      </c>
      <c r="D146" s="39">
        <v>922.57920000000001</v>
      </c>
      <c r="E146" s="39">
        <v>948.43993818942795</v>
      </c>
      <c r="F146" s="39">
        <v>882.57600000000014</v>
      </c>
      <c r="G146" s="39">
        <v>664.1200177098948</v>
      </c>
      <c r="H146" s="40">
        <v>2.803091397402846E-2</v>
      </c>
      <c r="I146" s="40">
        <v>-0.24752087331867767</v>
      </c>
      <c r="J146" s="40">
        <v>-0.10669179253987549</v>
      </c>
    </row>
    <row r="147" spans="1:10" ht="11.25" customHeight="1" x14ac:dyDescent="0.2">
      <c r="A147" s="49">
        <v>44682</v>
      </c>
      <c r="B147" s="39">
        <v>0</v>
      </c>
      <c r="C147" s="39">
        <v>0</v>
      </c>
      <c r="D147" s="39">
        <v>1002.6642000000001</v>
      </c>
      <c r="E147" s="39">
        <v>1030.769793935038</v>
      </c>
      <c r="F147" s="39">
        <v>959.18850000000009</v>
      </c>
      <c r="G147" s="39">
        <v>721.76932480276764</v>
      </c>
      <c r="H147" s="40">
        <v>2.803091397402846E-2</v>
      </c>
      <c r="I147" s="40">
        <v>-0.24752087331867767</v>
      </c>
      <c r="J147" s="40">
        <v>-0.10669179253987537</v>
      </c>
    </row>
    <row r="148" spans="1:10" ht="11.25" customHeight="1" x14ac:dyDescent="0.2">
      <c r="A148" s="49">
        <v>44713</v>
      </c>
      <c r="B148" s="39">
        <v>0</v>
      </c>
      <c r="C148" s="39">
        <v>0</v>
      </c>
      <c r="D148" s="39">
        <v>961.02</v>
      </c>
      <c r="E148" s="39">
        <v>987.95826894732068</v>
      </c>
      <c r="F148" s="39">
        <v>919.35</v>
      </c>
      <c r="G148" s="39">
        <v>691.79168511447369</v>
      </c>
      <c r="H148" s="40">
        <v>2.8030913974028238E-2</v>
      </c>
      <c r="I148" s="40">
        <v>-0.24752087331867767</v>
      </c>
      <c r="J148" s="40">
        <v>-0.10669179253987537</v>
      </c>
    </row>
    <row r="149" spans="1:10" ht="11.25" customHeight="1" x14ac:dyDescent="0.2">
      <c r="A149" s="49">
        <v>44743</v>
      </c>
      <c r="B149" s="39">
        <v>0</v>
      </c>
      <c r="C149" s="39">
        <v>0</v>
      </c>
      <c r="D149" s="39">
        <v>836.0874</v>
      </c>
      <c r="E149" s="39">
        <v>859.52369398416897</v>
      </c>
      <c r="F149" s="39">
        <v>799.83450000000005</v>
      </c>
      <c r="G149" s="39">
        <v>601.85876604959219</v>
      </c>
      <c r="H149" s="40">
        <v>2.8030913974028238E-2</v>
      </c>
      <c r="I149" s="40">
        <v>-0.24752087331867756</v>
      </c>
      <c r="J149" s="40">
        <v>-0.10669179253987549</v>
      </c>
    </row>
    <row r="150" spans="1:10" ht="11.25" customHeight="1" x14ac:dyDescent="0.2">
      <c r="A150" s="49">
        <v>44774</v>
      </c>
      <c r="B150" s="39">
        <v>0</v>
      </c>
      <c r="C150" s="39">
        <v>0</v>
      </c>
      <c r="D150" s="39">
        <v>836.0874</v>
      </c>
      <c r="E150" s="39">
        <v>859.52369398416897</v>
      </c>
      <c r="F150" s="39">
        <v>799.83450000000005</v>
      </c>
      <c r="G150" s="39">
        <v>601.85876604959219</v>
      </c>
      <c r="H150" s="40">
        <v>2.8030913974028238E-2</v>
      </c>
      <c r="I150" s="40">
        <v>-0.24752087331867756</v>
      </c>
      <c r="J150" s="40">
        <v>-0.10669179253987549</v>
      </c>
    </row>
    <row r="151" spans="1:10" ht="11.25" customHeight="1" x14ac:dyDescent="0.2">
      <c r="A151" s="45" t="s">
        <v>29</v>
      </c>
      <c r="B151" s="39">
        <v>0</v>
      </c>
      <c r="C151" s="39">
        <v>0</v>
      </c>
      <c r="D151" s="39">
        <v>33530.551019999999</v>
      </c>
      <c r="E151" s="39">
        <v>34468.828999671212</v>
      </c>
      <c r="F151" s="39">
        <v>32074.373370000008</v>
      </c>
      <c r="G151" s="39">
        <v>24135.887159497681</v>
      </c>
      <c r="H151" s="40">
        <v>2.798277842530994E-2</v>
      </c>
      <c r="I151" s="40">
        <v>-0.24750245683450822</v>
      </c>
      <c r="J151" s="40">
        <v>-0.10670248149692452</v>
      </c>
    </row>
    <row r="152" spans="1:10" ht="11.25" customHeight="1" x14ac:dyDescent="0.2">
      <c r="A152" s="46" t="s">
        <v>25</v>
      </c>
      <c r="B152" s="39">
        <v>0</v>
      </c>
      <c r="C152" s="39">
        <v>0</v>
      </c>
      <c r="D152" s="39">
        <v>33530.551019999999</v>
      </c>
      <c r="E152" s="39">
        <v>34468.828999671212</v>
      </c>
      <c r="F152" s="39">
        <v>32074.373370000008</v>
      </c>
      <c r="G152" s="39">
        <v>24135.887159497681</v>
      </c>
      <c r="H152" s="40">
        <v>2.798277842530994E-2</v>
      </c>
      <c r="I152" s="40">
        <v>-0.24750245683450822</v>
      </c>
      <c r="J152" s="40">
        <v>-0.10670248149692452</v>
      </c>
    </row>
    <row r="153" spans="1:10" ht="11.25" customHeight="1" x14ac:dyDescent="0.2">
      <c r="A153" s="47" t="s">
        <v>25</v>
      </c>
      <c r="B153" s="39">
        <v>0</v>
      </c>
      <c r="C153" s="39">
        <v>0</v>
      </c>
      <c r="D153" s="39">
        <v>33530.551019999999</v>
      </c>
      <c r="E153" s="39">
        <v>34468.828999671212</v>
      </c>
      <c r="F153" s="39">
        <v>32074.373370000008</v>
      </c>
      <c r="G153" s="39">
        <v>24135.887159497681</v>
      </c>
      <c r="H153" s="40">
        <v>2.798277842530994E-2</v>
      </c>
      <c r="I153" s="40">
        <v>-0.24750245683450822</v>
      </c>
      <c r="J153" s="40">
        <v>-0.10670248149692452</v>
      </c>
    </row>
    <row r="154" spans="1:10" ht="11.25" customHeight="1" x14ac:dyDescent="0.2">
      <c r="A154" s="48" t="s">
        <v>25</v>
      </c>
      <c r="B154" s="39">
        <v>0</v>
      </c>
      <c r="C154" s="39">
        <v>0</v>
      </c>
      <c r="D154" s="39">
        <v>33530.551019999999</v>
      </c>
      <c r="E154" s="39">
        <v>34468.828999671212</v>
      </c>
      <c r="F154" s="39">
        <v>32074.373370000008</v>
      </c>
      <c r="G154" s="39">
        <v>24135.887159497681</v>
      </c>
      <c r="H154" s="40">
        <v>2.798277842530994E-2</v>
      </c>
      <c r="I154" s="40">
        <v>-0.24750245683450822</v>
      </c>
      <c r="J154" s="40">
        <v>-0.10670248149692452</v>
      </c>
    </row>
    <row r="155" spans="1:10" ht="11.25" customHeight="1" x14ac:dyDescent="0.2">
      <c r="A155" s="49">
        <v>44440</v>
      </c>
      <c r="B155" s="39">
        <v>0</v>
      </c>
      <c r="C155" s="39">
        <v>0</v>
      </c>
      <c r="D155" s="39">
        <v>2151.3211200000001</v>
      </c>
      <c r="E155" s="39">
        <v>2211.52106222265</v>
      </c>
      <c r="F155" s="39">
        <v>2057.8927200000003</v>
      </c>
      <c r="G155" s="39">
        <v>1548.5592158981517</v>
      </c>
      <c r="H155" s="40">
        <v>2.7982778425310162E-2</v>
      </c>
      <c r="I155" s="40">
        <v>-0.24750245683450811</v>
      </c>
      <c r="J155" s="40">
        <v>-0.10670248149692452</v>
      </c>
    </row>
    <row r="156" spans="1:10" ht="11.25" customHeight="1" x14ac:dyDescent="0.2">
      <c r="A156" s="49">
        <v>44470</v>
      </c>
      <c r="B156" s="39">
        <v>0</v>
      </c>
      <c r="C156" s="39">
        <v>0</v>
      </c>
      <c r="D156" s="39">
        <v>2191.9604400000003</v>
      </c>
      <c r="E156" s="39">
        <v>2253.2975833095652</v>
      </c>
      <c r="F156" s="39">
        <v>2096.7671400000004</v>
      </c>
      <c r="G156" s="39">
        <v>1577.8121214401351</v>
      </c>
      <c r="H156" s="40">
        <v>2.798277842530994E-2</v>
      </c>
      <c r="I156" s="40">
        <v>-0.24750245683450822</v>
      </c>
      <c r="J156" s="40">
        <v>-0.10670248149692452</v>
      </c>
    </row>
    <row r="157" spans="1:10" ht="11.25" customHeight="1" x14ac:dyDescent="0.2">
      <c r="A157" s="49">
        <v>44501</v>
      </c>
      <c r="B157" s="39">
        <v>0</v>
      </c>
      <c r="C157" s="39">
        <v>0</v>
      </c>
      <c r="D157" s="39">
        <v>2208.2527800000003</v>
      </c>
      <c r="E157" s="39">
        <v>2270.0458282498153</v>
      </c>
      <c r="F157" s="39">
        <v>2112.3519300000003</v>
      </c>
      <c r="G157" s="39">
        <v>1589.5396376258852</v>
      </c>
      <c r="H157" s="40">
        <v>2.7982778425310162E-2</v>
      </c>
      <c r="I157" s="40">
        <v>-0.24750245683450811</v>
      </c>
      <c r="J157" s="40">
        <v>-0.10670248149692452</v>
      </c>
    </row>
    <row r="158" spans="1:10" ht="11.25" customHeight="1" x14ac:dyDescent="0.2">
      <c r="A158" s="49">
        <v>44531</v>
      </c>
      <c r="B158" s="39">
        <v>0</v>
      </c>
      <c r="C158" s="39">
        <v>0</v>
      </c>
      <c r="D158" s="39">
        <v>2129.35392</v>
      </c>
      <c r="E158" s="39">
        <v>2188.9391589324255</v>
      </c>
      <c r="F158" s="39">
        <v>2036.8795200000002</v>
      </c>
      <c r="G158" s="39">
        <v>1532.7468345241064</v>
      </c>
      <c r="H158" s="40">
        <v>2.7982778425310162E-2</v>
      </c>
      <c r="I158" s="40">
        <v>-0.24750245683450822</v>
      </c>
      <c r="J158" s="40">
        <v>-0.10670248149692452</v>
      </c>
    </row>
    <row r="159" spans="1:10" ht="11.25" customHeight="1" x14ac:dyDescent="0.2">
      <c r="A159" s="49">
        <v>44562</v>
      </c>
      <c r="B159" s="39">
        <v>0</v>
      </c>
      <c r="C159" s="39">
        <v>0</v>
      </c>
      <c r="D159" s="39">
        <v>2146.3784999999998</v>
      </c>
      <c r="E159" s="39">
        <v>2206.4401339823494</v>
      </c>
      <c r="F159" s="39">
        <v>2053.1647499999999</v>
      </c>
      <c r="G159" s="39">
        <v>1545.0014300889914</v>
      </c>
      <c r="H159" s="40">
        <v>2.7982778425310162E-2</v>
      </c>
      <c r="I159" s="40">
        <v>-0.24750245683450811</v>
      </c>
      <c r="J159" s="40">
        <v>-0.10670248149692452</v>
      </c>
    </row>
    <row r="160" spans="1:10" ht="11.25" customHeight="1" x14ac:dyDescent="0.2">
      <c r="A160" s="49">
        <v>44593</v>
      </c>
      <c r="B160" s="39">
        <v>0</v>
      </c>
      <c r="C160" s="39">
        <v>0</v>
      </c>
      <c r="D160" s="39">
        <v>3166.3888200000001</v>
      </c>
      <c r="E160" s="39">
        <v>3254.9931767584389</v>
      </c>
      <c r="F160" s="39">
        <v>3028.8776700000003</v>
      </c>
      <c r="G160" s="39">
        <v>2279.2230052238197</v>
      </c>
      <c r="H160" s="40">
        <v>2.798277842530994E-2</v>
      </c>
      <c r="I160" s="40">
        <v>-0.24750245683450811</v>
      </c>
      <c r="J160" s="40">
        <v>-0.10670248149692452</v>
      </c>
    </row>
    <row r="161" spans="1:10" ht="11.25" customHeight="1" x14ac:dyDescent="0.2">
      <c r="A161" s="49">
        <v>44621</v>
      </c>
      <c r="B161" s="39">
        <v>0</v>
      </c>
      <c r="C161" s="39">
        <v>0</v>
      </c>
      <c r="D161" s="39">
        <v>3285.56088</v>
      </c>
      <c r="E161" s="39">
        <v>3377.5000021079068</v>
      </c>
      <c r="F161" s="39">
        <v>3142.8742800000005</v>
      </c>
      <c r="G161" s="39">
        <v>2365.0051741780144</v>
      </c>
      <c r="H161" s="40">
        <v>2.7982778425310162E-2</v>
      </c>
      <c r="I161" s="40">
        <v>-0.24750245683450822</v>
      </c>
      <c r="J161" s="40">
        <v>-0.10670248149692463</v>
      </c>
    </row>
    <row r="162" spans="1:10" ht="11.25" customHeight="1" x14ac:dyDescent="0.2">
      <c r="A162" s="49">
        <v>44652</v>
      </c>
      <c r="B162" s="39">
        <v>0</v>
      </c>
      <c r="C162" s="39">
        <v>0</v>
      </c>
      <c r="D162" s="39">
        <v>3316.3149600000002</v>
      </c>
      <c r="E162" s="39">
        <v>3409.1146667142211</v>
      </c>
      <c r="F162" s="39">
        <v>3172.2927600000003</v>
      </c>
      <c r="G162" s="39">
        <v>2387.1425081016773</v>
      </c>
      <c r="H162" s="40">
        <v>2.7982778425310162E-2</v>
      </c>
      <c r="I162" s="40">
        <v>-0.24750245683450822</v>
      </c>
      <c r="J162" s="40">
        <v>-0.10670248149692441</v>
      </c>
    </row>
    <row r="163" spans="1:10" ht="11.25" customHeight="1" x14ac:dyDescent="0.2">
      <c r="A163" s="49">
        <v>44682</v>
      </c>
      <c r="B163" s="39">
        <v>0</v>
      </c>
      <c r="C163" s="39">
        <v>0</v>
      </c>
      <c r="D163" s="39">
        <v>3561.6153599999998</v>
      </c>
      <c r="E163" s="39">
        <v>3661.2792534550608</v>
      </c>
      <c r="F163" s="39">
        <v>3406.9401600000001</v>
      </c>
      <c r="G163" s="39">
        <v>2563.714100111848</v>
      </c>
      <c r="H163" s="40">
        <v>2.7982778425310162E-2</v>
      </c>
      <c r="I163" s="40">
        <v>-0.24750245683450811</v>
      </c>
      <c r="J163" s="40">
        <v>-0.10670248149692452</v>
      </c>
    </row>
    <row r="164" spans="1:10" ht="11.25" customHeight="1" x14ac:dyDescent="0.2">
      <c r="A164" s="49">
        <v>44713</v>
      </c>
      <c r="B164" s="39">
        <v>0</v>
      </c>
      <c r="C164" s="39">
        <v>0</v>
      </c>
      <c r="D164" s="39">
        <v>3444.0908399999998</v>
      </c>
      <c r="E164" s="39">
        <v>3540.4660708523602</v>
      </c>
      <c r="F164" s="39">
        <v>3294.5195400000002</v>
      </c>
      <c r="G164" s="39">
        <v>2479.1178597607068</v>
      </c>
      <c r="H164" s="40">
        <v>2.7982778425310162E-2</v>
      </c>
      <c r="I164" s="40">
        <v>-0.24750245683450811</v>
      </c>
      <c r="J164" s="40">
        <v>-0.10670248149692441</v>
      </c>
    </row>
    <row r="165" spans="1:10" ht="11.25" customHeight="1" x14ac:dyDescent="0.2">
      <c r="A165" s="49">
        <v>44743</v>
      </c>
      <c r="B165" s="39">
        <v>0</v>
      </c>
      <c r="C165" s="39">
        <v>0</v>
      </c>
      <c r="D165" s="39">
        <v>2964.6567</v>
      </c>
      <c r="E165" s="39">
        <v>3047.6160315432112</v>
      </c>
      <c r="F165" s="39">
        <v>2835.9064500000004</v>
      </c>
      <c r="G165" s="39">
        <v>2134.0126362721721</v>
      </c>
      <c r="H165" s="40">
        <v>2.7982778425310162E-2</v>
      </c>
      <c r="I165" s="40">
        <v>-0.24750245683450811</v>
      </c>
      <c r="J165" s="40">
        <v>-0.10670248149692452</v>
      </c>
    </row>
    <row r="166" spans="1:10" ht="11.25" customHeight="1" x14ac:dyDescent="0.2">
      <c r="A166" s="49">
        <v>44774</v>
      </c>
      <c r="B166" s="39">
        <v>0</v>
      </c>
      <c r="C166" s="39">
        <v>0</v>
      </c>
      <c r="D166" s="39">
        <v>2964.6567</v>
      </c>
      <c r="E166" s="39">
        <v>3047.6160315432112</v>
      </c>
      <c r="F166" s="39">
        <v>2835.9064500000004</v>
      </c>
      <c r="G166" s="39">
        <v>2134.0126362721721</v>
      </c>
      <c r="H166" s="40">
        <v>2.7982778425310162E-2</v>
      </c>
      <c r="I166" s="40">
        <v>-0.24750245683450811</v>
      </c>
      <c r="J166" s="40">
        <v>-0.10670248149692452</v>
      </c>
    </row>
    <row r="167" spans="1:10" ht="11.25" customHeight="1" x14ac:dyDescent="0.2">
      <c r="A167" s="45" t="s">
        <v>30</v>
      </c>
      <c r="B167" s="39">
        <v>0</v>
      </c>
      <c r="C167" s="39">
        <v>0</v>
      </c>
      <c r="D167" s="39">
        <v>55022.3442</v>
      </c>
      <c r="E167" s="39">
        <v>56562.022266189742</v>
      </c>
      <c r="F167" s="39">
        <v>52633.814599999998</v>
      </c>
      <c r="G167" s="39">
        <v>39606.0622466395</v>
      </c>
      <c r="H167" s="40">
        <v>2.798277842530994E-2</v>
      </c>
      <c r="I167" s="40">
        <v>-0.24751678084454287</v>
      </c>
      <c r="J167" s="40">
        <v>-0.10671079495333768</v>
      </c>
    </row>
    <row r="168" spans="1:10" ht="11.25" customHeight="1" x14ac:dyDescent="0.2">
      <c r="A168" s="46" t="s">
        <v>25</v>
      </c>
      <c r="B168" s="39">
        <v>0</v>
      </c>
      <c r="C168" s="39">
        <v>0</v>
      </c>
      <c r="D168" s="39">
        <v>55022.3442</v>
      </c>
      <c r="E168" s="39">
        <v>56562.022266189742</v>
      </c>
      <c r="F168" s="39">
        <v>52633.814599999998</v>
      </c>
      <c r="G168" s="39">
        <v>39606.0622466395</v>
      </c>
      <c r="H168" s="40">
        <v>2.798277842530994E-2</v>
      </c>
      <c r="I168" s="40">
        <v>-0.24751678084454287</v>
      </c>
      <c r="J168" s="40">
        <v>-0.10671079495333768</v>
      </c>
    </row>
    <row r="169" spans="1:10" ht="11.25" customHeight="1" x14ac:dyDescent="0.2">
      <c r="A169" s="47" t="s">
        <v>25</v>
      </c>
      <c r="B169" s="39">
        <v>0</v>
      </c>
      <c r="C169" s="39">
        <v>0</v>
      </c>
      <c r="D169" s="39">
        <v>55022.3442</v>
      </c>
      <c r="E169" s="39">
        <v>56562.022266189742</v>
      </c>
      <c r="F169" s="39">
        <v>52633.814599999998</v>
      </c>
      <c r="G169" s="39">
        <v>39606.0622466395</v>
      </c>
      <c r="H169" s="40">
        <v>2.798277842530994E-2</v>
      </c>
      <c r="I169" s="40">
        <v>-0.24751678084454287</v>
      </c>
      <c r="J169" s="40">
        <v>-0.10671079495333768</v>
      </c>
    </row>
    <row r="170" spans="1:10" ht="11.25" customHeight="1" x14ac:dyDescent="0.2">
      <c r="A170" s="48" t="s">
        <v>25</v>
      </c>
      <c r="B170" s="39">
        <v>0</v>
      </c>
      <c r="C170" s="39">
        <v>0</v>
      </c>
      <c r="D170" s="39">
        <v>55022.3442</v>
      </c>
      <c r="E170" s="39">
        <v>56562.022266189742</v>
      </c>
      <c r="F170" s="39">
        <v>52633.814599999998</v>
      </c>
      <c r="G170" s="39">
        <v>39606.0622466395</v>
      </c>
      <c r="H170" s="40">
        <v>2.798277842530994E-2</v>
      </c>
      <c r="I170" s="40">
        <v>-0.24751678084454287</v>
      </c>
      <c r="J170" s="40">
        <v>-0.10671079495333768</v>
      </c>
    </row>
    <row r="171" spans="1:10" ht="11.25" customHeight="1" x14ac:dyDescent="0.2">
      <c r="A171" s="49">
        <v>44440</v>
      </c>
      <c r="B171" s="39">
        <v>0</v>
      </c>
      <c r="C171" s="39">
        <v>0</v>
      </c>
      <c r="D171" s="39">
        <v>3407.1127199999996</v>
      </c>
      <c r="E171" s="39">
        <v>3502.4532003138156</v>
      </c>
      <c r="F171" s="39">
        <v>3259.2093599999998</v>
      </c>
      <c r="G171" s="39">
        <v>2452.5003511143977</v>
      </c>
      <c r="H171" s="40">
        <v>2.7982778425310162E-2</v>
      </c>
      <c r="I171" s="40">
        <v>-0.24751678084454265</v>
      </c>
      <c r="J171" s="40">
        <v>-0.10671079495333757</v>
      </c>
    </row>
    <row r="172" spans="1:10" ht="11.25" customHeight="1" x14ac:dyDescent="0.2">
      <c r="A172" s="49">
        <v>44470</v>
      </c>
      <c r="B172" s="39">
        <v>0</v>
      </c>
      <c r="C172" s="39">
        <v>0</v>
      </c>
      <c r="D172" s="39">
        <v>3420.0184499999996</v>
      </c>
      <c r="E172" s="39">
        <v>3515.7200684968225</v>
      </c>
      <c r="F172" s="39">
        <v>3271.5548500000004</v>
      </c>
      <c r="G172" s="39">
        <v>2461.7901251716489</v>
      </c>
      <c r="H172" s="40">
        <v>2.7982778425310162E-2</v>
      </c>
      <c r="I172" s="40">
        <v>-0.24751678084454287</v>
      </c>
      <c r="J172" s="40">
        <v>-0.10671079495333757</v>
      </c>
    </row>
    <row r="173" spans="1:10" ht="11.25" customHeight="1" x14ac:dyDescent="0.2">
      <c r="A173" s="49">
        <v>44501</v>
      </c>
      <c r="B173" s="39">
        <v>0</v>
      </c>
      <c r="C173" s="39">
        <v>0</v>
      </c>
      <c r="D173" s="39">
        <v>3708.6125399999996</v>
      </c>
      <c r="E173" s="39">
        <v>3812.3898229721467</v>
      </c>
      <c r="F173" s="39">
        <v>3547.6210200000005</v>
      </c>
      <c r="G173" s="39">
        <v>2669.5252854731671</v>
      </c>
      <c r="H173" s="40">
        <v>2.7982778425310162E-2</v>
      </c>
      <c r="I173" s="40">
        <v>-0.24751678084454276</v>
      </c>
      <c r="J173" s="40">
        <v>-0.10671079495333768</v>
      </c>
    </row>
    <row r="174" spans="1:10" ht="11.25" customHeight="1" x14ac:dyDescent="0.2">
      <c r="A174" s="49">
        <v>44531</v>
      </c>
      <c r="B174" s="39">
        <v>0</v>
      </c>
      <c r="C174" s="39">
        <v>0</v>
      </c>
      <c r="D174" s="39">
        <v>3152.8423799999996</v>
      </c>
      <c r="E174" s="39">
        <v>3241.0676697294671</v>
      </c>
      <c r="F174" s="39">
        <v>3015.97694</v>
      </c>
      <c r="G174" s="39">
        <v>2269.4720367098253</v>
      </c>
      <c r="H174" s="40">
        <v>2.7982778425310162E-2</v>
      </c>
      <c r="I174" s="40">
        <v>-0.24751678084454276</v>
      </c>
      <c r="J174" s="40">
        <v>-0.10671079495333746</v>
      </c>
    </row>
    <row r="175" spans="1:10" ht="11.25" customHeight="1" x14ac:dyDescent="0.2">
      <c r="A175" s="49">
        <v>44562</v>
      </c>
      <c r="B175" s="39">
        <v>0</v>
      </c>
      <c r="C175" s="39">
        <v>0</v>
      </c>
      <c r="D175" s="39">
        <v>3637.7683199999997</v>
      </c>
      <c r="E175" s="39">
        <v>3739.5631848611724</v>
      </c>
      <c r="F175" s="39">
        <v>3479.8521599999999</v>
      </c>
      <c r="G175" s="39">
        <v>2618.5303555418714</v>
      </c>
      <c r="H175" s="40">
        <v>2.7982778425310162E-2</v>
      </c>
      <c r="I175" s="40">
        <v>-0.24751678084454276</v>
      </c>
      <c r="J175" s="40">
        <v>-0.10671079495333746</v>
      </c>
    </row>
    <row r="176" spans="1:10" ht="11.25" customHeight="1" x14ac:dyDescent="0.2">
      <c r="A176" s="49">
        <v>44593</v>
      </c>
      <c r="B176" s="39">
        <v>0</v>
      </c>
      <c r="C176" s="39">
        <v>0</v>
      </c>
      <c r="D176" s="39">
        <v>6172.7831999999999</v>
      </c>
      <c r="E176" s="39">
        <v>6345.5148245530772</v>
      </c>
      <c r="F176" s="39">
        <v>5904.8216000000002</v>
      </c>
      <c r="G176" s="39">
        <v>4443.2791661066776</v>
      </c>
      <c r="H176" s="40">
        <v>2.7982778425310162E-2</v>
      </c>
      <c r="I176" s="40">
        <v>-0.24751678084454276</v>
      </c>
      <c r="J176" s="40">
        <v>-0.10671079495333757</v>
      </c>
    </row>
    <row r="177" spans="1:10" ht="11.25" customHeight="1" x14ac:dyDescent="0.2">
      <c r="A177" s="49">
        <v>44621</v>
      </c>
      <c r="B177" s="39">
        <v>0</v>
      </c>
      <c r="C177" s="39">
        <v>0</v>
      </c>
      <c r="D177" s="39">
        <v>5895.4472999999989</v>
      </c>
      <c r="E177" s="39">
        <v>6060.4182955139922</v>
      </c>
      <c r="F177" s="39">
        <v>5639.5249000000003</v>
      </c>
      <c r="G177" s="39">
        <v>4243.6478512593576</v>
      </c>
      <c r="H177" s="40">
        <v>2.7982778425310162E-2</v>
      </c>
      <c r="I177" s="40">
        <v>-0.24751678084454287</v>
      </c>
      <c r="J177" s="40">
        <v>-0.10671079495333768</v>
      </c>
    </row>
    <row r="178" spans="1:10" ht="11.25" customHeight="1" x14ac:dyDescent="0.2">
      <c r="A178" s="49">
        <v>44652</v>
      </c>
      <c r="B178" s="39">
        <v>0</v>
      </c>
      <c r="C178" s="39">
        <v>0</v>
      </c>
      <c r="D178" s="39">
        <v>5107.0994099999998</v>
      </c>
      <c r="E178" s="39">
        <v>5250.0102411860626</v>
      </c>
      <c r="F178" s="39">
        <v>4885.3993300000002</v>
      </c>
      <c r="G178" s="39">
        <v>3676.1810146983144</v>
      </c>
      <c r="H178" s="40">
        <v>2.7982778425310162E-2</v>
      </c>
      <c r="I178" s="40">
        <v>-0.24751678084454276</v>
      </c>
      <c r="J178" s="40">
        <v>-0.10671079495333746</v>
      </c>
    </row>
    <row r="179" spans="1:10" ht="11.25" customHeight="1" x14ac:dyDescent="0.2">
      <c r="A179" s="49">
        <v>44682</v>
      </c>
      <c r="B179" s="39">
        <v>0</v>
      </c>
      <c r="C179" s="39">
        <v>0</v>
      </c>
      <c r="D179" s="39">
        <v>5329.7918999999993</v>
      </c>
      <c r="E179" s="39">
        <v>5478.9342857907131</v>
      </c>
      <c r="F179" s="39">
        <v>5098.4247000000005</v>
      </c>
      <c r="G179" s="39">
        <v>3836.4790308776965</v>
      </c>
      <c r="H179" s="40">
        <v>2.7982778425310384E-2</v>
      </c>
      <c r="I179" s="40">
        <v>-0.24751678084454276</v>
      </c>
      <c r="J179" s="40">
        <v>-0.10671079495333746</v>
      </c>
    </row>
    <row r="180" spans="1:10" ht="11.25" customHeight="1" x14ac:dyDescent="0.2">
      <c r="A180" s="49">
        <v>44713</v>
      </c>
      <c r="B180" s="39">
        <v>0</v>
      </c>
      <c r="C180" s="39">
        <v>0</v>
      </c>
      <c r="D180" s="39">
        <v>5558.7999599999994</v>
      </c>
      <c r="E180" s="39">
        <v>5714.3506275913023</v>
      </c>
      <c r="F180" s="39">
        <v>5317.4914800000006</v>
      </c>
      <c r="G180" s="39">
        <v>4001.323106702117</v>
      </c>
      <c r="H180" s="40">
        <v>2.7982778425310162E-2</v>
      </c>
      <c r="I180" s="40">
        <v>-0.24751678084454276</v>
      </c>
      <c r="J180" s="40">
        <v>-0.10671079495333768</v>
      </c>
    </row>
    <row r="181" spans="1:10" ht="11.25" customHeight="1" x14ac:dyDescent="0.2">
      <c r="A181" s="49">
        <v>44743</v>
      </c>
      <c r="B181" s="39">
        <v>0</v>
      </c>
      <c r="C181" s="39">
        <v>0</v>
      </c>
      <c r="D181" s="39">
        <v>4816.0340100000003</v>
      </c>
      <c r="E181" s="39">
        <v>4950.800022590588</v>
      </c>
      <c r="F181" s="39">
        <v>4606.9691300000004</v>
      </c>
      <c r="G181" s="39">
        <v>3466.6669614922166</v>
      </c>
      <c r="H181" s="40">
        <v>2.7982778425310162E-2</v>
      </c>
      <c r="I181" s="40">
        <v>-0.24751678084454276</v>
      </c>
      <c r="J181" s="40">
        <v>-0.10671079495333757</v>
      </c>
    </row>
    <row r="182" spans="1:10" ht="11.25" customHeight="1" x14ac:dyDescent="0.2">
      <c r="A182" s="49">
        <v>44774</v>
      </c>
      <c r="B182" s="39">
        <v>0</v>
      </c>
      <c r="C182" s="39">
        <v>0</v>
      </c>
      <c r="D182" s="39">
        <v>4816.0340100000003</v>
      </c>
      <c r="E182" s="39">
        <v>4950.800022590588</v>
      </c>
      <c r="F182" s="39">
        <v>4606.9691300000004</v>
      </c>
      <c r="G182" s="39">
        <v>3466.6669614922166</v>
      </c>
      <c r="H182" s="40">
        <v>2.7982778425310162E-2</v>
      </c>
      <c r="I182" s="40">
        <v>-0.24751678084454276</v>
      </c>
      <c r="J182" s="40">
        <v>-0.10671079495333757</v>
      </c>
    </row>
    <row r="183" spans="1:10" ht="11.25" customHeight="1" x14ac:dyDescent="0.2">
      <c r="A183" s="45" t="s">
        <v>31</v>
      </c>
      <c r="B183" s="39">
        <v>0</v>
      </c>
      <c r="C183" s="39">
        <v>0</v>
      </c>
      <c r="D183" s="39">
        <v>24699.675599999999</v>
      </c>
      <c r="E183" s="39">
        <v>25390.841149491844</v>
      </c>
      <c r="F183" s="39">
        <v>23627.008600000001</v>
      </c>
      <c r="G183" s="39">
        <v>17779.265923849951</v>
      </c>
      <c r="H183" s="40">
        <v>2.7982778425310384E-2</v>
      </c>
      <c r="I183" s="40">
        <v>-0.247502456834508</v>
      </c>
      <c r="J183" s="40">
        <v>-0.10670248149692441</v>
      </c>
    </row>
    <row r="184" spans="1:10" ht="11.25" customHeight="1" x14ac:dyDescent="0.2">
      <c r="A184" s="46" t="s">
        <v>25</v>
      </c>
      <c r="B184" s="39">
        <v>0</v>
      </c>
      <c r="C184" s="39">
        <v>0</v>
      </c>
      <c r="D184" s="39">
        <v>24699.675599999999</v>
      </c>
      <c r="E184" s="39">
        <v>25390.841149491844</v>
      </c>
      <c r="F184" s="39">
        <v>23627.008600000001</v>
      </c>
      <c r="G184" s="39">
        <v>17779.265923849951</v>
      </c>
      <c r="H184" s="40">
        <v>2.7982778425310384E-2</v>
      </c>
      <c r="I184" s="40">
        <v>-0.247502456834508</v>
      </c>
      <c r="J184" s="40">
        <v>-0.10670248149692441</v>
      </c>
    </row>
    <row r="185" spans="1:10" ht="11.25" customHeight="1" x14ac:dyDescent="0.2">
      <c r="A185" s="47" t="s">
        <v>25</v>
      </c>
      <c r="B185" s="39">
        <v>0</v>
      </c>
      <c r="C185" s="39">
        <v>0</v>
      </c>
      <c r="D185" s="39">
        <v>24699.675599999999</v>
      </c>
      <c r="E185" s="39">
        <v>25390.841149491844</v>
      </c>
      <c r="F185" s="39">
        <v>23627.008600000001</v>
      </c>
      <c r="G185" s="39">
        <v>17779.265923849951</v>
      </c>
      <c r="H185" s="40">
        <v>2.7982778425310384E-2</v>
      </c>
      <c r="I185" s="40">
        <v>-0.247502456834508</v>
      </c>
      <c r="J185" s="40">
        <v>-0.10670248149692441</v>
      </c>
    </row>
    <row r="186" spans="1:10" ht="11.25" customHeight="1" x14ac:dyDescent="0.2">
      <c r="A186" s="48" t="s">
        <v>25</v>
      </c>
      <c r="B186" s="39">
        <v>0</v>
      </c>
      <c r="C186" s="39">
        <v>0</v>
      </c>
      <c r="D186" s="39">
        <v>24699.675599999999</v>
      </c>
      <c r="E186" s="39">
        <v>25390.841149491844</v>
      </c>
      <c r="F186" s="39">
        <v>23627.008600000001</v>
      </c>
      <c r="G186" s="39">
        <v>17779.265923849951</v>
      </c>
      <c r="H186" s="40">
        <v>2.7982778425310384E-2</v>
      </c>
      <c r="I186" s="40">
        <v>-0.247502456834508</v>
      </c>
      <c r="J186" s="40">
        <v>-0.10670248149692441</v>
      </c>
    </row>
    <row r="187" spans="1:10" ht="11.25" customHeight="1" x14ac:dyDescent="0.2">
      <c r="A187" s="49">
        <v>44440</v>
      </c>
      <c r="B187" s="39">
        <v>0</v>
      </c>
      <c r="C187" s="39">
        <v>0</v>
      </c>
      <c r="D187" s="39">
        <v>1053.2052000000001</v>
      </c>
      <c r="E187" s="39">
        <v>1082.6768077479844</v>
      </c>
      <c r="F187" s="39">
        <v>1007.4662000000001</v>
      </c>
      <c r="G187" s="39">
        <v>758.11584032227415</v>
      </c>
      <c r="H187" s="40">
        <v>2.798277842530994E-2</v>
      </c>
      <c r="I187" s="40">
        <v>-0.24750245683450811</v>
      </c>
      <c r="J187" s="40">
        <v>-0.10670248149692452</v>
      </c>
    </row>
    <row r="188" spans="1:10" ht="11.25" customHeight="1" x14ac:dyDescent="0.2">
      <c r="A188" s="49">
        <v>44470</v>
      </c>
      <c r="B188" s="39">
        <v>0</v>
      </c>
      <c r="C188" s="39">
        <v>0</v>
      </c>
      <c r="D188" s="39">
        <v>1232.9091000000003</v>
      </c>
      <c r="E188" s="39">
        <v>1267.4093221638486</v>
      </c>
      <c r="F188" s="39">
        <v>1179.3658500000001</v>
      </c>
      <c r="G188" s="39">
        <v>887.46990461828227</v>
      </c>
      <c r="H188" s="40">
        <v>2.798277842530994E-2</v>
      </c>
      <c r="I188" s="40">
        <v>-0.247502456834508</v>
      </c>
      <c r="J188" s="40">
        <v>-0.10670248149692452</v>
      </c>
    </row>
    <row r="189" spans="1:10" ht="11.25" customHeight="1" x14ac:dyDescent="0.2">
      <c r="A189" s="49">
        <v>44501</v>
      </c>
      <c r="B189" s="39">
        <v>0</v>
      </c>
      <c r="C189" s="39">
        <v>0</v>
      </c>
      <c r="D189" s="39">
        <v>1386.3743999999999</v>
      </c>
      <c r="E189" s="39">
        <v>1425.1690076497223</v>
      </c>
      <c r="F189" s="39">
        <v>1326.1664000000001</v>
      </c>
      <c r="G189" s="39">
        <v>997.93695782862505</v>
      </c>
      <c r="H189" s="40">
        <v>2.7982778425310162E-2</v>
      </c>
      <c r="I189" s="40">
        <v>-0.24750245683450811</v>
      </c>
      <c r="J189" s="40">
        <v>-0.1067024814969243</v>
      </c>
    </row>
    <row r="190" spans="1:10" ht="11.25" customHeight="1" x14ac:dyDescent="0.2">
      <c r="A190" s="49">
        <v>44531</v>
      </c>
      <c r="B190" s="39">
        <v>0</v>
      </c>
      <c r="C190" s="39">
        <v>0</v>
      </c>
      <c r="D190" s="39">
        <v>857.63610000000006</v>
      </c>
      <c r="E190" s="39">
        <v>881.63514095584719</v>
      </c>
      <c r="F190" s="39">
        <v>820.39035000000001</v>
      </c>
      <c r="G190" s="39">
        <v>617.3417228116781</v>
      </c>
      <c r="H190" s="40">
        <v>2.7982778425310162E-2</v>
      </c>
      <c r="I190" s="40">
        <v>-0.247502456834508</v>
      </c>
      <c r="J190" s="40">
        <v>-0.10670248149692452</v>
      </c>
    </row>
    <row r="191" spans="1:10" ht="11.25" customHeight="1" x14ac:dyDescent="0.2">
      <c r="A191" s="49">
        <v>44562</v>
      </c>
      <c r="B191" s="39">
        <v>0</v>
      </c>
      <c r="C191" s="39">
        <v>0</v>
      </c>
      <c r="D191" s="39">
        <v>1524.2796000000003</v>
      </c>
      <c r="E191" s="39">
        <v>1566.9331783050206</v>
      </c>
      <c r="F191" s="39">
        <v>1458.0826000000002</v>
      </c>
      <c r="G191" s="39">
        <v>1097.2035742323528</v>
      </c>
      <c r="H191" s="40">
        <v>2.7982778425310162E-2</v>
      </c>
      <c r="I191" s="40">
        <v>-0.24750245683450811</v>
      </c>
      <c r="J191" s="40">
        <v>-0.10670248149692452</v>
      </c>
    </row>
    <row r="192" spans="1:10" ht="11.25" customHeight="1" x14ac:dyDescent="0.2">
      <c r="A192" s="49">
        <v>44593</v>
      </c>
      <c r="B192" s="39">
        <v>0</v>
      </c>
      <c r="C192" s="39">
        <v>0</v>
      </c>
      <c r="D192" s="39">
        <v>5138.1891000000005</v>
      </c>
      <c r="E192" s="39">
        <v>5281.9699070926445</v>
      </c>
      <c r="F192" s="39">
        <v>4915.0458500000004</v>
      </c>
      <c r="G192" s="39">
        <v>3698.5599266707472</v>
      </c>
      <c r="H192" s="40">
        <v>2.7982778425310162E-2</v>
      </c>
      <c r="I192" s="40">
        <v>-0.24750245683450811</v>
      </c>
      <c r="J192" s="40">
        <v>-0.10670248149692452</v>
      </c>
    </row>
    <row r="193" spans="1:10" ht="11.25" customHeight="1" x14ac:dyDescent="0.2">
      <c r="A193" s="49">
        <v>44621</v>
      </c>
      <c r="B193" s="39">
        <v>0</v>
      </c>
      <c r="C193" s="39">
        <v>0</v>
      </c>
      <c r="D193" s="39">
        <v>3572.1108000000004</v>
      </c>
      <c r="E193" s="39">
        <v>3672.0683850270575</v>
      </c>
      <c r="F193" s="39">
        <v>3416.9798000000005</v>
      </c>
      <c r="G193" s="39">
        <v>2571.2689045461143</v>
      </c>
      <c r="H193" s="40">
        <v>2.7982778425310162E-2</v>
      </c>
      <c r="I193" s="40">
        <v>-0.24750245683450811</v>
      </c>
      <c r="J193" s="40">
        <v>-0.10670248149692452</v>
      </c>
    </row>
    <row r="194" spans="1:10" ht="11.25" customHeight="1" x14ac:dyDescent="0.2">
      <c r="A194" s="49">
        <v>44652</v>
      </c>
      <c r="B194" s="39">
        <v>0</v>
      </c>
      <c r="C194" s="39">
        <v>0</v>
      </c>
      <c r="D194" s="39">
        <v>1599.0291</v>
      </c>
      <c r="E194" s="39">
        <v>1643.7743770009231</v>
      </c>
      <c r="F194" s="39">
        <v>1529.5858499999999</v>
      </c>
      <c r="G194" s="39">
        <v>1151.0095941857007</v>
      </c>
      <c r="H194" s="40">
        <v>2.7982778425310162E-2</v>
      </c>
      <c r="I194" s="40">
        <v>-0.247502456834508</v>
      </c>
      <c r="J194" s="40">
        <v>-0.10670248149692452</v>
      </c>
    </row>
    <row r="195" spans="1:10" ht="11.25" customHeight="1" x14ac:dyDescent="0.2">
      <c r="A195" s="49">
        <v>44682</v>
      </c>
      <c r="B195" s="39">
        <v>0</v>
      </c>
      <c r="C195" s="39">
        <v>0</v>
      </c>
      <c r="D195" s="39">
        <v>1645.0992000000003</v>
      </c>
      <c r="E195" s="39">
        <v>1691.1336464012552</v>
      </c>
      <c r="F195" s="39">
        <v>1573.6552000000001</v>
      </c>
      <c r="G195" s="39">
        <v>1184.1716717896011</v>
      </c>
      <c r="H195" s="40">
        <v>2.7982778425310162E-2</v>
      </c>
      <c r="I195" s="40">
        <v>-0.247502456834508</v>
      </c>
      <c r="J195" s="40">
        <v>-0.10670248149692452</v>
      </c>
    </row>
    <row r="196" spans="1:10" ht="11.25" customHeight="1" x14ac:dyDescent="0.2">
      <c r="A196" s="49">
        <v>44713</v>
      </c>
      <c r="B196" s="39">
        <v>0</v>
      </c>
      <c r="C196" s="39">
        <v>0</v>
      </c>
      <c r="D196" s="39">
        <v>2523.7872000000002</v>
      </c>
      <c r="E196" s="39">
        <v>2594.4097780102338</v>
      </c>
      <c r="F196" s="39">
        <v>2414.1832000000004</v>
      </c>
      <c r="G196" s="39">
        <v>1816.6669267514055</v>
      </c>
      <c r="H196" s="40">
        <v>2.798277842530994E-2</v>
      </c>
      <c r="I196" s="40">
        <v>-0.24750245683450811</v>
      </c>
      <c r="J196" s="40">
        <v>-0.10670248149692452</v>
      </c>
    </row>
    <row r="197" spans="1:10" ht="11.25" customHeight="1" x14ac:dyDescent="0.2">
      <c r="A197" s="49">
        <v>44743</v>
      </c>
      <c r="B197" s="39">
        <v>0</v>
      </c>
      <c r="C197" s="39">
        <v>0</v>
      </c>
      <c r="D197" s="39">
        <v>2083.5279</v>
      </c>
      <c r="E197" s="39">
        <v>2141.8307995686519</v>
      </c>
      <c r="F197" s="39">
        <v>1993.0436500000001</v>
      </c>
      <c r="G197" s="39">
        <v>1499.7604500465845</v>
      </c>
      <c r="H197" s="40">
        <v>2.7982778425310162E-2</v>
      </c>
      <c r="I197" s="40">
        <v>-0.24750245683450811</v>
      </c>
      <c r="J197" s="40">
        <v>-0.10670248149692452</v>
      </c>
    </row>
    <row r="198" spans="1:10" ht="11.25" customHeight="1" x14ac:dyDescent="0.2">
      <c r="A198" s="49">
        <v>44774</v>
      </c>
      <c r="B198" s="39">
        <v>0</v>
      </c>
      <c r="C198" s="39">
        <v>0</v>
      </c>
      <c r="D198" s="39">
        <v>2083.5279</v>
      </c>
      <c r="E198" s="39">
        <v>2141.8307995686519</v>
      </c>
      <c r="F198" s="39">
        <v>1993.0436500000001</v>
      </c>
      <c r="G198" s="39">
        <v>1499.7604500465845</v>
      </c>
      <c r="H198" s="40">
        <v>2.7982778425310162E-2</v>
      </c>
      <c r="I198" s="40">
        <v>-0.24750245683450811</v>
      </c>
      <c r="J198" s="40">
        <v>-0.10670248149692452</v>
      </c>
    </row>
    <row r="199" spans="1:10" ht="11.25" customHeight="1" x14ac:dyDescent="0.2">
      <c r="A199" s="42" t="s">
        <v>40</v>
      </c>
      <c r="B199" s="39">
        <v>0</v>
      </c>
      <c r="C199" s="39">
        <v>0</v>
      </c>
      <c r="D199" s="39">
        <v>4586720.7502380013</v>
      </c>
      <c r="E199" s="39">
        <v>5543940.3464881554</v>
      </c>
      <c r="F199" s="39">
        <v>3611415.0963660004</v>
      </c>
      <c r="G199" s="39">
        <v>2902847.9947554865</v>
      </c>
      <c r="H199" s="40">
        <v>0.20869367209688638</v>
      </c>
      <c r="I199" s="40">
        <v>-0.19620206559016484</v>
      </c>
      <c r="J199" s="40">
        <v>3.0330370134405982E-2</v>
      </c>
    </row>
    <row r="200" spans="1:10" ht="11.25" customHeight="1" x14ac:dyDescent="0.2">
      <c r="A200" s="43" t="s">
        <v>23</v>
      </c>
      <c r="B200" s="39">
        <v>0</v>
      </c>
      <c r="C200" s="39">
        <v>0</v>
      </c>
      <c r="D200" s="39">
        <v>4586720.7502380013</v>
      </c>
      <c r="E200" s="39">
        <v>5543940.3464881554</v>
      </c>
      <c r="F200" s="39">
        <v>3611415.0963660004</v>
      </c>
      <c r="G200" s="39">
        <v>2902847.9947554865</v>
      </c>
      <c r="H200" s="40">
        <v>0.20869367209688638</v>
      </c>
      <c r="I200" s="40">
        <v>-0.19620206559016484</v>
      </c>
      <c r="J200" s="40">
        <v>3.0330370134405982E-2</v>
      </c>
    </row>
    <row r="201" spans="1:10" ht="11.25" customHeight="1" x14ac:dyDescent="0.2">
      <c r="A201" s="44" t="s">
        <v>41</v>
      </c>
      <c r="B201" s="39">
        <v>0</v>
      </c>
      <c r="C201" s="39">
        <v>0</v>
      </c>
      <c r="D201" s="39">
        <v>4586720.7502380013</v>
      </c>
      <c r="E201" s="39">
        <v>5543940.3464881554</v>
      </c>
      <c r="F201" s="39">
        <v>3611415.0963660004</v>
      </c>
      <c r="G201" s="39">
        <v>2902847.9947554865</v>
      </c>
      <c r="H201" s="40">
        <v>0.20869367209688638</v>
      </c>
      <c r="I201" s="40">
        <v>-0.19620206559016484</v>
      </c>
      <c r="J201" s="40">
        <v>3.0330370134405982E-2</v>
      </c>
    </row>
    <row r="202" spans="1:10" ht="11.25" customHeight="1" x14ac:dyDescent="0.2">
      <c r="A202" s="45" t="s">
        <v>50</v>
      </c>
      <c r="B202" s="39">
        <v>0</v>
      </c>
      <c r="C202" s="39">
        <v>0</v>
      </c>
      <c r="D202" s="39">
        <v>845763.1114980001</v>
      </c>
      <c r="E202" s="39">
        <v>1022268.5209606061</v>
      </c>
      <c r="F202" s="39">
        <v>665922.74418600008</v>
      </c>
      <c r="G202" s="39">
        <v>535267.32625323569</v>
      </c>
      <c r="H202" s="40">
        <v>0.20869367209688572</v>
      </c>
      <c r="I202" s="40">
        <v>-0.19620206559016551</v>
      </c>
      <c r="J202" s="40">
        <v>3.0330370134405094E-2</v>
      </c>
    </row>
    <row r="203" spans="1:10" ht="11.25" customHeight="1" x14ac:dyDescent="0.2">
      <c r="A203" s="46" t="s">
        <v>51</v>
      </c>
      <c r="B203" s="39">
        <v>0</v>
      </c>
      <c r="C203" s="39">
        <v>0</v>
      </c>
      <c r="D203" s="39">
        <v>562205.10068999999</v>
      </c>
      <c r="E203" s="39">
        <v>679533.74762459588</v>
      </c>
      <c r="F203" s="39">
        <v>442659.60333000001</v>
      </c>
      <c r="G203" s="39">
        <v>355808.87480333087</v>
      </c>
      <c r="H203" s="40">
        <v>0.20869367209688594</v>
      </c>
      <c r="I203" s="40">
        <v>-0.19620206559016518</v>
      </c>
      <c r="J203" s="40">
        <v>3.0330370134405538E-2</v>
      </c>
    </row>
    <row r="204" spans="1:10" ht="11.25" customHeight="1" x14ac:dyDescent="0.2">
      <c r="A204" s="47" t="s">
        <v>25</v>
      </c>
      <c r="B204" s="39">
        <v>0</v>
      </c>
      <c r="C204" s="39">
        <v>0</v>
      </c>
      <c r="D204" s="39">
        <v>562205.10068999999</v>
      </c>
      <c r="E204" s="39">
        <v>679533.74762459588</v>
      </c>
      <c r="F204" s="39">
        <v>442659.60333000001</v>
      </c>
      <c r="G204" s="39">
        <v>355808.87480333087</v>
      </c>
      <c r="H204" s="40">
        <v>0.20869367209688594</v>
      </c>
      <c r="I204" s="40">
        <v>-0.19620206559016518</v>
      </c>
      <c r="J204" s="40">
        <v>3.0330370134405538E-2</v>
      </c>
    </row>
    <row r="205" spans="1:10" ht="11.25" customHeight="1" x14ac:dyDescent="0.2">
      <c r="A205" s="48" t="s">
        <v>25</v>
      </c>
      <c r="B205" s="39">
        <v>0</v>
      </c>
      <c r="C205" s="39">
        <v>0</v>
      </c>
      <c r="D205" s="39">
        <v>562205.10068999999</v>
      </c>
      <c r="E205" s="39">
        <v>679533.74762459588</v>
      </c>
      <c r="F205" s="39">
        <v>442659.60333000001</v>
      </c>
      <c r="G205" s="39">
        <v>355808.87480333087</v>
      </c>
      <c r="H205" s="40">
        <v>0.20869367209688594</v>
      </c>
      <c r="I205" s="40">
        <v>-0.19620206559016518</v>
      </c>
      <c r="J205" s="40">
        <v>3.0330370134405538E-2</v>
      </c>
    </row>
    <row r="206" spans="1:10" ht="11.25" customHeight="1" x14ac:dyDescent="0.2">
      <c r="A206" s="49">
        <v>44440</v>
      </c>
      <c r="B206" s="39">
        <v>0</v>
      </c>
      <c r="C206" s="39">
        <v>0</v>
      </c>
      <c r="D206" s="39">
        <v>44987.472420000006</v>
      </c>
      <c r="E206" s="39">
        <v>54376.073237687204</v>
      </c>
      <c r="F206" s="39">
        <v>35421.479939999997</v>
      </c>
      <c r="G206" s="39">
        <v>28471.712409511405</v>
      </c>
      <c r="H206" s="40">
        <v>0.20869367209688638</v>
      </c>
      <c r="I206" s="40">
        <v>-0.19620206559016495</v>
      </c>
      <c r="J206" s="40">
        <v>3.0330370134405982E-2</v>
      </c>
    </row>
    <row r="207" spans="1:10" ht="11.25" customHeight="1" x14ac:dyDescent="0.2">
      <c r="A207" s="49">
        <v>44470</v>
      </c>
      <c r="B207" s="39">
        <v>0</v>
      </c>
      <c r="C207" s="39">
        <v>0</v>
      </c>
      <c r="D207" s="39">
        <v>59866.629269999998</v>
      </c>
      <c r="E207" s="39">
        <v>72360.415968419242</v>
      </c>
      <c r="F207" s="39">
        <v>47136.780389999993</v>
      </c>
      <c r="G207" s="39">
        <v>37888.446712212011</v>
      </c>
      <c r="H207" s="40">
        <v>0.20869367209688638</v>
      </c>
      <c r="I207" s="40">
        <v>-0.19620206559016495</v>
      </c>
      <c r="J207" s="40">
        <v>3.0330370134405982E-2</v>
      </c>
    </row>
    <row r="208" spans="1:10" ht="11.25" customHeight="1" x14ac:dyDescent="0.2">
      <c r="A208" s="49">
        <v>44501</v>
      </c>
      <c r="B208" s="39">
        <v>0</v>
      </c>
      <c r="C208" s="39">
        <v>0</v>
      </c>
      <c r="D208" s="39">
        <v>43496.13173999999</v>
      </c>
      <c r="E208" s="39">
        <v>52573.499194830525</v>
      </c>
      <c r="F208" s="39">
        <v>34247.253179999992</v>
      </c>
      <c r="G208" s="39">
        <v>27527.871365294646</v>
      </c>
      <c r="H208" s="40">
        <v>0.20869367209688661</v>
      </c>
      <c r="I208" s="40">
        <v>-0.19620206559016506</v>
      </c>
      <c r="J208" s="40">
        <v>3.0330370134405982E-2</v>
      </c>
    </row>
    <row r="209" spans="1:10" ht="11.25" customHeight="1" x14ac:dyDescent="0.2">
      <c r="A209" s="49">
        <v>44531</v>
      </c>
      <c r="B209" s="39">
        <v>0</v>
      </c>
      <c r="C209" s="39">
        <v>0</v>
      </c>
      <c r="D209" s="39">
        <v>38494.986660000002</v>
      </c>
      <c r="E209" s="39">
        <v>46528.646783396056</v>
      </c>
      <c r="F209" s="39">
        <v>30309.535619999999</v>
      </c>
      <c r="G209" s="39">
        <v>24362.742124277316</v>
      </c>
      <c r="H209" s="40">
        <v>0.20869367209688638</v>
      </c>
      <c r="I209" s="40">
        <v>-0.19620206559016506</v>
      </c>
      <c r="J209" s="40">
        <v>3.033037013440576E-2</v>
      </c>
    </row>
    <row r="210" spans="1:10" ht="11.25" customHeight="1" x14ac:dyDescent="0.2">
      <c r="A210" s="49">
        <v>44562</v>
      </c>
      <c r="B210" s="39">
        <v>0</v>
      </c>
      <c r="C210" s="39">
        <v>0</v>
      </c>
      <c r="D210" s="39">
        <v>44811.003629999999</v>
      </c>
      <c r="E210" s="39">
        <v>54162.776527891605</v>
      </c>
      <c r="F210" s="39">
        <v>35282.534909999995</v>
      </c>
      <c r="G210" s="39">
        <v>28360.02868140089</v>
      </c>
      <c r="H210" s="40">
        <v>0.20869367209688638</v>
      </c>
      <c r="I210" s="40">
        <v>-0.19620206559016495</v>
      </c>
      <c r="J210" s="40">
        <v>3.033037013440576E-2</v>
      </c>
    </row>
    <row r="211" spans="1:10" ht="11.25" customHeight="1" x14ac:dyDescent="0.2">
      <c r="A211" s="49">
        <v>44593</v>
      </c>
      <c r="B211" s="39">
        <v>0</v>
      </c>
      <c r="C211" s="39">
        <v>0</v>
      </c>
      <c r="D211" s="39">
        <v>49045.276020000005</v>
      </c>
      <c r="E211" s="39">
        <v>59280.714771619168</v>
      </c>
      <c r="F211" s="39">
        <v>38616.445139999996</v>
      </c>
      <c r="G211" s="39">
        <v>31039.818837782706</v>
      </c>
      <c r="H211" s="40">
        <v>0.20869367209688638</v>
      </c>
      <c r="I211" s="40">
        <v>-0.19620206559016506</v>
      </c>
      <c r="J211" s="40">
        <v>3.033037013440576E-2</v>
      </c>
    </row>
    <row r="212" spans="1:10" ht="11.25" customHeight="1" x14ac:dyDescent="0.2">
      <c r="A212" s="49">
        <v>44621</v>
      </c>
      <c r="B212" s="39">
        <v>0</v>
      </c>
      <c r="C212" s="39">
        <v>0</v>
      </c>
      <c r="D212" s="39">
        <v>59262.525390000003</v>
      </c>
      <c r="E212" s="39">
        <v>71630.239431374066</v>
      </c>
      <c r="F212" s="39">
        <v>46661.131229999999</v>
      </c>
      <c r="G212" s="39">
        <v>37506.120899900241</v>
      </c>
      <c r="H212" s="40">
        <v>0.20869367209688638</v>
      </c>
      <c r="I212" s="40">
        <v>-0.19620206559016506</v>
      </c>
      <c r="J212" s="40">
        <v>3.0330370134405982E-2</v>
      </c>
    </row>
    <row r="213" spans="1:10" ht="11.25" customHeight="1" x14ac:dyDescent="0.2">
      <c r="A213" s="49">
        <v>44652</v>
      </c>
      <c r="B213" s="39">
        <v>0</v>
      </c>
      <c r="C213" s="39">
        <v>0</v>
      </c>
      <c r="D213" s="39">
        <v>54223.542270000005</v>
      </c>
      <c r="E213" s="39">
        <v>65539.652420427054</v>
      </c>
      <c r="F213" s="39">
        <v>42693.621389999993</v>
      </c>
      <c r="G213" s="39">
        <v>34317.044685757544</v>
      </c>
      <c r="H213" s="40">
        <v>0.20869367209688661</v>
      </c>
      <c r="I213" s="40">
        <v>-0.19620206559016495</v>
      </c>
      <c r="J213" s="40">
        <v>3.0330370134405982E-2</v>
      </c>
    </row>
    <row r="214" spans="1:10" ht="11.25" customHeight="1" x14ac:dyDescent="0.2">
      <c r="A214" s="49">
        <v>44682</v>
      </c>
      <c r="B214" s="39">
        <v>0</v>
      </c>
      <c r="C214" s="39">
        <v>0</v>
      </c>
      <c r="D214" s="39">
        <v>48137.815439999998</v>
      </c>
      <c r="E214" s="39">
        <v>58183.872910895785</v>
      </c>
      <c r="F214" s="39">
        <v>37901.944079999994</v>
      </c>
      <c r="G214" s="39">
        <v>30465.504361621068</v>
      </c>
      <c r="H214" s="40">
        <v>0.20869367209688616</v>
      </c>
      <c r="I214" s="40">
        <v>-0.19620206559016506</v>
      </c>
      <c r="J214" s="40">
        <v>3.033037013440576E-2</v>
      </c>
    </row>
    <row r="215" spans="1:10" ht="11.25" customHeight="1" x14ac:dyDescent="0.2">
      <c r="A215" s="49">
        <v>44713</v>
      </c>
      <c r="B215" s="39">
        <v>0</v>
      </c>
      <c r="C215" s="39">
        <v>0</v>
      </c>
      <c r="D215" s="39">
        <v>46139.249310000007</v>
      </c>
      <c r="E215" s="39">
        <v>55768.218676297634</v>
      </c>
      <c r="F215" s="39">
        <v>36328.346669999999</v>
      </c>
      <c r="G215" s="39">
        <v>29200.650013870407</v>
      </c>
      <c r="H215" s="40">
        <v>0.20869367209688638</v>
      </c>
      <c r="I215" s="40">
        <v>-0.19620206559016495</v>
      </c>
      <c r="J215" s="40">
        <v>3.033037013440576E-2</v>
      </c>
    </row>
    <row r="216" spans="1:10" ht="11.25" customHeight="1" x14ac:dyDescent="0.2">
      <c r="A216" s="49">
        <v>44743</v>
      </c>
      <c r="B216" s="39">
        <v>0</v>
      </c>
      <c r="C216" s="39">
        <v>0</v>
      </c>
      <c r="D216" s="39">
        <v>36870.234270000001</v>
      </c>
      <c r="E216" s="39">
        <v>44564.818850878764</v>
      </c>
      <c r="F216" s="39">
        <v>29030.26539</v>
      </c>
      <c r="G216" s="39">
        <v>23334.46735585132</v>
      </c>
      <c r="H216" s="40">
        <v>0.20869367209688638</v>
      </c>
      <c r="I216" s="40">
        <v>-0.19620206559016506</v>
      </c>
      <c r="J216" s="40">
        <v>3.033037013440576E-2</v>
      </c>
    </row>
    <row r="217" spans="1:10" ht="11.25" customHeight="1" x14ac:dyDescent="0.2">
      <c r="A217" s="49">
        <v>44774</v>
      </c>
      <c r="B217" s="39">
        <v>0</v>
      </c>
      <c r="C217" s="39">
        <v>0</v>
      </c>
      <c r="D217" s="39">
        <v>36870.234270000001</v>
      </c>
      <c r="E217" s="39">
        <v>44564.818850878764</v>
      </c>
      <c r="F217" s="39">
        <v>29030.26539</v>
      </c>
      <c r="G217" s="39">
        <v>23334.46735585132</v>
      </c>
      <c r="H217" s="40">
        <v>0.20869367209688638</v>
      </c>
      <c r="I217" s="40">
        <v>-0.19620206559016506</v>
      </c>
      <c r="J217" s="40">
        <v>3.033037013440576E-2</v>
      </c>
    </row>
    <row r="218" spans="1:10" ht="11.25" customHeight="1" x14ac:dyDescent="0.2">
      <c r="A218" s="46" t="s">
        <v>52</v>
      </c>
      <c r="B218" s="39">
        <v>0</v>
      </c>
      <c r="C218" s="39">
        <v>0</v>
      </c>
      <c r="D218" s="39">
        <v>283558.01080799999</v>
      </c>
      <c r="E218" s="39">
        <v>342734.77333601011</v>
      </c>
      <c r="F218" s="39">
        <v>223263.14085599998</v>
      </c>
      <c r="G218" s="39">
        <v>179458.45144990477</v>
      </c>
      <c r="H218" s="40">
        <v>0.20869367209688594</v>
      </c>
      <c r="I218" s="40">
        <v>-0.19620206559016506</v>
      </c>
      <c r="J218" s="40">
        <v>3.033037013440576E-2</v>
      </c>
    </row>
    <row r="219" spans="1:10" ht="11.25" customHeight="1" x14ac:dyDescent="0.2">
      <c r="A219" s="47" t="s">
        <v>25</v>
      </c>
      <c r="B219" s="39">
        <v>0</v>
      </c>
      <c r="C219" s="39">
        <v>0</v>
      </c>
      <c r="D219" s="39">
        <v>283558.01080799999</v>
      </c>
      <c r="E219" s="39">
        <v>342734.77333601011</v>
      </c>
      <c r="F219" s="39">
        <v>223263.14085599998</v>
      </c>
      <c r="G219" s="39">
        <v>179458.45144990477</v>
      </c>
      <c r="H219" s="40">
        <v>0.20869367209688594</v>
      </c>
      <c r="I219" s="40">
        <v>-0.19620206559016506</v>
      </c>
      <c r="J219" s="40">
        <v>3.033037013440576E-2</v>
      </c>
    </row>
    <row r="220" spans="1:10" ht="11.25" customHeight="1" x14ac:dyDescent="0.2">
      <c r="A220" s="48" t="s">
        <v>25</v>
      </c>
      <c r="B220" s="39">
        <v>0</v>
      </c>
      <c r="C220" s="39">
        <v>0</v>
      </c>
      <c r="D220" s="39">
        <v>283558.01080799999</v>
      </c>
      <c r="E220" s="39">
        <v>342734.77333601011</v>
      </c>
      <c r="F220" s="39">
        <v>223263.14085599998</v>
      </c>
      <c r="G220" s="39">
        <v>179458.45144990477</v>
      </c>
      <c r="H220" s="40">
        <v>0.20869367209688594</v>
      </c>
      <c r="I220" s="40">
        <v>-0.19620206559016506</v>
      </c>
      <c r="J220" s="40">
        <v>3.033037013440576E-2</v>
      </c>
    </row>
    <row r="221" spans="1:10" ht="11.25" customHeight="1" x14ac:dyDescent="0.2">
      <c r="A221" s="49">
        <v>44440</v>
      </c>
      <c r="B221" s="39">
        <v>0</v>
      </c>
      <c r="C221" s="39">
        <v>0</v>
      </c>
      <c r="D221" s="39">
        <v>20382.177863999997</v>
      </c>
      <c r="E221" s="39">
        <v>24635.809407770033</v>
      </c>
      <c r="F221" s="39">
        <v>16048.176648000001</v>
      </c>
      <c r="G221" s="39">
        <v>12899.491240706548</v>
      </c>
      <c r="H221" s="40">
        <v>0.20869367209688661</v>
      </c>
      <c r="I221" s="40">
        <v>-0.19620206559016518</v>
      </c>
      <c r="J221" s="40">
        <v>3.033037013440576E-2</v>
      </c>
    </row>
    <row r="222" spans="1:10" ht="11.25" customHeight="1" x14ac:dyDescent="0.2">
      <c r="A222" s="49">
        <v>44470</v>
      </c>
      <c r="B222" s="39">
        <v>0</v>
      </c>
      <c r="C222" s="39">
        <v>0</v>
      </c>
      <c r="D222" s="39">
        <v>21881.412342000003</v>
      </c>
      <c r="E222" s="39">
        <v>26447.924634318111</v>
      </c>
      <c r="F222" s="39">
        <v>17228.618694000001</v>
      </c>
      <c r="G222" s="39">
        <v>13848.328118971867</v>
      </c>
      <c r="H222" s="40">
        <v>0.20869367209688616</v>
      </c>
      <c r="I222" s="40">
        <v>-0.19620206559016518</v>
      </c>
      <c r="J222" s="40">
        <v>3.033037013440576E-2</v>
      </c>
    </row>
    <row r="223" spans="1:10" ht="11.25" customHeight="1" x14ac:dyDescent="0.2">
      <c r="A223" s="49">
        <v>44501</v>
      </c>
      <c r="B223" s="39">
        <v>0</v>
      </c>
      <c r="C223" s="39">
        <v>0</v>
      </c>
      <c r="D223" s="39">
        <v>23051.912537999997</v>
      </c>
      <c r="E223" s="39">
        <v>27862.700814411477</v>
      </c>
      <c r="F223" s="39">
        <v>18150.227466</v>
      </c>
      <c r="G223" s="39">
        <v>14589.11534623945</v>
      </c>
      <c r="H223" s="40">
        <v>0.20869367209688661</v>
      </c>
      <c r="I223" s="40">
        <v>-0.19620206559016518</v>
      </c>
      <c r="J223" s="40">
        <v>3.033037013440576E-2</v>
      </c>
    </row>
    <row r="224" spans="1:10" ht="11.25" customHeight="1" x14ac:dyDescent="0.2">
      <c r="A224" s="49">
        <v>44531</v>
      </c>
      <c r="B224" s="39">
        <v>0</v>
      </c>
      <c r="C224" s="39">
        <v>0</v>
      </c>
      <c r="D224" s="39">
        <v>20356.735044000001</v>
      </c>
      <c r="E224" s="39">
        <v>24605.056832235732</v>
      </c>
      <c r="F224" s="39">
        <v>16028.143908</v>
      </c>
      <c r="G224" s="39">
        <v>12883.388965673979</v>
      </c>
      <c r="H224" s="40">
        <v>0.20869367209688638</v>
      </c>
      <c r="I224" s="40">
        <v>-0.19620206559016506</v>
      </c>
      <c r="J224" s="40">
        <v>3.0330370134405982E-2</v>
      </c>
    </row>
    <row r="225" spans="1:10" ht="11.25" customHeight="1" x14ac:dyDescent="0.2">
      <c r="A225" s="49">
        <v>44562</v>
      </c>
      <c r="B225" s="39">
        <v>0</v>
      </c>
      <c r="C225" s="39">
        <v>0</v>
      </c>
      <c r="D225" s="39">
        <v>20912.432327999999</v>
      </c>
      <c r="E225" s="39">
        <v>25276.724623007958</v>
      </c>
      <c r="F225" s="39">
        <v>16465.679495999997</v>
      </c>
      <c r="G225" s="39">
        <v>13235.07916753917</v>
      </c>
      <c r="H225" s="40">
        <v>0.20869367209688638</v>
      </c>
      <c r="I225" s="40">
        <v>-0.19620206559016506</v>
      </c>
      <c r="J225" s="40">
        <v>3.0330370134405982E-2</v>
      </c>
    </row>
    <row r="226" spans="1:10" ht="11.25" customHeight="1" x14ac:dyDescent="0.2">
      <c r="A226" s="49">
        <v>44593</v>
      </c>
      <c r="B226" s="39">
        <v>0</v>
      </c>
      <c r="C226" s="39">
        <v>0</v>
      </c>
      <c r="D226" s="39">
        <v>23337.981167999998</v>
      </c>
      <c r="E226" s="39">
        <v>28208.470157277905</v>
      </c>
      <c r="F226" s="39">
        <v>18375.467376000001</v>
      </c>
      <c r="G226" s="39">
        <v>14770.16272064411</v>
      </c>
      <c r="H226" s="40">
        <v>0.20869367209688661</v>
      </c>
      <c r="I226" s="40">
        <v>-0.19620206559016506</v>
      </c>
      <c r="J226" s="40">
        <v>3.0330370134405982E-2</v>
      </c>
    </row>
    <row r="227" spans="1:10" ht="11.25" customHeight="1" x14ac:dyDescent="0.2">
      <c r="A227" s="49">
        <v>44621</v>
      </c>
      <c r="B227" s="39">
        <v>0</v>
      </c>
      <c r="C227" s="39">
        <v>0</v>
      </c>
      <c r="D227" s="39">
        <v>24426.411959999998</v>
      </c>
      <c r="E227" s="39">
        <v>29524.049568083701</v>
      </c>
      <c r="F227" s="39">
        <v>19232.457719999999</v>
      </c>
      <c r="G227" s="39">
        <v>15459.00978896048</v>
      </c>
      <c r="H227" s="40">
        <v>0.20869367209688638</v>
      </c>
      <c r="I227" s="40">
        <v>-0.19620206559016518</v>
      </c>
      <c r="J227" s="40">
        <v>3.033037013440576E-2</v>
      </c>
    </row>
    <row r="228" spans="1:10" ht="11.25" customHeight="1" x14ac:dyDescent="0.2">
      <c r="A228" s="49">
        <v>44652</v>
      </c>
      <c r="B228" s="39">
        <v>0</v>
      </c>
      <c r="C228" s="39">
        <v>0</v>
      </c>
      <c r="D228" s="39">
        <v>31315.349045999996</v>
      </c>
      <c r="E228" s="39">
        <v>37850.66423140547</v>
      </c>
      <c r="F228" s="39">
        <v>24656.553221999999</v>
      </c>
      <c r="G228" s="39">
        <v>19818.886549509756</v>
      </c>
      <c r="H228" s="40">
        <v>0.20869367209688661</v>
      </c>
      <c r="I228" s="40">
        <v>-0.19620206559016518</v>
      </c>
      <c r="J228" s="40">
        <v>3.0330370134405982E-2</v>
      </c>
    </row>
    <row r="229" spans="1:10" ht="11.25" customHeight="1" x14ac:dyDescent="0.2">
      <c r="A229" s="49">
        <v>44682</v>
      </c>
      <c r="B229" s="39">
        <v>0</v>
      </c>
      <c r="C229" s="39">
        <v>0</v>
      </c>
      <c r="D229" s="39">
        <v>32013.330407999998</v>
      </c>
      <c r="E229" s="39">
        <v>38694.30988689643</v>
      </c>
      <c r="F229" s="39">
        <v>25206.118055999999</v>
      </c>
      <c r="G229" s="39">
        <v>20260.625627903242</v>
      </c>
      <c r="H229" s="40">
        <v>0.20869367209688638</v>
      </c>
      <c r="I229" s="40">
        <v>-0.19620206559016506</v>
      </c>
      <c r="J229" s="40">
        <v>3.0330370134405538E-2</v>
      </c>
    </row>
    <row r="230" spans="1:10" ht="11.25" customHeight="1" x14ac:dyDescent="0.2">
      <c r="A230" s="49">
        <v>44713</v>
      </c>
      <c r="B230" s="39">
        <v>0</v>
      </c>
      <c r="C230" s="39">
        <v>0</v>
      </c>
      <c r="D230" s="39">
        <v>21844.618110000003</v>
      </c>
      <c r="E230" s="39">
        <v>26403.451678930047</v>
      </c>
      <c r="F230" s="39">
        <v>17199.648269999998</v>
      </c>
      <c r="G230" s="39">
        <v>13825.041752001689</v>
      </c>
      <c r="H230" s="40">
        <v>0.20869367209688616</v>
      </c>
      <c r="I230" s="40">
        <v>-0.19620206559016506</v>
      </c>
      <c r="J230" s="40">
        <v>3.033037013440576E-2</v>
      </c>
    </row>
    <row r="231" spans="1:10" ht="11.25" customHeight="1" x14ac:dyDescent="0.2">
      <c r="A231" s="49">
        <v>44743</v>
      </c>
      <c r="B231" s="39">
        <v>0</v>
      </c>
      <c r="C231" s="39">
        <v>0</v>
      </c>
      <c r="D231" s="39">
        <v>22017.825000000001</v>
      </c>
      <c r="E231" s="39">
        <v>26612.805750836629</v>
      </c>
      <c r="F231" s="39">
        <v>17336.025000000001</v>
      </c>
      <c r="G231" s="39">
        <v>13934.661085877258</v>
      </c>
      <c r="H231" s="40">
        <v>0.20869367209688638</v>
      </c>
      <c r="I231" s="40">
        <v>-0.19620206559016518</v>
      </c>
      <c r="J231" s="40">
        <v>3.033037013440576E-2</v>
      </c>
    </row>
    <row r="232" spans="1:10" ht="11.25" customHeight="1" x14ac:dyDescent="0.2">
      <c r="A232" s="49">
        <v>44774</v>
      </c>
      <c r="B232" s="39">
        <v>0</v>
      </c>
      <c r="C232" s="39">
        <v>0</v>
      </c>
      <c r="D232" s="39">
        <v>22017.825000000001</v>
      </c>
      <c r="E232" s="39">
        <v>26612.805750836629</v>
      </c>
      <c r="F232" s="39">
        <v>17336.025000000001</v>
      </c>
      <c r="G232" s="39">
        <v>13934.661085877258</v>
      </c>
      <c r="H232" s="40">
        <v>0.20869367209688638</v>
      </c>
      <c r="I232" s="40">
        <v>-0.19620206559016518</v>
      </c>
      <c r="J232" s="40">
        <v>3.033037013440576E-2</v>
      </c>
    </row>
    <row r="233" spans="1:10" ht="11.25" customHeight="1" x14ac:dyDescent="0.2">
      <c r="A233" s="45" t="s">
        <v>25</v>
      </c>
      <c r="B233" s="39">
        <v>0</v>
      </c>
      <c r="C233" s="39">
        <v>0</v>
      </c>
      <c r="D233" s="39">
        <v>3740957.6387400003</v>
      </c>
      <c r="E233" s="39">
        <v>4521671.8255275479</v>
      </c>
      <c r="F233" s="39">
        <v>2945492.3521799999</v>
      </c>
      <c r="G233" s="39">
        <v>2367580.6685022502</v>
      </c>
      <c r="H233" s="40">
        <v>0.20869367209688616</v>
      </c>
      <c r="I233" s="40">
        <v>-0.19620206559016484</v>
      </c>
      <c r="J233" s="40">
        <v>3.033037013440576E-2</v>
      </c>
    </row>
    <row r="234" spans="1:10" ht="11.25" customHeight="1" x14ac:dyDescent="0.2">
      <c r="A234" s="46" t="s">
        <v>25</v>
      </c>
      <c r="B234" s="39">
        <v>0</v>
      </c>
      <c r="C234" s="39">
        <v>0</v>
      </c>
      <c r="D234" s="39">
        <v>3740957.6387400003</v>
      </c>
      <c r="E234" s="39">
        <v>4521671.8255275479</v>
      </c>
      <c r="F234" s="39">
        <v>2945492.3521799999</v>
      </c>
      <c r="G234" s="39">
        <v>2367580.6685022502</v>
      </c>
      <c r="H234" s="40">
        <v>0.20869367209688616</v>
      </c>
      <c r="I234" s="40">
        <v>-0.19620206559016484</v>
      </c>
      <c r="J234" s="40">
        <v>3.033037013440576E-2</v>
      </c>
    </row>
    <row r="235" spans="1:10" ht="11.25" customHeight="1" x14ac:dyDescent="0.2">
      <c r="A235" s="47" t="s">
        <v>25</v>
      </c>
      <c r="B235" s="39">
        <v>0</v>
      </c>
      <c r="C235" s="39">
        <v>0</v>
      </c>
      <c r="D235" s="39">
        <v>3740957.6387400003</v>
      </c>
      <c r="E235" s="39">
        <v>4521671.8255275479</v>
      </c>
      <c r="F235" s="39">
        <v>2945492.3521799999</v>
      </c>
      <c r="G235" s="39">
        <v>2367580.6685022502</v>
      </c>
      <c r="H235" s="40">
        <v>0.20869367209688616</v>
      </c>
      <c r="I235" s="40">
        <v>-0.19620206559016484</v>
      </c>
      <c r="J235" s="40">
        <v>3.033037013440576E-2</v>
      </c>
    </row>
    <row r="236" spans="1:10" ht="11.25" customHeight="1" x14ac:dyDescent="0.2">
      <c r="A236" s="48" t="s">
        <v>25</v>
      </c>
      <c r="B236" s="39">
        <v>0</v>
      </c>
      <c r="C236" s="39">
        <v>0</v>
      </c>
      <c r="D236" s="39">
        <v>3740957.6387400003</v>
      </c>
      <c r="E236" s="39">
        <v>4521671.8255275479</v>
      </c>
      <c r="F236" s="39">
        <v>2945492.3521799999</v>
      </c>
      <c r="G236" s="39">
        <v>2367580.6685022502</v>
      </c>
      <c r="H236" s="40">
        <v>0.20869367209688616</v>
      </c>
      <c r="I236" s="40">
        <v>-0.19620206559016484</v>
      </c>
      <c r="J236" s="40">
        <v>3.033037013440576E-2</v>
      </c>
    </row>
    <row r="237" spans="1:10" ht="11.25" customHeight="1" x14ac:dyDescent="0.2">
      <c r="A237" s="49">
        <v>44440</v>
      </c>
      <c r="B237" s="39">
        <v>0</v>
      </c>
      <c r="C237" s="39">
        <v>0</v>
      </c>
      <c r="D237" s="39">
        <v>325223.82522</v>
      </c>
      <c r="E237" s="39">
        <v>393095.9795585578</v>
      </c>
      <c r="F237" s="39">
        <v>256069.26954000001</v>
      </c>
      <c r="G237" s="39">
        <v>205827.94992208725</v>
      </c>
      <c r="H237" s="40">
        <v>0.20869367209688638</v>
      </c>
      <c r="I237" s="40">
        <v>-0.19620206559016518</v>
      </c>
      <c r="J237" s="40">
        <v>3.0330370134405982E-2</v>
      </c>
    </row>
    <row r="238" spans="1:10" ht="11.25" customHeight="1" x14ac:dyDescent="0.2">
      <c r="A238" s="49">
        <v>44470</v>
      </c>
      <c r="B238" s="39">
        <v>0</v>
      </c>
      <c r="C238" s="39">
        <v>0</v>
      </c>
      <c r="D238" s="39">
        <v>335382.36038999999</v>
      </c>
      <c r="E238" s="39">
        <v>405374.53673631046</v>
      </c>
      <c r="F238" s="39">
        <v>264067.72622999997</v>
      </c>
      <c r="G238" s="39">
        <v>212257.09288797574</v>
      </c>
      <c r="H238" s="40">
        <v>0.20869367209688661</v>
      </c>
      <c r="I238" s="40">
        <v>-0.19620206559016518</v>
      </c>
      <c r="J238" s="40">
        <v>3.033037013440576E-2</v>
      </c>
    </row>
    <row r="239" spans="1:10" ht="11.25" customHeight="1" x14ac:dyDescent="0.2">
      <c r="A239" s="49">
        <v>44501</v>
      </c>
      <c r="B239" s="39">
        <v>0</v>
      </c>
      <c r="C239" s="39">
        <v>0</v>
      </c>
      <c r="D239" s="39">
        <v>341686.63452000002</v>
      </c>
      <c r="E239" s="39">
        <v>412994.47298440553</v>
      </c>
      <c r="F239" s="39">
        <v>269031.47963999998</v>
      </c>
      <c r="G239" s="39">
        <v>216246.94762585359</v>
      </c>
      <c r="H239" s="40">
        <v>0.20869367209688616</v>
      </c>
      <c r="I239" s="40">
        <v>-0.19620206559016495</v>
      </c>
      <c r="J239" s="40">
        <v>3.033037013440576E-2</v>
      </c>
    </row>
    <row r="240" spans="1:10" ht="11.25" customHeight="1" x14ac:dyDescent="0.2">
      <c r="A240" s="49">
        <v>44531</v>
      </c>
      <c r="B240" s="39">
        <v>0</v>
      </c>
      <c r="C240" s="39">
        <v>0</v>
      </c>
      <c r="D240" s="39">
        <v>296508.01476000005</v>
      </c>
      <c r="E240" s="39">
        <v>358387.3611664222</v>
      </c>
      <c r="F240" s="39">
        <v>233459.49731999999</v>
      </c>
      <c r="G240" s="39">
        <v>187654.26171417441</v>
      </c>
      <c r="H240" s="40">
        <v>0.20869367209688616</v>
      </c>
      <c r="I240" s="40">
        <v>-0.19620206559016495</v>
      </c>
      <c r="J240" s="40">
        <v>3.0330370134405982E-2</v>
      </c>
    </row>
    <row r="241" spans="1:10" ht="11.25" customHeight="1" x14ac:dyDescent="0.2">
      <c r="A241" s="49">
        <v>44562</v>
      </c>
      <c r="B241" s="39">
        <v>0</v>
      </c>
      <c r="C241" s="39">
        <v>0</v>
      </c>
      <c r="D241" s="39">
        <v>321041.41704000003</v>
      </c>
      <c r="E241" s="39">
        <v>388040.72925726557</v>
      </c>
      <c r="F241" s="39">
        <v>252776.19528000001</v>
      </c>
      <c r="G241" s="39">
        <v>203180.98363404107</v>
      </c>
      <c r="H241" s="40">
        <v>0.20869367209688638</v>
      </c>
      <c r="I241" s="40">
        <v>-0.19620206559016506</v>
      </c>
      <c r="J241" s="40">
        <v>3.033037013440576E-2</v>
      </c>
    </row>
    <row r="242" spans="1:10" ht="11.25" customHeight="1" x14ac:dyDescent="0.2">
      <c r="A242" s="49">
        <v>44593</v>
      </c>
      <c r="B242" s="39">
        <v>0</v>
      </c>
      <c r="C242" s="39">
        <v>0</v>
      </c>
      <c r="D242" s="39">
        <v>343633.33644000004</v>
      </c>
      <c r="E242" s="39">
        <v>415347.43927656842</v>
      </c>
      <c r="F242" s="39">
        <v>270564.24108000001</v>
      </c>
      <c r="G242" s="39">
        <v>217478.97810526862</v>
      </c>
      <c r="H242" s="40">
        <v>0.20869367209688638</v>
      </c>
      <c r="I242" s="40">
        <v>-0.19620206559016506</v>
      </c>
      <c r="J242" s="40">
        <v>3.033037013440576E-2</v>
      </c>
    </row>
    <row r="243" spans="1:10" ht="11.25" customHeight="1" x14ac:dyDescent="0.2">
      <c r="A243" s="49">
        <v>44621</v>
      </c>
      <c r="B243" s="39">
        <v>0</v>
      </c>
      <c r="C243" s="39">
        <v>0</v>
      </c>
      <c r="D243" s="39">
        <v>314721.81198</v>
      </c>
      <c r="E243" s="39">
        <v>380402.26261109201</v>
      </c>
      <c r="F243" s="39">
        <v>247800.37085999997</v>
      </c>
      <c r="G243" s="39">
        <v>199181.42624325905</v>
      </c>
      <c r="H243" s="40">
        <v>0.20869367209688616</v>
      </c>
      <c r="I243" s="40">
        <v>-0.19620206559016495</v>
      </c>
      <c r="J243" s="40">
        <v>3.0330370134405982E-2</v>
      </c>
    </row>
    <row r="244" spans="1:10" ht="11.25" customHeight="1" x14ac:dyDescent="0.2">
      <c r="A244" s="49">
        <v>44652</v>
      </c>
      <c r="B244" s="39">
        <v>0</v>
      </c>
      <c r="C244" s="39">
        <v>0</v>
      </c>
      <c r="D244" s="39">
        <v>276343.60133999999</v>
      </c>
      <c r="E244" s="39">
        <v>334014.7622641226</v>
      </c>
      <c r="F244" s="39">
        <v>217582.78038000001</v>
      </c>
      <c r="G244" s="39">
        <v>174892.58943259274</v>
      </c>
      <c r="H244" s="40">
        <v>0.20869367209688616</v>
      </c>
      <c r="I244" s="40">
        <v>-0.19620206559016518</v>
      </c>
      <c r="J244" s="40">
        <v>3.033037013440576E-2</v>
      </c>
    </row>
    <row r="245" spans="1:10" ht="11.25" customHeight="1" x14ac:dyDescent="0.2">
      <c r="A245" s="49">
        <v>44682</v>
      </c>
      <c r="B245" s="39">
        <v>0</v>
      </c>
      <c r="C245" s="39">
        <v>0</v>
      </c>
      <c r="D245" s="39">
        <v>281038.45400999999</v>
      </c>
      <c r="E245" s="39">
        <v>339689.40097777877</v>
      </c>
      <c r="F245" s="39">
        <v>221279.33456999998</v>
      </c>
      <c r="G245" s="39">
        <v>177863.87205494876</v>
      </c>
      <c r="H245" s="40">
        <v>0.20869367209688616</v>
      </c>
      <c r="I245" s="40">
        <v>-0.19620206559016506</v>
      </c>
      <c r="J245" s="40">
        <v>3.033037013440576E-2</v>
      </c>
    </row>
    <row r="246" spans="1:10" ht="11.25" customHeight="1" x14ac:dyDescent="0.2">
      <c r="A246" s="49">
        <v>44713</v>
      </c>
      <c r="B246" s="39">
        <v>0</v>
      </c>
      <c r="C246" s="39">
        <v>0</v>
      </c>
      <c r="D246" s="39">
        <v>303486.52361999999</v>
      </c>
      <c r="E246" s="39">
        <v>366822.24066617625</v>
      </c>
      <c r="F246" s="39">
        <v>238954.11833999999</v>
      </c>
      <c r="G246" s="39">
        <v>192070.82674041524</v>
      </c>
      <c r="H246" s="40">
        <v>0.20869367209688638</v>
      </c>
      <c r="I246" s="40">
        <v>-0.19620206559016506</v>
      </c>
      <c r="J246" s="40">
        <v>3.0330370134405982E-2</v>
      </c>
    </row>
    <row r="247" spans="1:10" ht="11.25" customHeight="1" x14ac:dyDescent="0.2">
      <c r="A247" s="49">
        <v>44743</v>
      </c>
      <c r="B247" s="39">
        <v>0</v>
      </c>
      <c r="C247" s="39">
        <v>0</v>
      </c>
      <c r="D247" s="39">
        <v>300945.82971000008</v>
      </c>
      <c r="E247" s="39">
        <v>363751.32001442421</v>
      </c>
      <c r="F247" s="39">
        <v>236953.66946999999</v>
      </c>
      <c r="G247" s="39">
        <v>190462.87007081675</v>
      </c>
      <c r="H247" s="40">
        <v>0.20869367209688638</v>
      </c>
      <c r="I247" s="40">
        <v>-0.19620206559016518</v>
      </c>
      <c r="J247" s="40">
        <v>3.033037013440576E-2</v>
      </c>
    </row>
    <row r="248" spans="1:10" ht="11.25" customHeight="1" x14ac:dyDescent="0.2">
      <c r="A248" s="49">
        <v>44774</v>
      </c>
      <c r="B248" s="39">
        <v>0</v>
      </c>
      <c r="C248" s="39">
        <v>0</v>
      </c>
      <c r="D248" s="39">
        <v>300945.82971000008</v>
      </c>
      <c r="E248" s="39">
        <v>363751.32001442421</v>
      </c>
      <c r="F248" s="39">
        <v>236953.66946999999</v>
      </c>
      <c r="G248" s="39">
        <v>190462.87007081675</v>
      </c>
      <c r="H248" s="40">
        <v>0.20869367209688638</v>
      </c>
      <c r="I248" s="40">
        <v>-0.19620206559016518</v>
      </c>
      <c r="J248" s="40">
        <v>3.033037013440576E-2</v>
      </c>
    </row>
    <row r="249" spans="1:10" ht="11.25" customHeight="1" x14ac:dyDescent="0.2">
      <c r="A249" s="42" t="s">
        <v>32</v>
      </c>
      <c r="B249" s="39">
        <v>0</v>
      </c>
      <c r="C249" s="39">
        <v>0</v>
      </c>
      <c r="D249" s="39">
        <v>2868888.0062868018</v>
      </c>
      <c r="E249" s="39">
        <v>3246361.737981135</v>
      </c>
      <c r="F249" s="39">
        <v>2258902.9424130009</v>
      </c>
      <c r="G249" s="39">
        <v>1699818.9144150836</v>
      </c>
      <c r="H249" s="40">
        <v>0.13157492759116018</v>
      </c>
      <c r="I249" s="40">
        <v>-0.24750245683450856</v>
      </c>
      <c r="J249" s="40">
        <v>-3.5416868222686304E-2</v>
      </c>
    </row>
    <row r="250" spans="1:10" ht="11.25" customHeight="1" x14ac:dyDescent="0.2">
      <c r="A250" s="43" t="s">
        <v>23</v>
      </c>
      <c r="B250" s="39">
        <v>0</v>
      </c>
      <c r="C250" s="39">
        <v>0</v>
      </c>
      <c r="D250" s="39">
        <v>2868888.0062868018</v>
      </c>
      <c r="E250" s="39">
        <v>3246361.737981135</v>
      </c>
      <c r="F250" s="39">
        <v>2258902.9424130009</v>
      </c>
      <c r="G250" s="39">
        <v>1699818.9144150836</v>
      </c>
      <c r="H250" s="40">
        <v>0.13157492759116018</v>
      </c>
      <c r="I250" s="40">
        <v>-0.24750245683450856</v>
      </c>
      <c r="J250" s="40">
        <v>-3.5416868222686304E-2</v>
      </c>
    </row>
    <row r="251" spans="1:10" ht="11.25" customHeight="1" x14ac:dyDescent="0.2">
      <c r="A251" s="44" t="s">
        <v>39</v>
      </c>
      <c r="B251" s="39">
        <v>0</v>
      </c>
      <c r="C251" s="39">
        <v>0</v>
      </c>
      <c r="D251" s="39">
        <v>1250191.33014</v>
      </c>
      <c r="E251" s="39">
        <v>1414685.1638782679</v>
      </c>
      <c r="F251" s="39">
        <v>984374.73615000013</v>
      </c>
      <c r="G251" s="39">
        <v>740739.57050705445</v>
      </c>
      <c r="H251" s="40">
        <v>0.13157492759116085</v>
      </c>
      <c r="I251" s="40">
        <v>-0.24750245683450822</v>
      </c>
      <c r="J251" s="40">
        <v>-3.5416868222685749E-2</v>
      </c>
    </row>
    <row r="252" spans="1:10" ht="11.25" customHeight="1" x14ac:dyDescent="0.2">
      <c r="A252" s="45" t="s">
        <v>25</v>
      </c>
      <c r="B252" s="39">
        <v>0</v>
      </c>
      <c r="C252" s="39">
        <v>0</v>
      </c>
      <c r="D252" s="39">
        <v>1250191.33014</v>
      </c>
      <c r="E252" s="39">
        <v>1414685.1638782679</v>
      </c>
      <c r="F252" s="39">
        <v>984374.73615000013</v>
      </c>
      <c r="G252" s="39">
        <v>740739.57050705445</v>
      </c>
      <c r="H252" s="40">
        <v>0.13157492759116085</v>
      </c>
      <c r="I252" s="40">
        <v>-0.24750245683450822</v>
      </c>
      <c r="J252" s="40">
        <v>-3.5416868222685749E-2</v>
      </c>
    </row>
    <row r="253" spans="1:10" ht="11.25" customHeight="1" x14ac:dyDescent="0.2">
      <c r="A253" s="46" t="s">
        <v>25</v>
      </c>
      <c r="B253" s="39">
        <v>0</v>
      </c>
      <c r="C253" s="39">
        <v>0</v>
      </c>
      <c r="D253" s="39">
        <v>1250191.33014</v>
      </c>
      <c r="E253" s="39">
        <v>1414685.1638782679</v>
      </c>
      <c r="F253" s="39">
        <v>984374.73615000013</v>
      </c>
      <c r="G253" s="39">
        <v>740739.57050705445</v>
      </c>
      <c r="H253" s="40">
        <v>0.13157492759116085</v>
      </c>
      <c r="I253" s="40">
        <v>-0.24750245683450822</v>
      </c>
      <c r="J253" s="40">
        <v>-3.5416868222685749E-2</v>
      </c>
    </row>
    <row r="254" spans="1:10" ht="11.25" customHeight="1" x14ac:dyDescent="0.2">
      <c r="A254" s="47" t="s">
        <v>25</v>
      </c>
      <c r="B254" s="39">
        <v>0</v>
      </c>
      <c r="C254" s="39">
        <v>0</v>
      </c>
      <c r="D254" s="39">
        <v>1250191.33014</v>
      </c>
      <c r="E254" s="39">
        <v>1414685.1638782679</v>
      </c>
      <c r="F254" s="39">
        <v>984374.73615000013</v>
      </c>
      <c r="G254" s="39">
        <v>740739.57050705445</v>
      </c>
      <c r="H254" s="40">
        <v>0.13157492759116085</v>
      </c>
      <c r="I254" s="40">
        <v>-0.24750245683450822</v>
      </c>
      <c r="J254" s="40">
        <v>-3.5416868222685749E-2</v>
      </c>
    </row>
    <row r="255" spans="1:10" ht="11.25" customHeight="1" x14ac:dyDescent="0.2">
      <c r="A255" s="48" t="s">
        <v>25</v>
      </c>
      <c r="B255" s="39">
        <v>0</v>
      </c>
      <c r="C255" s="39">
        <v>0</v>
      </c>
      <c r="D255" s="39">
        <v>1250191.33014</v>
      </c>
      <c r="E255" s="39">
        <v>1414685.1638782679</v>
      </c>
      <c r="F255" s="39">
        <v>984374.73615000013</v>
      </c>
      <c r="G255" s="39">
        <v>740739.57050705445</v>
      </c>
      <c r="H255" s="40">
        <v>0.13157492759116085</v>
      </c>
      <c r="I255" s="40">
        <v>-0.24750245683450822</v>
      </c>
      <c r="J255" s="40">
        <v>-3.5416868222685749E-2</v>
      </c>
    </row>
    <row r="256" spans="1:10" ht="11.25" customHeight="1" x14ac:dyDescent="0.2">
      <c r="A256" s="49">
        <v>44440</v>
      </c>
      <c r="B256" s="39">
        <v>0</v>
      </c>
      <c r="C256" s="39">
        <v>0</v>
      </c>
      <c r="D256" s="39">
        <v>97782.702620000011</v>
      </c>
      <c r="E256" s="39">
        <v>110648.45463689454</v>
      </c>
      <c r="F256" s="39">
        <v>76992.072950000016</v>
      </c>
      <c r="G256" s="39">
        <v>57936.345738093332</v>
      </c>
      <c r="H256" s="40">
        <v>0.13157492759116107</v>
      </c>
      <c r="I256" s="40">
        <v>-0.24750245683450822</v>
      </c>
      <c r="J256" s="40">
        <v>-3.5416868222685638E-2</v>
      </c>
    </row>
    <row r="257" spans="1:10" ht="11.25" customHeight="1" x14ac:dyDescent="0.2">
      <c r="A257" s="49">
        <v>44470</v>
      </c>
      <c r="B257" s="39">
        <v>0</v>
      </c>
      <c r="C257" s="39">
        <v>0</v>
      </c>
      <c r="D257" s="39">
        <v>97942.827740000008</v>
      </c>
      <c r="E257" s="39">
        <v>110829.64820796407</v>
      </c>
      <c r="F257" s="39">
        <v>77118.152150000009</v>
      </c>
      <c r="G257" s="39">
        <v>58031.220026337607</v>
      </c>
      <c r="H257" s="40">
        <v>0.13157492759116107</v>
      </c>
      <c r="I257" s="40">
        <v>-0.24750245683450811</v>
      </c>
      <c r="J257" s="40">
        <v>-3.5416868222685527E-2</v>
      </c>
    </row>
    <row r="258" spans="1:10" ht="11.25" customHeight="1" x14ac:dyDescent="0.2">
      <c r="A258" s="49">
        <v>44501</v>
      </c>
      <c r="B258" s="39">
        <v>0</v>
      </c>
      <c r="C258" s="39">
        <v>0</v>
      </c>
      <c r="D258" s="39">
        <v>104754.81722</v>
      </c>
      <c r="E258" s="39">
        <v>118537.92471054681</v>
      </c>
      <c r="F258" s="39">
        <v>82481.77145</v>
      </c>
      <c r="G258" s="39">
        <v>62067.330372062621</v>
      </c>
      <c r="H258" s="40">
        <v>0.13157492759116107</v>
      </c>
      <c r="I258" s="40">
        <v>-0.247502456834508</v>
      </c>
      <c r="J258" s="40">
        <v>-3.5416868222685638E-2</v>
      </c>
    </row>
    <row r="259" spans="1:10" ht="11.25" customHeight="1" x14ac:dyDescent="0.2">
      <c r="A259" s="49">
        <v>44531</v>
      </c>
      <c r="B259" s="39">
        <v>0</v>
      </c>
      <c r="C259" s="39">
        <v>0</v>
      </c>
      <c r="D259" s="39">
        <v>97869.437060000011</v>
      </c>
      <c r="E259" s="39">
        <v>110746.6011545572</v>
      </c>
      <c r="F259" s="39">
        <v>77060.365850000002</v>
      </c>
      <c r="G259" s="39">
        <v>57987.735977558979</v>
      </c>
      <c r="H259" s="40">
        <v>0.13157492759116085</v>
      </c>
      <c r="I259" s="40">
        <v>-0.247502456834508</v>
      </c>
      <c r="J259" s="40">
        <v>-3.5416868222685749E-2</v>
      </c>
    </row>
    <row r="260" spans="1:10" ht="11.25" customHeight="1" x14ac:dyDescent="0.2">
      <c r="A260" s="49">
        <v>44562</v>
      </c>
      <c r="B260" s="39">
        <v>0</v>
      </c>
      <c r="C260" s="39">
        <v>0</v>
      </c>
      <c r="D260" s="39">
        <v>103041.62670000001</v>
      </c>
      <c r="E260" s="39">
        <v>116599.32127192794</v>
      </c>
      <c r="F260" s="39">
        <v>81132.840750000003</v>
      </c>
      <c r="G260" s="39">
        <v>61052.263334412113</v>
      </c>
      <c r="H260" s="40">
        <v>0.13157492759116085</v>
      </c>
      <c r="I260" s="40">
        <v>-0.247502456834508</v>
      </c>
      <c r="J260" s="40">
        <v>-3.5416868222685638E-2</v>
      </c>
    </row>
    <row r="261" spans="1:10" ht="11.25" customHeight="1" x14ac:dyDescent="0.2">
      <c r="A261" s="49">
        <v>44593</v>
      </c>
      <c r="B261" s="39">
        <v>0</v>
      </c>
      <c r="C261" s="39">
        <v>0</v>
      </c>
      <c r="D261" s="39">
        <v>134802.37012000001</v>
      </c>
      <c r="E261" s="39">
        <v>152538.98220765588</v>
      </c>
      <c r="F261" s="39">
        <v>106140.59170000002</v>
      </c>
      <c r="G261" s="39">
        <v>79870.534484381613</v>
      </c>
      <c r="H261" s="40">
        <v>0.13157492759116085</v>
      </c>
      <c r="I261" s="40">
        <v>-0.24750245683450811</v>
      </c>
      <c r="J261" s="40">
        <v>-3.5416868222685749E-2</v>
      </c>
    </row>
    <row r="262" spans="1:10" ht="11.25" customHeight="1" x14ac:dyDescent="0.2">
      <c r="A262" s="49">
        <v>44621</v>
      </c>
      <c r="B262" s="39">
        <v>0</v>
      </c>
      <c r="C262" s="39">
        <v>0</v>
      </c>
      <c r="D262" s="39">
        <v>126952.16198</v>
      </c>
      <c r="E262" s="39">
        <v>143655.88350005983</v>
      </c>
      <c r="F262" s="39">
        <v>99959.500549999997</v>
      </c>
      <c r="G262" s="39">
        <v>75219.278579924634</v>
      </c>
      <c r="H262" s="40">
        <v>0.13157492759116085</v>
      </c>
      <c r="I262" s="40">
        <v>-0.24750245683450811</v>
      </c>
      <c r="J262" s="40">
        <v>-3.5416868222685638E-2</v>
      </c>
    </row>
    <row r="263" spans="1:10" ht="11.25" customHeight="1" x14ac:dyDescent="0.2">
      <c r="A263" s="49">
        <v>44652</v>
      </c>
      <c r="B263" s="39">
        <v>0</v>
      </c>
      <c r="C263" s="39">
        <v>0</v>
      </c>
      <c r="D263" s="39">
        <v>102537.89976</v>
      </c>
      <c r="E263" s="39">
        <v>116029.31649627174</v>
      </c>
      <c r="F263" s="39">
        <v>80736.2166</v>
      </c>
      <c r="G263" s="39">
        <v>60753.804635977009</v>
      </c>
      <c r="H263" s="40">
        <v>0.13157492759116107</v>
      </c>
      <c r="I263" s="40">
        <v>-0.247502456834508</v>
      </c>
      <c r="J263" s="40">
        <v>-3.5416868222685416E-2</v>
      </c>
    </row>
    <row r="264" spans="1:10" ht="11.25" customHeight="1" x14ac:dyDescent="0.2">
      <c r="A264" s="49">
        <v>44682</v>
      </c>
      <c r="B264" s="39">
        <v>0</v>
      </c>
      <c r="C264" s="39">
        <v>0</v>
      </c>
      <c r="D264" s="39">
        <v>101512.65420000002</v>
      </c>
      <c r="E264" s="39">
        <v>114869.17432595158</v>
      </c>
      <c r="F264" s="39">
        <v>79928.959499999997</v>
      </c>
      <c r="G264" s="39">
        <v>60146.345651524112</v>
      </c>
      <c r="H264" s="40">
        <v>0.13157492759116085</v>
      </c>
      <c r="I264" s="40">
        <v>-0.247502456834508</v>
      </c>
      <c r="J264" s="40">
        <v>-3.5416868222685638E-2</v>
      </c>
    </row>
    <row r="265" spans="1:10" ht="11.25" customHeight="1" x14ac:dyDescent="0.2">
      <c r="A265" s="49">
        <v>44713</v>
      </c>
      <c r="B265" s="39">
        <v>0</v>
      </c>
      <c r="C265" s="39">
        <v>0</v>
      </c>
      <c r="D265" s="39">
        <v>99992.577540000013</v>
      </c>
      <c r="E265" s="39">
        <v>113149.09368947906</v>
      </c>
      <c r="F265" s="39">
        <v>78732.082649999997</v>
      </c>
      <c r="G265" s="39">
        <v>59245.698762427455</v>
      </c>
      <c r="H265" s="40">
        <v>0.13157492759116107</v>
      </c>
      <c r="I265" s="40">
        <v>-0.247502456834508</v>
      </c>
      <c r="J265" s="40">
        <v>-3.5416868222685749E-2</v>
      </c>
    </row>
    <row r="266" spans="1:10" ht="11.25" customHeight="1" x14ac:dyDescent="0.2">
      <c r="A266" s="49">
        <v>44743</v>
      </c>
      <c r="B266" s="39">
        <v>0</v>
      </c>
      <c r="C266" s="39">
        <v>0</v>
      </c>
      <c r="D266" s="39">
        <v>91501.127600000007</v>
      </c>
      <c r="E266" s="39">
        <v>103540.38183847959</v>
      </c>
      <c r="F266" s="39">
        <v>72046.091</v>
      </c>
      <c r="G266" s="39">
        <v>54214.506472177462</v>
      </c>
      <c r="H266" s="40">
        <v>0.13157492759116107</v>
      </c>
      <c r="I266" s="40">
        <v>-0.247502456834508</v>
      </c>
      <c r="J266" s="40">
        <v>-3.5416868222685638E-2</v>
      </c>
    </row>
    <row r="267" spans="1:10" ht="11.25" customHeight="1" x14ac:dyDescent="0.2">
      <c r="A267" s="49">
        <v>44774</v>
      </c>
      <c r="B267" s="39">
        <v>0</v>
      </c>
      <c r="C267" s="39">
        <v>0</v>
      </c>
      <c r="D267" s="39">
        <v>91501.127600000007</v>
      </c>
      <c r="E267" s="39">
        <v>103540.38183847959</v>
      </c>
      <c r="F267" s="39">
        <v>72046.091</v>
      </c>
      <c r="G267" s="39">
        <v>54214.506472177462</v>
      </c>
      <c r="H267" s="40">
        <v>0.13157492759116107</v>
      </c>
      <c r="I267" s="40">
        <v>-0.247502456834508</v>
      </c>
      <c r="J267" s="40">
        <v>-3.5416868222685638E-2</v>
      </c>
    </row>
    <row r="268" spans="1:10" ht="11.25" customHeight="1" x14ac:dyDescent="0.2">
      <c r="A268" s="44" t="s">
        <v>49</v>
      </c>
      <c r="B268" s="39">
        <v>0</v>
      </c>
      <c r="C268" s="39">
        <v>0</v>
      </c>
      <c r="D268" s="39">
        <v>17084.460720000003</v>
      </c>
      <c r="E268" s="39">
        <v>19332.347402168038</v>
      </c>
      <c r="F268" s="39">
        <v>13451.950200000001</v>
      </c>
      <c r="G268" s="39">
        <v>10122.559476284549</v>
      </c>
      <c r="H268" s="40">
        <v>0.13157492759116107</v>
      </c>
      <c r="I268" s="40">
        <v>-0.24750245683450811</v>
      </c>
      <c r="J268" s="40">
        <v>-3.5416868222685527E-2</v>
      </c>
    </row>
    <row r="269" spans="1:10" ht="11.25" customHeight="1" x14ac:dyDescent="0.2">
      <c r="A269" s="45" t="s">
        <v>25</v>
      </c>
      <c r="B269" s="39">
        <v>0</v>
      </c>
      <c r="C269" s="39">
        <v>0</v>
      </c>
      <c r="D269" s="39">
        <v>17084.460720000003</v>
      </c>
      <c r="E269" s="39">
        <v>19332.347402168038</v>
      </c>
      <c r="F269" s="39">
        <v>13451.950200000001</v>
      </c>
      <c r="G269" s="39">
        <v>10122.559476284549</v>
      </c>
      <c r="H269" s="40">
        <v>0.13157492759116107</v>
      </c>
      <c r="I269" s="40">
        <v>-0.24750245683450811</v>
      </c>
      <c r="J269" s="40">
        <v>-3.5416868222685527E-2</v>
      </c>
    </row>
    <row r="270" spans="1:10" ht="11.25" customHeight="1" x14ac:dyDescent="0.2">
      <c r="A270" s="46" t="s">
        <v>25</v>
      </c>
      <c r="B270" s="39">
        <v>0</v>
      </c>
      <c r="C270" s="39">
        <v>0</v>
      </c>
      <c r="D270" s="39">
        <v>17084.460720000003</v>
      </c>
      <c r="E270" s="39">
        <v>19332.347402168038</v>
      </c>
      <c r="F270" s="39">
        <v>13451.950200000001</v>
      </c>
      <c r="G270" s="39">
        <v>10122.559476284549</v>
      </c>
      <c r="H270" s="40">
        <v>0.13157492759116107</v>
      </c>
      <c r="I270" s="40">
        <v>-0.24750245683450811</v>
      </c>
      <c r="J270" s="40">
        <v>-3.5416868222685527E-2</v>
      </c>
    </row>
    <row r="271" spans="1:10" ht="11.25" customHeight="1" x14ac:dyDescent="0.2">
      <c r="A271" s="47" t="s">
        <v>25</v>
      </c>
      <c r="B271" s="39">
        <v>0</v>
      </c>
      <c r="C271" s="39">
        <v>0</v>
      </c>
      <c r="D271" s="39">
        <v>17084.460720000003</v>
      </c>
      <c r="E271" s="39">
        <v>19332.347402168038</v>
      </c>
      <c r="F271" s="39">
        <v>13451.950200000001</v>
      </c>
      <c r="G271" s="39">
        <v>10122.559476284549</v>
      </c>
      <c r="H271" s="40">
        <v>0.13157492759116107</v>
      </c>
      <c r="I271" s="40">
        <v>-0.24750245683450811</v>
      </c>
      <c r="J271" s="40">
        <v>-3.5416868222685527E-2</v>
      </c>
    </row>
    <row r="272" spans="1:10" ht="11.25" customHeight="1" x14ac:dyDescent="0.2">
      <c r="A272" s="48" t="s">
        <v>25</v>
      </c>
      <c r="B272" s="39">
        <v>0</v>
      </c>
      <c r="C272" s="39">
        <v>0</v>
      </c>
      <c r="D272" s="39">
        <v>17084.460720000003</v>
      </c>
      <c r="E272" s="39">
        <v>19332.347402168038</v>
      </c>
      <c r="F272" s="39">
        <v>13451.950200000001</v>
      </c>
      <c r="G272" s="39">
        <v>10122.559476284549</v>
      </c>
      <c r="H272" s="40">
        <v>0.13157492759116107</v>
      </c>
      <c r="I272" s="40">
        <v>-0.24750245683450811</v>
      </c>
      <c r="J272" s="40">
        <v>-3.5416868222685527E-2</v>
      </c>
    </row>
    <row r="273" spans="1:10" ht="11.25" customHeight="1" x14ac:dyDescent="0.2">
      <c r="A273" s="49">
        <v>44440</v>
      </c>
      <c r="B273" s="39">
        <v>0</v>
      </c>
      <c r="C273" s="39">
        <v>0</v>
      </c>
      <c r="D273" s="39">
        <v>1080.1032400000001</v>
      </c>
      <c r="E273" s="39">
        <v>1222.2177455939786</v>
      </c>
      <c r="F273" s="39">
        <v>850.45090000000016</v>
      </c>
      <c r="G273" s="39">
        <v>639.96221283288151</v>
      </c>
      <c r="H273" s="40">
        <v>0.13157492759116107</v>
      </c>
      <c r="I273" s="40">
        <v>-0.24750245683450811</v>
      </c>
      <c r="J273" s="40">
        <v>-3.5416868222685527E-2</v>
      </c>
    </row>
    <row r="274" spans="1:10" ht="11.25" customHeight="1" x14ac:dyDescent="0.2">
      <c r="A274" s="49">
        <v>44470</v>
      </c>
      <c r="B274" s="39">
        <v>0</v>
      </c>
      <c r="C274" s="39">
        <v>0</v>
      </c>
      <c r="D274" s="39">
        <v>1185.74134</v>
      </c>
      <c r="E274" s="39">
        <v>1341.7551709523464</v>
      </c>
      <c r="F274" s="39">
        <v>933.62815000000001</v>
      </c>
      <c r="G274" s="39">
        <v>702.55288910514344</v>
      </c>
      <c r="H274" s="40">
        <v>0.13157492759116107</v>
      </c>
      <c r="I274" s="40">
        <v>-0.247502456834508</v>
      </c>
      <c r="J274" s="40">
        <v>-3.5416868222685527E-2</v>
      </c>
    </row>
    <row r="275" spans="1:10" ht="11.25" customHeight="1" x14ac:dyDescent="0.2">
      <c r="A275" s="49">
        <v>44501</v>
      </c>
      <c r="B275" s="39">
        <v>0</v>
      </c>
      <c r="C275" s="39">
        <v>0</v>
      </c>
      <c r="D275" s="39">
        <v>1302.4992400000001</v>
      </c>
      <c r="E275" s="39">
        <v>1473.8754831905424</v>
      </c>
      <c r="F275" s="39">
        <v>1025.5608999999999</v>
      </c>
      <c r="G275" s="39">
        <v>771.73205761659074</v>
      </c>
      <c r="H275" s="40">
        <v>0.13157492759116107</v>
      </c>
      <c r="I275" s="40">
        <v>-0.247502456834508</v>
      </c>
      <c r="J275" s="40">
        <v>-3.5416868222685638E-2</v>
      </c>
    </row>
    <row r="276" spans="1:10" ht="11.25" customHeight="1" x14ac:dyDescent="0.2">
      <c r="A276" s="49">
        <v>44531</v>
      </c>
      <c r="B276" s="39">
        <v>0</v>
      </c>
      <c r="C276" s="39">
        <v>0</v>
      </c>
      <c r="D276" s="39">
        <v>1405.1720600000001</v>
      </c>
      <c r="E276" s="39">
        <v>1590.0574720476227</v>
      </c>
      <c r="F276" s="39">
        <v>1106.40335</v>
      </c>
      <c r="G276" s="39">
        <v>832.56580262506986</v>
      </c>
      <c r="H276" s="40">
        <v>0.13157492759116107</v>
      </c>
      <c r="I276" s="40">
        <v>-0.24750245683450811</v>
      </c>
      <c r="J276" s="40">
        <v>-3.5416868222685638E-2</v>
      </c>
    </row>
    <row r="277" spans="1:10" ht="11.25" customHeight="1" x14ac:dyDescent="0.2">
      <c r="A277" s="49">
        <v>44562</v>
      </c>
      <c r="B277" s="39">
        <v>0</v>
      </c>
      <c r="C277" s="39">
        <v>0</v>
      </c>
      <c r="D277" s="39">
        <v>1546.0228600000003</v>
      </c>
      <c r="E277" s="39">
        <v>1749.4407058587799</v>
      </c>
      <c r="F277" s="39">
        <v>1217.3063500000001</v>
      </c>
      <c r="G277" s="39">
        <v>916.02003765475251</v>
      </c>
      <c r="H277" s="40">
        <v>0.13157492759116107</v>
      </c>
      <c r="I277" s="40">
        <v>-0.247502456834508</v>
      </c>
      <c r="J277" s="40">
        <v>-3.5416868222685638E-2</v>
      </c>
    </row>
    <row r="278" spans="1:10" ht="11.25" customHeight="1" x14ac:dyDescent="0.2">
      <c r="A278" s="49">
        <v>44593</v>
      </c>
      <c r="B278" s="39">
        <v>0</v>
      </c>
      <c r="C278" s="39">
        <v>0</v>
      </c>
      <c r="D278" s="39">
        <v>2262.13798</v>
      </c>
      <c r="E278" s="39">
        <v>2559.7786209197152</v>
      </c>
      <c r="F278" s="39">
        <v>1781.1605500000001</v>
      </c>
      <c r="G278" s="39">
        <v>1340.3189378582963</v>
      </c>
      <c r="H278" s="40">
        <v>0.13157492759116107</v>
      </c>
      <c r="I278" s="40">
        <v>-0.24750245683450811</v>
      </c>
      <c r="J278" s="40">
        <v>-3.5416868222685638E-2</v>
      </c>
    </row>
    <row r="279" spans="1:10" ht="11.25" customHeight="1" x14ac:dyDescent="0.2">
      <c r="A279" s="49">
        <v>44621</v>
      </c>
      <c r="B279" s="39">
        <v>0</v>
      </c>
      <c r="C279" s="39">
        <v>0</v>
      </c>
      <c r="D279" s="39">
        <v>1882.9528000000003</v>
      </c>
      <c r="E279" s="39">
        <v>2130.7021783175742</v>
      </c>
      <c r="F279" s="39">
        <v>1482.5980000000002</v>
      </c>
      <c r="G279" s="39">
        <v>1115.6513525020721</v>
      </c>
      <c r="H279" s="40">
        <v>0.13157492759116107</v>
      </c>
      <c r="I279" s="40">
        <v>-0.24750245683450811</v>
      </c>
      <c r="J279" s="40">
        <v>-3.5416868222685638E-2</v>
      </c>
    </row>
    <row r="280" spans="1:10" ht="11.25" customHeight="1" x14ac:dyDescent="0.2">
      <c r="A280" s="49">
        <v>44652</v>
      </c>
      <c r="B280" s="39">
        <v>0</v>
      </c>
      <c r="C280" s="39">
        <v>0</v>
      </c>
      <c r="D280" s="39">
        <v>1354.02098</v>
      </c>
      <c r="E280" s="39">
        <v>1532.1761924004131</v>
      </c>
      <c r="F280" s="39">
        <v>1066.12805</v>
      </c>
      <c r="G280" s="39">
        <v>802.25873832481682</v>
      </c>
      <c r="H280" s="40">
        <v>0.13157492759116129</v>
      </c>
      <c r="I280" s="40">
        <v>-0.247502456834508</v>
      </c>
      <c r="J280" s="40">
        <v>-3.5416868222685416E-2</v>
      </c>
    </row>
    <row r="281" spans="1:10" ht="11.25" customHeight="1" x14ac:dyDescent="0.2">
      <c r="A281" s="49">
        <v>44682</v>
      </c>
      <c r="B281" s="39">
        <v>0</v>
      </c>
      <c r="C281" s="39">
        <v>0</v>
      </c>
      <c r="D281" s="39">
        <v>1225.77262</v>
      </c>
      <c r="E281" s="39">
        <v>1387.0535637197279</v>
      </c>
      <c r="F281" s="39">
        <v>965.14795000000004</v>
      </c>
      <c r="G281" s="39">
        <v>726.27146116621111</v>
      </c>
      <c r="H281" s="40">
        <v>0.13157492759116129</v>
      </c>
      <c r="I281" s="40">
        <v>-0.247502456834508</v>
      </c>
      <c r="J281" s="40">
        <v>-3.5416868222685638E-2</v>
      </c>
    </row>
    <row r="282" spans="1:10" ht="11.25" customHeight="1" x14ac:dyDescent="0.2">
      <c r="A282" s="49">
        <v>44713</v>
      </c>
      <c r="B282" s="39">
        <v>0</v>
      </c>
      <c r="C282" s="39">
        <v>0</v>
      </c>
      <c r="D282" s="39">
        <v>1294.3447200000001</v>
      </c>
      <c r="E282" s="39">
        <v>1464.6480328120017</v>
      </c>
      <c r="F282" s="39">
        <v>1019.1402</v>
      </c>
      <c r="G282" s="39">
        <v>766.90049664118817</v>
      </c>
      <c r="H282" s="40">
        <v>0.13157492759116107</v>
      </c>
      <c r="I282" s="40">
        <v>-0.247502456834508</v>
      </c>
      <c r="J282" s="40">
        <v>-3.5416868222685416E-2</v>
      </c>
    </row>
    <row r="283" spans="1:10" ht="11.25" customHeight="1" x14ac:dyDescent="0.2">
      <c r="A283" s="49">
        <v>44743</v>
      </c>
      <c r="B283" s="39">
        <v>0</v>
      </c>
      <c r="C283" s="39">
        <v>0</v>
      </c>
      <c r="D283" s="39">
        <v>1272.8464400000003</v>
      </c>
      <c r="E283" s="39">
        <v>1440.3211181776674</v>
      </c>
      <c r="F283" s="39">
        <v>1002.2129000000001</v>
      </c>
      <c r="G283" s="39">
        <v>754.16274497876293</v>
      </c>
      <c r="H283" s="40">
        <v>0.13157492759116107</v>
      </c>
      <c r="I283" s="40">
        <v>-0.24750245683450811</v>
      </c>
      <c r="J283" s="40">
        <v>-3.5416868222685527E-2</v>
      </c>
    </row>
    <row r="284" spans="1:10" ht="11.25" customHeight="1" x14ac:dyDescent="0.2">
      <c r="A284" s="49">
        <v>44774</v>
      </c>
      <c r="B284" s="39">
        <v>0</v>
      </c>
      <c r="C284" s="39">
        <v>0</v>
      </c>
      <c r="D284" s="39">
        <v>1272.8464400000003</v>
      </c>
      <c r="E284" s="39">
        <v>1440.3211181776674</v>
      </c>
      <c r="F284" s="39">
        <v>1002.2129000000001</v>
      </c>
      <c r="G284" s="39">
        <v>754.16274497876293</v>
      </c>
      <c r="H284" s="40">
        <v>0.13157492759116107</v>
      </c>
      <c r="I284" s="40">
        <v>-0.24750245683450811</v>
      </c>
      <c r="J284" s="40">
        <v>-3.5416868222685527E-2</v>
      </c>
    </row>
    <row r="285" spans="1:10" ht="11.25" customHeight="1" x14ac:dyDescent="0.2">
      <c r="A285" s="44" t="s">
        <v>33</v>
      </c>
      <c r="B285" s="39">
        <v>0</v>
      </c>
      <c r="C285" s="39">
        <v>0</v>
      </c>
      <c r="D285" s="39">
        <v>1240852.9221000001</v>
      </c>
      <c r="E285" s="39">
        <v>1404118.0554765882</v>
      </c>
      <c r="F285" s="39">
        <v>977021.86725000001</v>
      </c>
      <c r="G285" s="39">
        <v>735206.55472458655</v>
      </c>
      <c r="H285" s="40">
        <v>0.13157492759116085</v>
      </c>
      <c r="I285" s="40">
        <v>-0.24750245683450822</v>
      </c>
      <c r="J285" s="40">
        <v>-3.5416868222685749E-2</v>
      </c>
    </row>
    <row r="286" spans="1:10" ht="11.25" customHeight="1" x14ac:dyDescent="0.2">
      <c r="A286" s="45" t="s">
        <v>25</v>
      </c>
      <c r="B286" s="39">
        <v>0</v>
      </c>
      <c r="C286" s="39">
        <v>0</v>
      </c>
      <c r="D286" s="39">
        <v>1240852.9221000001</v>
      </c>
      <c r="E286" s="39">
        <v>1404118.0554765882</v>
      </c>
      <c r="F286" s="39">
        <v>977021.86725000001</v>
      </c>
      <c r="G286" s="39">
        <v>735206.55472458655</v>
      </c>
      <c r="H286" s="40">
        <v>0.13157492759116085</v>
      </c>
      <c r="I286" s="40">
        <v>-0.24750245683450822</v>
      </c>
      <c r="J286" s="40">
        <v>-3.5416868222685749E-2</v>
      </c>
    </row>
    <row r="287" spans="1:10" ht="11.25" customHeight="1" x14ac:dyDescent="0.2">
      <c r="A287" s="46" t="s">
        <v>25</v>
      </c>
      <c r="B287" s="39">
        <v>0</v>
      </c>
      <c r="C287" s="39">
        <v>0</v>
      </c>
      <c r="D287" s="39">
        <v>1240852.9221000001</v>
      </c>
      <c r="E287" s="39">
        <v>1404118.0554765882</v>
      </c>
      <c r="F287" s="39">
        <v>977021.86725000001</v>
      </c>
      <c r="G287" s="39">
        <v>735206.55472458655</v>
      </c>
      <c r="H287" s="40">
        <v>0.13157492759116085</v>
      </c>
      <c r="I287" s="40">
        <v>-0.24750245683450822</v>
      </c>
      <c r="J287" s="40">
        <v>-3.5416868222685749E-2</v>
      </c>
    </row>
    <row r="288" spans="1:10" ht="11.25" customHeight="1" x14ac:dyDescent="0.2">
      <c r="A288" s="47" t="s">
        <v>25</v>
      </c>
      <c r="B288" s="39">
        <v>0</v>
      </c>
      <c r="C288" s="39">
        <v>0</v>
      </c>
      <c r="D288" s="39">
        <v>1240852.9221000001</v>
      </c>
      <c r="E288" s="39">
        <v>1404118.0554765882</v>
      </c>
      <c r="F288" s="39">
        <v>977021.86725000001</v>
      </c>
      <c r="G288" s="39">
        <v>735206.55472458655</v>
      </c>
      <c r="H288" s="40">
        <v>0.13157492759116085</v>
      </c>
      <c r="I288" s="40">
        <v>-0.24750245683450822</v>
      </c>
      <c r="J288" s="40">
        <v>-3.5416868222685749E-2</v>
      </c>
    </row>
    <row r="289" spans="1:10" ht="11.25" customHeight="1" x14ac:dyDescent="0.2">
      <c r="A289" s="48" t="s">
        <v>25</v>
      </c>
      <c r="B289" s="39">
        <v>0</v>
      </c>
      <c r="C289" s="39">
        <v>0</v>
      </c>
      <c r="D289" s="39">
        <v>1240852.9221000001</v>
      </c>
      <c r="E289" s="39">
        <v>1404118.0554765882</v>
      </c>
      <c r="F289" s="39">
        <v>977021.86725000001</v>
      </c>
      <c r="G289" s="39">
        <v>735206.55472458655</v>
      </c>
      <c r="H289" s="40">
        <v>0.13157492759116085</v>
      </c>
      <c r="I289" s="40">
        <v>-0.24750245683450822</v>
      </c>
      <c r="J289" s="40">
        <v>-3.5416868222685749E-2</v>
      </c>
    </row>
    <row r="290" spans="1:10" ht="11.25" customHeight="1" x14ac:dyDescent="0.2">
      <c r="A290" s="49">
        <v>44440</v>
      </c>
      <c r="B290" s="39">
        <v>0</v>
      </c>
      <c r="C290" s="39">
        <v>0</v>
      </c>
      <c r="D290" s="39">
        <v>121479.36708</v>
      </c>
      <c r="E290" s="39">
        <v>137463.00600737106</v>
      </c>
      <c r="F290" s="39">
        <v>95650.335300000006</v>
      </c>
      <c r="G290" s="39">
        <v>71976.642316205529</v>
      </c>
      <c r="H290" s="40">
        <v>0.13157492759116107</v>
      </c>
      <c r="I290" s="40">
        <v>-0.24750245683450811</v>
      </c>
      <c r="J290" s="40">
        <v>-3.5416868222685527E-2</v>
      </c>
    </row>
    <row r="291" spans="1:10" ht="11.25" customHeight="1" x14ac:dyDescent="0.2">
      <c r="A291" s="49">
        <v>44470</v>
      </c>
      <c r="B291" s="39">
        <v>0</v>
      </c>
      <c r="C291" s="39">
        <v>0</v>
      </c>
      <c r="D291" s="39">
        <v>126870.24612000001</v>
      </c>
      <c r="E291" s="39">
        <v>143563.18956671181</v>
      </c>
      <c r="F291" s="39">
        <v>99895.001700000008</v>
      </c>
      <c r="G291" s="39">
        <v>75170.743353762649</v>
      </c>
      <c r="H291" s="40">
        <v>0.13157492759116107</v>
      </c>
      <c r="I291" s="40">
        <v>-0.247502456834508</v>
      </c>
      <c r="J291" s="40">
        <v>-3.5416868222685527E-2</v>
      </c>
    </row>
    <row r="292" spans="1:10" ht="11.25" customHeight="1" x14ac:dyDescent="0.2">
      <c r="A292" s="49">
        <v>44501</v>
      </c>
      <c r="B292" s="39">
        <v>0</v>
      </c>
      <c r="C292" s="39">
        <v>0</v>
      </c>
      <c r="D292" s="39">
        <v>115449.09954000001</v>
      </c>
      <c r="E292" s="39">
        <v>130639.30645244026</v>
      </c>
      <c r="F292" s="39">
        <v>90902.227650000015</v>
      </c>
      <c r="G292" s="39">
        <v>68403.702974895263</v>
      </c>
      <c r="H292" s="40">
        <v>0.13157492759116107</v>
      </c>
      <c r="I292" s="40">
        <v>-0.247502456834508</v>
      </c>
      <c r="J292" s="40">
        <v>-3.5416868222685638E-2</v>
      </c>
    </row>
    <row r="293" spans="1:10" ht="11.25" customHeight="1" x14ac:dyDescent="0.2">
      <c r="A293" s="49">
        <v>44531</v>
      </c>
      <c r="B293" s="39">
        <v>0</v>
      </c>
      <c r="C293" s="39">
        <v>0</v>
      </c>
      <c r="D293" s="39">
        <v>97962.843380000006</v>
      </c>
      <c r="E293" s="39">
        <v>110852.29740434776</v>
      </c>
      <c r="F293" s="39">
        <v>77133.912049999999</v>
      </c>
      <c r="G293" s="39">
        <v>58043.079312368136</v>
      </c>
      <c r="H293" s="40">
        <v>0.13157492759116107</v>
      </c>
      <c r="I293" s="40">
        <v>-0.247502456834508</v>
      </c>
      <c r="J293" s="40">
        <v>-3.5416868222685638E-2</v>
      </c>
    </row>
    <row r="294" spans="1:10" ht="11.25" customHeight="1" x14ac:dyDescent="0.2">
      <c r="A294" s="49">
        <v>44562</v>
      </c>
      <c r="B294" s="39">
        <v>0</v>
      </c>
      <c r="C294" s="39">
        <v>0</v>
      </c>
      <c r="D294" s="39">
        <v>65101.610420000005</v>
      </c>
      <c r="E294" s="39">
        <v>73667.350097079485</v>
      </c>
      <c r="F294" s="39">
        <v>51259.65845000001</v>
      </c>
      <c r="G294" s="39">
        <v>38572.76704712725</v>
      </c>
      <c r="H294" s="40">
        <v>0.13157492759116107</v>
      </c>
      <c r="I294" s="40">
        <v>-0.24750245683450822</v>
      </c>
      <c r="J294" s="40">
        <v>-3.5416868222685527E-2</v>
      </c>
    </row>
    <row r="295" spans="1:10" ht="11.25" customHeight="1" x14ac:dyDescent="0.2">
      <c r="A295" s="49">
        <v>44593</v>
      </c>
      <c r="B295" s="39">
        <v>0</v>
      </c>
      <c r="C295" s="39">
        <v>0</v>
      </c>
      <c r="D295" s="39">
        <v>110071.56426</v>
      </c>
      <c r="E295" s="39">
        <v>124554.22235735535</v>
      </c>
      <c r="F295" s="39">
        <v>86668.067850000007</v>
      </c>
      <c r="G295" s="39">
        <v>65217.508128025162</v>
      </c>
      <c r="H295" s="40">
        <v>0.13157492759116129</v>
      </c>
      <c r="I295" s="40">
        <v>-0.24750245683450811</v>
      </c>
      <c r="J295" s="40">
        <v>-3.5416868222685527E-2</v>
      </c>
    </row>
    <row r="296" spans="1:10" ht="11.25" customHeight="1" x14ac:dyDescent="0.2">
      <c r="A296" s="49">
        <v>44621</v>
      </c>
      <c r="B296" s="39">
        <v>0</v>
      </c>
      <c r="C296" s="39">
        <v>0</v>
      </c>
      <c r="D296" s="39">
        <v>97884.634120000002</v>
      </c>
      <c r="E296" s="39">
        <v>110763.79776662629</v>
      </c>
      <c r="F296" s="39">
        <v>77072.33170000001</v>
      </c>
      <c r="G296" s="39">
        <v>57996.74025028586</v>
      </c>
      <c r="H296" s="40">
        <v>0.13157492759116107</v>
      </c>
      <c r="I296" s="40">
        <v>-0.24750245683450822</v>
      </c>
      <c r="J296" s="40">
        <v>-3.5416868222685638E-2</v>
      </c>
    </row>
    <row r="297" spans="1:10" ht="11.25" customHeight="1" x14ac:dyDescent="0.2">
      <c r="A297" s="49">
        <v>44652</v>
      </c>
      <c r="B297" s="39">
        <v>0</v>
      </c>
      <c r="C297" s="39">
        <v>0</v>
      </c>
      <c r="D297" s="39">
        <v>98002.504000000001</v>
      </c>
      <c r="E297" s="39">
        <v>110897.17636755249</v>
      </c>
      <c r="F297" s="39">
        <v>77165.14</v>
      </c>
      <c r="G297" s="39">
        <v>58066.578268021229</v>
      </c>
      <c r="H297" s="40">
        <v>0.13157492759116129</v>
      </c>
      <c r="I297" s="40">
        <v>-0.247502456834508</v>
      </c>
      <c r="J297" s="40">
        <v>-3.5416868222685527E-2</v>
      </c>
    </row>
    <row r="298" spans="1:10" ht="11.25" customHeight="1" x14ac:dyDescent="0.2">
      <c r="A298" s="49">
        <v>44682</v>
      </c>
      <c r="B298" s="39">
        <v>0</v>
      </c>
      <c r="C298" s="39">
        <v>0</v>
      </c>
      <c r="D298" s="39">
        <v>93578.306240000005</v>
      </c>
      <c r="E298" s="39">
        <v>105890.8651076315</v>
      </c>
      <c r="F298" s="39">
        <v>73681.618400000007</v>
      </c>
      <c r="G298" s="39">
        <v>55445.236822457307</v>
      </c>
      <c r="H298" s="40">
        <v>0.13157492759116107</v>
      </c>
      <c r="I298" s="40">
        <v>-0.24750245683450811</v>
      </c>
      <c r="J298" s="40">
        <v>-3.5416868222685638E-2</v>
      </c>
    </row>
    <row r="299" spans="1:10" ht="11.25" customHeight="1" x14ac:dyDescent="0.2">
      <c r="A299" s="49">
        <v>44713</v>
      </c>
      <c r="B299" s="39">
        <v>0</v>
      </c>
      <c r="C299" s="39">
        <v>0</v>
      </c>
      <c r="D299" s="39">
        <v>108400.62898000001</v>
      </c>
      <c r="E299" s="39">
        <v>122663.43388887982</v>
      </c>
      <c r="F299" s="39">
        <v>85352.408050000013</v>
      </c>
      <c r="G299" s="39">
        <v>64227.477360883568</v>
      </c>
      <c r="H299" s="40">
        <v>0.13157492759116107</v>
      </c>
      <c r="I299" s="40">
        <v>-0.247502456834508</v>
      </c>
      <c r="J299" s="40">
        <v>-3.5416868222685527E-2</v>
      </c>
    </row>
    <row r="300" spans="1:10" ht="11.25" customHeight="1" x14ac:dyDescent="0.2">
      <c r="A300" s="49">
        <v>44743</v>
      </c>
      <c r="B300" s="39">
        <v>0</v>
      </c>
      <c r="C300" s="39">
        <v>0</v>
      </c>
      <c r="D300" s="39">
        <v>103026.05898</v>
      </c>
      <c r="E300" s="39">
        <v>116581.7052302962</v>
      </c>
      <c r="F300" s="39">
        <v>81120.583050000016</v>
      </c>
      <c r="G300" s="39">
        <v>61043.039445277253</v>
      </c>
      <c r="H300" s="40">
        <v>0.13157492759116107</v>
      </c>
      <c r="I300" s="40">
        <v>-0.24750245683450811</v>
      </c>
      <c r="J300" s="40">
        <v>-3.5416868222685527E-2</v>
      </c>
    </row>
    <row r="301" spans="1:10" ht="11.25" customHeight="1" x14ac:dyDescent="0.2">
      <c r="A301" s="49">
        <v>44774</v>
      </c>
      <c r="B301" s="39">
        <v>0</v>
      </c>
      <c r="C301" s="39">
        <v>0</v>
      </c>
      <c r="D301" s="39">
        <v>103026.05898</v>
      </c>
      <c r="E301" s="39">
        <v>116581.7052302962</v>
      </c>
      <c r="F301" s="39">
        <v>81120.583050000016</v>
      </c>
      <c r="G301" s="39">
        <v>61043.039445277253</v>
      </c>
      <c r="H301" s="40">
        <v>0.13157492759116107</v>
      </c>
      <c r="I301" s="40">
        <v>-0.24750245683450811</v>
      </c>
      <c r="J301" s="40">
        <v>-3.5416868222685527E-2</v>
      </c>
    </row>
    <row r="302" spans="1:10" ht="11.25" customHeight="1" x14ac:dyDescent="0.2">
      <c r="A302" s="44" t="s">
        <v>42</v>
      </c>
      <c r="B302" s="39">
        <v>0</v>
      </c>
      <c r="C302" s="39">
        <v>0</v>
      </c>
      <c r="D302" s="39">
        <v>301278.00789999997</v>
      </c>
      <c r="E302" s="39">
        <v>340918.6399742518</v>
      </c>
      <c r="F302" s="39">
        <v>237220.05775000004</v>
      </c>
      <c r="G302" s="39">
        <v>178507.51064645109</v>
      </c>
      <c r="H302" s="40">
        <v>0.13157492759116129</v>
      </c>
      <c r="I302" s="40">
        <v>-0.24750245683450833</v>
      </c>
      <c r="J302" s="40">
        <v>-3.5416868222685527E-2</v>
      </c>
    </row>
    <row r="303" spans="1:10" ht="11.25" customHeight="1" x14ac:dyDescent="0.2">
      <c r="A303" s="45" t="s">
        <v>25</v>
      </c>
      <c r="B303" s="39">
        <v>0</v>
      </c>
      <c r="C303" s="39">
        <v>0</v>
      </c>
      <c r="D303" s="39">
        <v>301278.00789999997</v>
      </c>
      <c r="E303" s="39">
        <v>340918.6399742518</v>
      </c>
      <c r="F303" s="39">
        <v>237220.05775000004</v>
      </c>
      <c r="G303" s="39">
        <v>178507.51064645109</v>
      </c>
      <c r="H303" s="40">
        <v>0.13157492759116129</v>
      </c>
      <c r="I303" s="40">
        <v>-0.24750245683450833</v>
      </c>
      <c r="J303" s="40">
        <v>-3.5416868222685527E-2</v>
      </c>
    </row>
    <row r="304" spans="1:10" ht="11.25" customHeight="1" x14ac:dyDescent="0.2">
      <c r="A304" s="46" t="s">
        <v>25</v>
      </c>
      <c r="B304" s="39">
        <v>0</v>
      </c>
      <c r="C304" s="39">
        <v>0</v>
      </c>
      <c r="D304" s="39">
        <v>301278.00789999997</v>
      </c>
      <c r="E304" s="39">
        <v>340918.6399742518</v>
      </c>
      <c r="F304" s="39">
        <v>237220.05775000004</v>
      </c>
      <c r="G304" s="39">
        <v>178507.51064645109</v>
      </c>
      <c r="H304" s="40">
        <v>0.13157492759116129</v>
      </c>
      <c r="I304" s="40">
        <v>-0.24750245683450833</v>
      </c>
      <c r="J304" s="40">
        <v>-3.5416868222685527E-2</v>
      </c>
    </row>
    <row r="305" spans="1:10" ht="11.25" customHeight="1" x14ac:dyDescent="0.2">
      <c r="A305" s="47" t="s">
        <v>25</v>
      </c>
      <c r="B305" s="39">
        <v>0</v>
      </c>
      <c r="C305" s="39">
        <v>0</v>
      </c>
      <c r="D305" s="39">
        <v>301278.00789999997</v>
      </c>
      <c r="E305" s="39">
        <v>340918.6399742518</v>
      </c>
      <c r="F305" s="39">
        <v>237220.05775000004</v>
      </c>
      <c r="G305" s="39">
        <v>178507.51064645109</v>
      </c>
      <c r="H305" s="40">
        <v>0.13157492759116129</v>
      </c>
      <c r="I305" s="40">
        <v>-0.24750245683450833</v>
      </c>
      <c r="J305" s="40">
        <v>-3.5416868222685527E-2</v>
      </c>
    </row>
    <row r="306" spans="1:10" ht="11.25" customHeight="1" x14ac:dyDescent="0.2">
      <c r="A306" s="48" t="s">
        <v>25</v>
      </c>
      <c r="B306" s="39">
        <v>0</v>
      </c>
      <c r="C306" s="39">
        <v>0</v>
      </c>
      <c r="D306" s="39">
        <v>301278.00789999997</v>
      </c>
      <c r="E306" s="39">
        <v>340918.6399742518</v>
      </c>
      <c r="F306" s="39">
        <v>237220.05775000004</v>
      </c>
      <c r="G306" s="39">
        <v>178507.51064645109</v>
      </c>
      <c r="H306" s="40">
        <v>0.13157492759116129</v>
      </c>
      <c r="I306" s="40">
        <v>-0.24750245683450833</v>
      </c>
      <c r="J306" s="40">
        <v>-3.5416868222685527E-2</v>
      </c>
    </row>
    <row r="307" spans="1:10" ht="11.25" customHeight="1" x14ac:dyDescent="0.2">
      <c r="A307" s="49">
        <v>44440</v>
      </c>
      <c r="B307" s="39">
        <v>0</v>
      </c>
      <c r="C307" s="39">
        <v>0</v>
      </c>
      <c r="D307" s="39">
        <v>20739.909640000002</v>
      </c>
      <c r="E307" s="39">
        <v>23468.761749130226</v>
      </c>
      <c r="F307" s="39">
        <v>16330.174900000002</v>
      </c>
      <c r="G307" s="39">
        <v>12288.416491712784</v>
      </c>
      <c r="H307" s="40">
        <v>0.13157492759116107</v>
      </c>
      <c r="I307" s="40">
        <v>-0.24750245683450811</v>
      </c>
      <c r="J307" s="40">
        <v>-3.5416868222685638E-2</v>
      </c>
    </row>
    <row r="308" spans="1:10" ht="11.25" customHeight="1" x14ac:dyDescent="0.2">
      <c r="A308" s="49">
        <v>44470</v>
      </c>
      <c r="B308" s="39">
        <v>0</v>
      </c>
      <c r="C308" s="39">
        <v>0</v>
      </c>
      <c r="D308" s="39">
        <v>21914.160520000001</v>
      </c>
      <c r="E308" s="39">
        <v>24797.51460364008</v>
      </c>
      <c r="F308" s="39">
        <v>17254.755700000002</v>
      </c>
      <c r="G308" s="39">
        <v>12984.161272170768</v>
      </c>
      <c r="H308" s="40">
        <v>0.13157492759116107</v>
      </c>
      <c r="I308" s="40">
        <v>-0.24750245683450811</v>
      </c>
      <c r="J308" s="40">
        <v>-3.5416868222685527E-2</v>
      </c>
    </row>
    <row r="309" spans="1:10" ht="11.25" customHeight="1" x14ac:dyDescent="0.2">
      <c r="A309" s="49">
        <v>44501</v>
      </c>
      <c r="B309" s="39">
        <v>0</v>
      </c>
      <c r="C309" s="39">
        <v>0</v>
      </c>
      <c r="D309" s="39">
        <v>24935.410179999999</v>
      </c>
      <c r="E309" s="39">
        <v>28216.284968889398</v>
      </c>
      <c r="F309" s="39">
        <v>19633.625049999999</v>
      </c>
      <c r="G309" s="39">
        <v>14774.254613557459</v>
      </c>
      <c r="H309" s="40">
        <v>0.13157492759116107</v>
      </c>
      <c r="I309" s="40">
        <v>-0.247502456834508</v>
      </c>
      <c r="J309" s="40">
        <v>-3.5416868222685527E-2</v>
      </c>
    </row>
    <row r="310" spans="1:10" ht="11.25" customHeight="1" x14ac:dyDescent="0.2">
      <c r="A310" s="49">
        <v>44531</v>
      </c>
      <c r="B310" s="39">
        <v>0</v>
      </c>
      <c r="C310" s="39">
        <v>0</v>
      </c>
      <c r="D310" s="39">
        <v>26214.928499999998</v>
      </c>
      <c r="E310" s="39">
        <v>29664.155819194963</v>
      </c>
      <c r="F310" s="39">
        <v>20641.091250000001</v>
      </c>
      <c r="G310" s="39">
        <v>15532.370453879732</v>
      </c>
      <c r="H310" s="40">
        <v>0.13157492759116107</v>
      </c>
      <c r="I310" s="40">
        <v>-0.24750245683450811</v>
      </c>
      <c r="J310" s="40">
        <v>-3.5416868222685749E-2</v>
      </c>
    </row>
    <row r="311" spans="1:10" ht="11.25" customHeight="1" x14ac:dyDescent="0.2">
      <c r="A311" s="49">
        <v>44562</v>
      </c>
      <c r="B311" s="39">
        <v>0</v>
      </c>
      <c r="C311" s="39">
        <v>0</v>
      </c>
      <c r="D311" s="39">
        <v>18843.613080000003</v>
      </c>
      <c r="E311" s="39">
        <v>21322.960106556857</v>
      </c>
      <c r="F311" s="39">
        <v>14837.070300000001</v>
      </c>
      <c r="G311" s="39">
        <v>11164.85894852369</v>
      </c>
      <c r="H311" s="40">
        <v>0.13157492759116107</v>
      </c>
      <c r="I311" s="40">
        <v>-0.247502456834508</v>
      </c>
      <c r="J311" s="40">
        <v>-3.5416868222685638E-2</v>
      </c>
    </row>
    <row r="312" spans="1:10" ht="11.25" customHeight="1" x14ac:dyDescent="0.2">
      <c r="A312" s="49">
        <v>44593</v>
      </c>
      <c r="B312" s="39">
        <v>0</v>
      </c>
      <c r="C312" s="39">
        <v>0</v>
      </c>
      <c r="D312" s="39">
        <v>31146.930460000003</v>
      </c>
      <c r="E312" s="39">
        <v>35245.085579961436</v>
      </c>
      <c r="F312" s="39">
        <v>24524.447350000002</v>
      </c>
      <c r="G312" s="39">
        <v>18454.586378366461</v>
      </c>
      <c r="H312" s="40">
        <v>0.13157492759116129</v>
      </c>
      <c r="I312" s="40">
        <v>-0.24750245683450811</v>
      </c>
      <c r="J312" s="40">
        <v>-3.5416868222685527E-2</v>
      </c>
    </row>
    <row r="313" spans="1:10" ht="11.25" customHeight="1" x14ac:dyDescent="0.2">
      <c r="A313" s="49">
        <v>44621</v>
      </c>
      <c r="B313" s="39">
        <v>0</v>
      </c>
      <c r="C313" s="39">
        <v>0</v>
      </c>
      <c r="D313" s="39">
        <v>38542.709439999999</v>
      </c>
      <c r="E313" s="39">
        <v>43613.963643735158</v>
      </c>
      <c r="F313" s="39">
        <v>30347.7304</v>
      </c>
      <c r="G313" s="39">
        <v>22836.592566648713</v>
      </c>
      <c r="H313" s="40">
        <v>0.13157492759116107</v>
      </c>
      <c r="I313" s="40">
        <v>-0.247502456834508</v>
      </c>
      <c r="J313" s="40">
        <v>-3.5416868222685638E-2</v>
      </c>
    </row>
    <row r="314" spans="1:10" ht="11.25" customHeight="1" x14ac:dyDescent="0.2">
      <c r="A314" s="49">
        <v>44652</v>
      </c>
      <c r="B314" s="39">
        <v>0</v>
      </c>
      <c r="C314" s="39">
        <v>0</v>
      </c>
      <c r="D314" s="39">
        <v>26171.561280000002</v>
      </c>
      <c r="E314" s="39">
        <v>29615.082560363637</v>
      </c>
      <c r="F314" s="39">
        <v>20606.944800000001</v>
      </c>
      <c r="G314" s="39">
        <v>15506.675334146912</v>
      </c>
      <c r="H314" s="40">
        <v>0.13157492759116107</v>
      </c>
      <c r="I314" s="40">
        <v>-0.247502456834508</v>
      </c>
      <c r="J314" s="40">
        <v>-3.5416868222685638E-2</v>
      </c>
    </row>
    <row r="315" spans="1:10" ht="11.25" customHeight="1" x14ac:dyDescent="0.2">
      <c r="A315" s="49">
        <v>44682</v>
      </c>
      <c r="B315" s="39">
        <v>0</v>
      </c>
      <c r="C315" s="39">
        <v>0</v>
      </c>
      <c r="D315" s="39">
        <v>22964.610960000002</v>
      </c>
      <c r="E315" s="39">
        <v>25986.177984221187</v>
      </c>
      <c r="F315" s="39">
        <v>18081.858600000003</v>
      </c>
      <c r="G315" s="39">
        <v>13606.554172365823</v>
      </c>
      <c r="H315" s="40">
        <v>0.13157492759116107</v>
      </c>
      <c r="I315" s="40">
        <v>-0.24750245683450811</v>
      </c>
      <c r="J315" s="40">
        <v>-3.5416868222685638E-2</v>
      </c>
    </row>
    <row r="316" spans="1:10" ht="11.25" customHeight="1" x14ac:dyDescent="0.2">
      <c r="A316" s="49">
        <v>44713</v>
      </c>
      <c r="B316" s="39">
        <v>0</v>
      </c>
      <c r="C316" s="39">
        <v>0</v>
      </c>
      <c r="D316" s="39">
        <v>25462.859360000002</v>
      </c>
      <c r="E316" s="39">
        <v>28813.133236555917</v>
      </c>
      <c r="F316" s="39">
        <v>20048.927600000003</v>
      </c>
      <c r="G316" s="39">
        <v>15086.768762102824</v>
      </c>
      <c r="H316" s="40">
        <v>0.13157492759116085</v>
      </c>
      <c r="I316" s="40">
        <v>-0.24750245683450811</v>
      </c>
      <c r="J316" s="40">
        <v>-3.5416868222685749E-2</v>
      </c>
    </row>
    <row r="317" spans="1:10" ht="11.25" customHeight="1" x14ac:dyDescent="0.2">
      <c r="A317" s="49">
        <v>44743</v>
      </c>
      <c r="B317" s="39">
        <v>0</v>
      </c>
      <c r="C317" s="39">
        <v>0</v>
      </c>
      <c r="D317" s="39">
        <v>22170.65724</v>
      </c>
      <c r="E317" s="39">
        <v>25087.759861001454</v>
      </c>
      <c r="F317" s="39">
        <v>17456.715900000003</v>
      </c>
      <c r="G317" s="39">
        <v>13136.13582648798</v>
      </c>
      <c r="H317" s="40">
        <v>0.13157492759116107</v>
      </c>
      <c r="I317" s="40">
        <v>-0.24750245683450811</v>
      </c>
      <c r="J317" s="40">
        <v>-3.5416868222685527E-2</v>
      </c>
    </row>
    <row r="318" spans="1:10" ht="11.25" customHeight="1" x14ac:dyDescent="0.2">
      <c r="A318" s="49">
        <v>44774</v>
      </c>
      <c r="B318" s="39">
        <v>0</v>
      </c>
      <c r="C318" s="39">
        <v>0</v>
      </c>
      <c r="D318" s="39">
        <v>22170.65724</v>
      </c>
      <c r="E318" s="39">
        <v>25087.759861001454</v>
      </c>
      <c r="F318" s="39">
        <v>17456.715900000003</v>
      </c>
      <c r="G318" s="39">
        <v>13136.13582648798</v>
      </c>
      <c r="H318" s="40">
        <v>0.13157492759116107</v>
      </c>
      <c r="I318" s="40">
        <v>-0.24750245683450811</v>
      </c>
      <c r="J318" s="40">
        <v>-3.5416868222685527E-2</v>
      </c>
    </row>
    <row r="319" spans="1:10" ht="11.25" customHeight="1" x14ac:dyDescent="0.2">
      <c r="A319" s="44" t="s">
        <v>46</v>
      </c>
      <c r="B319" s="39">
        <v>0</v>
      </c>
      <c r="C319" s="39">
        <v>0</v>
      </c>
      <c r="D319" s="39">
        <v>59481.285426799994</v>
      </c>
      <c r="E319" s="39">
        <v>67307.531249860389</v>
      </c>
      <c r="F319" s="39">
        <v>46834.331063000005</v>
      </c>
      <c r="G319" s="39">
        <v>35242.71906070679</v>
      </c>
      <c r="H319" s="40">
        <v>0.13157492759116107</v>
      </c>
      <c r="I319" s="40">
        <v>-0.247502456834508</v>
      </c>
      <c r="J319" s="40">
        <v>-3.5416868222685527E-2</v>
      </c>
    </row>
    <row r="320" spans="1:10" ht="11.25" customHeight="1" x14ac:dyDescent="0.2">
      <c r="A320" s="45" t="s">
        <v>47</v>
      </c>
      <c r="B320" s="39">
        <v>0</v>
      </c>
      <c r="C320" s="39">
        <v>0</v>
      </c>
      <c r="D320" s="39">
        <v>59481.285426799994</v>
      </c>
      <c r="E320" s="39">
        <v>67307.531249860389</v>
      </c>
      <c r="F320" s="39">
        <v>46834.331063000005</v>
      </c>
      <c r="G320" s="39">
        <v>35242.71906070679</v>
      </c>
      <c r="H320" s="40">
        <v>0.13157492759116107</v>
      </c>
      <c r="I320" s="40">
        <v>-0.247502456834508</v>
      </c>
      <c r="J320" s="40">
        <v>-3.5416868222685527E-2</v>
      </c>
    </row>
    <row r="321" spans="1:10" ht="11.25" customHeight="1" x14ac:dyDescent="0.2">
      <c r="A321" s="46" t="s">
        <v>25</v>
      </c>
      <c r="B321" s="39">
        <v>0</v>
      </c>
      <c r="C321" s="39">
        <v>0</v>
      </c>
      <c r="D321" s="39">
        <v>59481.285426799994</v>
      </c>
      <c r="E321" s="39">
        <v>67307.531249860389</v>
      </c>
      <c r="F321" s="39">
        <v>46834.331063000005</v>
      </c>
      <c r="G321" s="39">
        <v>35242.71906070679</v>
      </c>
      <c r="H321" s="40">
        <v>0.13157492759116107</v>
      </c>
      <c r="I321" s="40">
        <v>-0.247502456834508</v>
      </c>
      <c r="J321" s="40">
        <v>-3.5416868222685527E-2</v>
      </c>
    </row>
    <row r="322" spans="1:10" ht="11.25" customHeight="1" x14ac:dyDescent="0.2">
      <c r="A322" s="47" t="s">
        <v>25</v>
      </c>
      <c r="B322" s="39">
        <v>0</v>
      </c>
      <c r="C322" s="39">
        <v>0</v>
      </c>
      <c r="D322" s="39">
        <v>59481.285426799994</v>
      </c>
      <c r="E322" s="39">
        <v>67307.531249860389</v>
      </c>
      <c r="F322" s="39">
        <v>46834.331063000005</v>
      </c>
      <c r="G322" s="39">
        <v>35242.71906070679</v>
      </c>
      <c r="H322" s="40">
        <v>0.13157492759116107</v>
      </c>
      <c r="I322" s="40">
        <v>-0.247502456834508</v>
      </c>
      <c r="J322" s="40">
        <v>-3.5416868222685527E-2</v>
      </c>
    </row>
    <row r="323" spans="1:10" ht="11.25" customHeight="1" x14ac:dyDescent="0.2">
      <c r="A323" s="48" t="s">
        <v>25</v>
      </c>
      <c r="B323" s="39">
        <v>0</v>
      </c>
      <c r="C323" s="39">
        <v>0</v>
      </c>
      <c r="D323" s="39">
        <v>59481.285426799994</v>
      </c>
      <c r="E323" s="39">
        <v>67307.531249860389</v>
      </c>
      <c r="F323" s="39">
        <v>46834.331063000005</v>
      </c>
      <c r="G323" s="39">
        <v>35242.71906070679</v>
      </c>
      <c r="H323" s="40">
        <v>0.13157492759116107</v>
      </c>
      <c r="I323" s="40">
        <v>-0.247502456834508</v>
      </c>
      <c r="J323" s="40">
        <v>-3.5416868222685527E-2</v>
      </c>
    </row>
    <row r="324" spans="1:10" ht="11.25" customHeight="1" x14ac:dyDescent="0.2">
      <c r="A324" s="49">
        <v>44440</v>
      </c>
      <c r="B324" s="39">
        <v>0</v>
      </c>
      <c r="C324" s="39">
        <v>0</v>
      </c>
      <c r="D324" s="39">
        <v>4911.6823788000002</v>
      </c>
      <c r="E324" s="39">
        <v>5557.9366321413918</v>
      </c>
      <c r="F324" s="39">
        <v>3867.3568830000004</v>
      </c>
      <c r="G324" s="39">
        <v>2910.1765530016551</v>
      </c>
      <c r="H324" s="40">
        <v>0.13157492759116107</v>
      </c>
      <c r="I324" s="40">
        <v>-0.24750245683450811</v>
      </c>
      <c r="J324" s="40">
        <v>-3.5416868222685527E-2</v>
      </c>
    </row>
    <row r="325" spans="1:10" ht="11.25" customHeight="1" x14ac:dyDescent="0.2">
      <c r="A325" s="49">
        <v>44470</v>
      </c>
      <c r="B325" s="39">
        <v>0</v>
      </c>
      <c r="C325" s="39">
        <v>0</v>
      </c>
      <c r="D325" s="39">
        <v>5081.0146931999998</v>
      </c>
      <c r="E325" s="39">
        <v>5749.5488335474156</v>
      </c>
      <c r="F325" s="39">
        <v>4000.685637</v>
      </c>
      <c r="G325" s="39">
        <v>3010.5061128199713</v>
      </c>
      <c r="H325" s="40">
        <v>0.13157492759116107</v>
      </c>
      <c r="I325" s="40">
        <v>-0.247502456834508</v>
      </c>
      <c r="J325" s="40">
        <v>-3.5416868222685416E-2</v>
      </c>
    </row>
    <row r="326" spans="1:10" ht="11.25" customHeight="1" x14ac:dyDescent="0.2">
      <c r="A326" s="49">
        <v>44501</v>
      </c>
      <c r="B326" s="39">
        <v>0</v>
      </c>
      <c r="C326" s="39">
        <v>0</v>
      </c>
      <c r="D326" s="39">
        <v>5287.9764107999999</v>
      </c>
      <c r="E326" s="39">
        <v>5983.7415241547778</v>
      </c>
      <c r="F326" s="39">
        <v>4163.6430030000001</v>
      </c>
      <c r="G326" s="39">
        <v>3133.1311303756911</v>
      </c>
      <c r="H326" s="40">
        <v>0.13157492759116107</v>
      </c>
      <c r="I326" s="40">
        <v>-0.24750245683450811</v>
      </c>
      <c r="J326" s="40">
        <v>-3.5416868222685416E-2</v>
      </c>
    </row>
    <row r="327" spans="1:10" ht="11.25" customHeight="1" x14ac:dyDescent="0.2">
      <c r="A327" s="49">
        <v>44531</v>
      </c>
      <c r="B327" s="39">
        <v>0</v>
      </c>
      <c r="C327" s="39">
        <v>0</v>
      </c>
      <c r="D327" s="39">
        <v>4870.2203512000006</v>
      </c>
      <c r="E327" s="39">
        <v>5511.0192412621391</v>
      </c>
      <c r="F327" s="39">
        <v>3834.7105420000003</v>
      </c>
      <c r="G327" s="39">
        <v>2885.610261605812</v>
      </c>
      <c r="H327" s="40">
        <v>0.13157492759116085</v>
      </c>
      <c r="I327" s="40">
        <v>-0.24750245683450811</v>
      </c>
      <c r="J327" s="40">
        <v>-3.5416868222685638E-2</v>
      </c>
    </row>
    <row r="328" spans="1:10" ht="11.25" customHeight="1" x14ac:dyDescent="0.2">
      <c r="A328" s="49">
        <v>44562</v>
      </c>
      <c r="B328" s="39">
        <v>0</v>
      </c>
      <c r="C328" s="39">
        <v>0</v>
      </c>
      <c r="D328" s="39">
        <v>4593.9229740000001</v>
      </c>
      <c r="E328" s="39">
        <v>5198.3680566634221</v>
      </c>
      <c r="F328" s="39">
        <v>3617.1597150000002</v>
      </c>
      <c r="G328" s="39">
        <v>2721.903798774691</v>
      </c>
      <c r="H328" s="40">
        <v>0.13157492759116129</v>
      </c>
      <c r="I328" s="40">
        <v>-0.24750245683450811</v>
      </c>
      <c r="J328" s="40">
        <v>-3.5416868222685527E-2</v>
      </c>
    </row>
    <row r="329" spans="1:10" ht="11.25" customHeight="1" x14ac:dyDescent="0.2">
      <c r="A329" s="49">
        <v>44593</v>
      </c>
      <c r="B329" s="39">
        <v>0</v>
      </c>
      <c r="C329" s="39">
        <v>0</v>
      </c>
      <c r="D329" s="39">
        <v>5350.6920828000002</v>
      </c>
      <c r="E329" s="39">
        <v>6054.7090061570088</v>
      </c>
      <c r="F329" s="39">
        <v>4213.0240229999999</v>
      </c>
      <c r="G329" s="39">
        <v>3170.2902266046972</v>
      </c>
      <c r="H329" s="40">
        <v>0.13157492759116107</v>
      </c>
      <c r="I329" s="40">
        <v>-0.247502456834508</v>
      </c>
      <c r="J329" s="40">
        <v>-3.5416868222685638E-2</v>
      </c>
    </row>
    <row r="330" spans="1:10" ht="11.25" customHeight="1" x14ac:dyDescent="0.2">
      <c r="A330" s="49">
        <v>44621</v>
      </c>
      <c r="B330" s="39">
        <v>0</v>
      </c>
      <c r="C330" s="39">
        <v>0</v>
      </c>
      <c r="D330" s="39">
        <v>4985.8959240000004</v>
      </c>
      <c r="E330" s="39">
        <v>5641.9148191773647</v>
      </c>
      <c r="F330" s="39">
        <v>3925.7910900000002</v>
      </c>
      <c r="G330" s="39">
        <v>2954.1481502059787</v>
      </c>
      <c r="H330" s="40">
        <v>0.13157492759116085</v>
      </c>
      <c r="I330" s="40">
        <v>-0.24750245683450811</v>
      </c>
      <c r="J330" s="40">
        <v>-3.5416868222685749E-2</v>
      </c>
    </row>
    <row r="331" spans="1:10" ht="11.25" customHeight="1" x14ac:dyDescent="0.2">
      <c r="A331" s="49">
        <v>44652</v>
      </c>
      <c r="B331" s="39">
        <v>0</v>
      </c>
      <c r="C331" s="39">
        <v>0</v>
      </c>
      <c r="D331" s="39">
        <v>5044.7789716000007</v>
      </c>
      <c r="E331" s="39">
        <v>5708.5453995016824</v>
      </c>
      <c r="F331" s="39">
        <v>3972.1543810000003</v>
      </c>
      <c r="G331" s="39">
        <v>2989.0364127765456</v>
      </c>
      <c r="H331" s="40">
        <v>0.13157492759116107</v>
      </c>
      <c r="I331" s="40">
        <v>-0.24750245683450811</v>
      </c>
      <c r="J331" s="40">
        <v>-3.5416868222685638E-2</v>
      </c>
    </row>
    <row r="332" spans="1:10" ht="11.25" customHeight="1" x14ac:dyDescent="0.2">
      <c r="A332" s="49">
        <v>44682</v>
      </c>
      <c r="B332" s="39">
        <v>0</v>
      </c>
      <c r="C332" s="39">
        <v>0</v>
      </c>
      <c r="D332" s="39">
        <v>4908.1981748000007</v>
      </c>
      <c r="E332" s="39">
        <v>5553.9939942523797</v>
      </c>
      <c r="F332" s="39">
        <v>3864.6134930000003</v>
      </c>
      <c r="G332" s="39">
        <v>2908.1121587667103</v>
      </c>
      <c r="H332" s="40">
        <v>0.13157492759116107</v>
      </c>
      <c r="I332" s="40">
        <v>-0.24750245683450811</v>
      </c>
      <c r="J332" s="40">
        <v>-3.5416868222685638E-2</v>
      </c>
    </row>
    <row r="333" spans="1:10" ht="11.25" customHeight="1" x14ac:dyDescent="0.2">
      <c r="A333" s="49">
        <v>44713</v>
      </c>
      <c r="B333" s="39">
        <v>0</v>
      </c>
      <c r="C333" s="39">
        <v>0</v>
      </c>
      <c r="D333" s="39">
        <v>5236.7586120000005</v>
      </c>
      <c r="E333" s="39">
        <v>5925.7847471862897</v>
      </c>
      <c r="F333" s="39">
        <v>4123.3151699999999</v>
      </c>
      <c r="G333" s="39">
        <v>3102.784535122003</v>
      </c>
      <c r="H333" s="40">
        <v>0.13157492759116107</v>
      </c>
      <c r="I333" s="40">
        <v>-0.247502456834508</v>
      </c>
      <c r="J333" s="40">
        <v>-3.5416868222685305E-2</v>
      </c>
    </row>
    <row r="334" spans="1:10" ht="11.25" customHeight="1" x14ac:dyDescent="0.2">
      <c r="A334" s="49">
        <v>44743</v>
      </c>
      <c r="B334" s="39">
        <v>0</v>
      </c>
      <c r="C334" s="39">
        <v>0</v>
      </c>
      <c r="D334" s="39">
        <v>4605.0724268000004</v>
      </c>
      <c r="E334" s="39">
        <v>5210.9844979082627</v>
      </c>
      <c r="F334" s="39">
        <v>3625.9385630000002</v>
      </c>
      <c r="G334" s="39">
        <v>2728.5098603265146</v>
      </c>
      <c r="H334" s="40">
        <v>0.13157492759116107</v>
      </c>
      <c r="I334" s="40">
        <v>-0.247502456834508</v>
      </c>
      <c r="J334" s="40">
        <v>-3.5416868222685638E-2</v>
      </c>
    </row>
    <row r="335" spans="1:10" ht="11.25" customHeight="1" x14ac:dyDescent="0.2">
      <c r="A335" s="49">
        <v>44774</v>
      </c>
      <c r="B335" s="39">
        <v>0</v>
      </c>
      <c r="C335" s="39">
        <v>0</v>
      </c>
      <c r="D335" s="39">
        <v>4605.0724268000004</v>
      </c>
      <c r="E335" s="39">
        <v>5210.9844979082627</v>
      </c>
      <c r="F335" s="39">
        <v>3625.9385630000002</v>
      </c>
      <c r="G335" s="39">
        <v>2728.5098603265146</v>
      </c>
      <c r="H335" s="40">
        <v>0.13157492759116107</v>
      </c>
      <c r="I335" s="40">
        <v>-0.247502456834508</v>
      </c>
      <c r="J335" s="40">
        <v>-3.5416868222685638E-2</v>
      </c>
    </row>
    <row r="336" spans="1:10" ht="11.25" customHeight="1" x14ac:dyDescent="0.2">
      <c r="A336" s="42" t="s">
        <v>43</v>
      </c>
      <c r="B336" s="39">
        <v>0</v>
      </c>
      <c r="C336" s="39">
        <v>0</v>
      </c>
      <c r="D336" s="39">
        <v>395144.08479999995</v>
      </c>
      <c r="E336" s="39">
        <v>447127.09714673011</v>
      </c>
      <c r="F336" s="39">
        <v>311122.66496999998</v>
      </c>
      <c r="G336" s="39">
        <v>234119.04101302542</v>
      </c>
      <c r="H336" s="40">
        <v>0.13155457552411809</v>
      </c>
      <c r="I336" s="40">
        <v>-0.24750245683450811</v>
      </c>
      <c r="J336" s="40">
        <v>-3.5426574475426631E-2</v>
      </c>
    </row>
    <row r="337" spans="1:10" ht="11.25" customHeight="1" x14ac:dyDescent="0.2">
      <c r="A337" s="43" t="s">
        <v>23</v>
      </c>
      <c r="B337" s="39">
        <v>0</v>
      </c>
      <c r="C337" s="39">
        <v>0</v>
      </c>
      <c r="D337" s="39">
        <v>395144.08479999995</v>
      </c>
      <c r="E337" s="39">
        <v>447127.09714673011</v>
      </c>
      <c r="F337" s="39">
        <v>311122.66496999998</v>
      </c>
      <c r="G337" s="39">
        <v>234119.04101302542</v>
      </c>
      <c r="H337" s="40">
        <v>0.13155457552411809</v>
      </c>
      <c r="I337" s="40">
        <v>-0.24750245683450811</v>
      </c>
      <c r="J337" s="40">
        <v>-3.5426574475426631E-2</v>
      </c>
    </row>
    <row r="338" spans="1:10" ht="11.25" customHeight="1" x14ac:dyDescent="0.2">
      <c r="A338" s="44" t="s">
        <v>44</v>
      </c>
      <c r="B338" s="39">
        <v>0</v>
      </c>
      <c r="C338" s="39">
        <v>0</v>
      </c>
      <c r="D338" s="39">
        <v>395144.08479999995</v>
      </c>
      <c r="E338" s="39">
        <v>447127.09714673011</v>
      </c>
      <c r="F338" s="39">
        <v>311122.66496999998</v>
      </c>
      <c r="G338" s="39">
        <v>234119.04101302542</v>
      </c>
      <c r="H338" s="40">
        <v>0.13155457552411809</v>
      </c>
      <c r="I338" s="40">
        <v>-0.24750245683450811</v>
      </c>
      <c r="J338" s="40">
        <v>-3.5426574475426631E-2</v>
      </c>
    </row>
    <row r="339" spans="1:10" ht="11.25" customHeight="1" x14ac:dyDescent="0.2">
      <c r="A339" s="45" t="s">
        <v>45</v>
      </c>
      <c r="B339" s="39">
        <v>0</v>
      </c>
      <c r="C339" s="39">
        <v>0</v>
      </c>
      <c r="D339" s="39">
        <v>395144.08479999995</v>
      </c>
      <c r="E339" s="39">
        <v>447127.09714673011</v>
      </c>
      <c r="F339" s="39">
        <v>311122.66496999998</v>
      </c>
      <c r="G339" s="39">
        <v>234119.04101302542</v>
      </c>
      <c r="H339" s="40">
        <v>0.13155457552411809</v>
      </c>
      <c r="I339" s="40">
        <v>-0.24750245683450811</v>
      </c>
      <c r="J339" s="40">
        <v>-3.5426574475426631E-2</v>
      </c>
    </row>
    <row r="340" spans="1:10" ht="11.25" customHeight="1" x14ac:dyDescent="0.2">
      <c r="A340" s="46" t="s">
        <v>25</v>
      </c>
      <c r="B340" s="39">
        <v>0</v>
      </c>
      <c r="C340" s="39">
        <v>0</v>
      </c>
      <c r="D340" s="39">
        <v>395144.08479999995</v>
      </c>
      <c r="E340" s="39">
        <v>447127.09714673011</v>
      </c>
      <c r="F340" s="39">
        <v>311122.66496999998</v>
      </c>
      <c r="G340" s="39">
        <v>234119.04101302542</v>
      </c>
      <c r="H340" s="40">
        <v>0.13155457552411809</v>
      </c>
      <c r="I340" s="40">
        <v>-0.24750245683450811</v>
      </c>
      <c r="J340" s="40">
        <v>-3.5426574475426631E-2</v>
      </c>
    </row>
    <row r="341" spans="1:10" ht="11.25" customHeight="1" x14ac:dyDescent="0.2">
      <c r="A341" s="47" t="s">
        <v>25</v>
      </c>
      <c r="B341" s="39">
        <v>0</v>
      </c>
      <c r="C341" s="39">
        <v>0</v>
      </c>
      <c r="D341" s="39">
        <v>395144.08479999995</v>
      </c>
      <c r="E341" s="39">
        <v>447127.09714673011</v>
      </c>
      <c r="F341" s="39">
        <v>311122.66496999998</v>
      </c>
      <c r="G341" s="39">
        <v>234119.04101302542</v>
      </c>
      <c r="H341" s="40">
        <v>0.13155457552411809</v>
      </c>
      <c r="I341" s="40">
        <v>-0.24750245683450811</v>
      </c>
      <c r="J341" s="40">
        <v>-3.5426574475426631E-2</v>
      </c>
    </row>
    <row r="342" spans="1:10" ht="11.25" customHeight="1" x14ac:dyDescent="0.2">
      <c r="A342" s="48" t="s">
        <v>25</v>
      </c>
      <c r="B342" s="39">
        <v>0</v>
      </c>
      <c r="C342" s="39">
        <v>0</v>
      </c>
      <c r="D342" s="39">
        <v>395144.08479999995</v>
      </c>
      <c r="E342" s="39">
        <v>447127.09714673011</v>
      </c>
      <c r="F342" s="39">
        <v>311122.66496999998</v>
      </c>
      <c r="G342" s="39">
        <v>234119.04101302542</v>
      </c>
      <c r="H342" s="40">
        <v>0.13155457552411809</v>
      </c>
      <c r="I342" s="40">
        <v>-0.24750245683450811</v>
      </c>
      <c r="J342" s="40">
        <v>-3.5426574475426631E-2</v>
      </c>
    </row>
    <row r="343" spans="1:10" ht="11.25" customHeight="1" x14ac:dyDescent="0.2">
      <c r="A343" s="49">
        <v>44440</v>
      </c>
      <c r="B343" s="39">
        <v>0</v>
      </c>
      <c r="C343" s="39">
        <v>0</v>
      </c>
      <c r="D343" s="39">
        <v>33735.411199999995</v>
      </c>
      <c r="E343" s="39">
        <v>38173.458900547579</v>
      </c>
      <c r="F343" s="39">
        <v>26562.08568</v>
      </c>
      <c r="G343" s="39">
        <v>19987.904215551294</v>
      </c>
      <c r="H343" s="40">
        <v>0.13155457552411831</v>
      </c>
      <c r="I343" s="40">
        <v>-0.24750245683450811</v>
      </c>
      <c r="J343" s="40">
        <v>-3.542657447542652E-2</v>
      </c>
    </row>
    <row r="344" spans="1:10" ht="11.25" customHeight="1" x14ac:dyDescent="0.2">
      <c r="A344" s="49">
        <v>44470</v>
      </c>
      <c r="B344" s="39">
        <v>0</v>
      </c>
      <c r="C344" s="39">
        <v>0</v>
      </c>
      <c r="D344" s="39">
        <v>34769.793599999997</v>
      </c>
      <c r="E344" s="39">
        <v>39343.919038109198</v>
      </c>
      <c r="F344" s="39">
        <v>27376.522290000001</v>
      </c>
      <c r="G344" s="39">
        <v>20600.765763640327</v>
      </c>
      <c r="H344" s="40">
        <v>0.13155457552411809</v>
      </c>
      <c r="I344" s="40">
        <v>-0.24750245683450811</v>
      </c>
      <c r="J344" s="40">
        <v>-3.5426574475426631E-2</v>
      </c>
    </row>
    <row r="345" spans="1:10" ht="11.25" customHeight="1" x14ac:dyDescent="0.2">
      <c r="A345" s="49">
        <v>44501</v>
      </c>
      <c r="B345" s="39">
        <v>0</v>
      </c>
      <c r="C345" s="39">
        <v>0</v>
      </c>
      <c r="D345" s="39">
        <v>33648.675199999998</v>
      </c>
      <c r="E345" s="39">
        <v>38075.31238288492</v>
      </c>
      <c r="F345" s="39">
        <v>26493.792780000003</v>
      </c>
      <c r="G345" s="39">
        <v>19936.513976085647</v>
      </c>
      <c r="H345" s="40">
        <v>0.13155457552411809</v>
      </c>
      <c r="I345" s="40">
        <v>-0.24750245683450822</v>
      </c>
      <c r="J345" s="40">
        <v>-3.5426574475426631E-2</v>
      </c>
    </row>
    <row r="346" spans="1:10" ht="11.25" customHeight="1" x14ac:dyDescent="0.2">
      <c r="A346" s="49">
        <v>44531</v>
      </c>
      <c r="B346" s="39">
        <v>0</v>
      </c>
      <c r="C346" s="39">
        <v>0</v>
      </c>
      <c r="D346" s="39">
        <v>33613.313600000001</v>
      </c>
      <c r="E346" s="39">
        <v>38035.298802607067</v>
      </c>
      <c r="F346" s="39">
        <v>26465.950290000004</v>
      </c>
      <c r="G346" s="39">
        <v>19915.56257076504</v>
      </c>
      <c r="H346" s="40">
        <v>0.13155457552411809</v>
      </c>
      <c r="I346" s="40">
        <v>-0.24750245683450811</v>
      </c>
      <c r="J346" s="40">
        <v>-3.5426574475426631E-2</v>
      </c>
    </row>
    <row r="347" spans="1:10" ht="11.25" customHeight="1" x14ac:dyDescent="0.2">
      <c r="A347" s="49">
        <v>44562</v>
      </c>
      <c r="B347" s="39">
        <v>0</v>
      </c>
      <c r="C347" s="39">
        <v>0</v>
      </c>
      <c r="D347" s="39">
        <v>32388.112000000001</v>
      </c>
      <c r="E347" s="39">
        <v>36648.916326187595</v>
      </c>
      <c r="F347" s="39">
        <v>25501.2693</v>
      </c>
      <c r="G347" s="39">
        <v>19189.642495851582</v>
      </c>
      <c r="H347" s="40">
        <v>0.13155457552411809</v>
      </c>
      <c r="I347" s="40">
        <v>-0.24750245683450811</v>
      </c>
      <c r="J347" s="40">
        <v>-3.5426574475426631E-2</v>
      </c>
    </row>
    <row r="348" spans="1:10" ht="11.25" customHeight="1" x14ac:dyDescent="0.2">
      <c r="A348" s="49">
        <v>44593</v>
      </c>
      <c r="B348" s="39">
        <v>0</v>
      </c>
      <c r="C348" s="39">
        <v>0</v>
      </c>
      <c r="D348" s="39">
        <v>30004.873599999999</v>
      </c>
      <c r="E348" s="39">
        <v>33952.152010102815</v>
      </c>
      <c r="F348" s="39">
        <v>23624.790539999998</v>
      </c>
      <c r="G348" s="39">
        <v>17777.596839149352</v>
      </c>
      <c r="H348" s="40">
        <v>0.13155457552411809</v>
      </c>
      <c r="I348" s="40">
        <v>-0.24750245683450822</v>
      </c>
      <c r="J348" s="40">
        <v>-3.5426574475426631E-2</v>
      </c>
    </row>
    <row r="349" spans="1:10" ht="11.25" customHeight="1" x14ac:dyDescent="0.2">
      <c r="A349" s="49">
        <v>44621</v>
      </c>
      <c r="B349" s="39">
        <v>0</v>
      </c>
      <c r="C349" s="39">
        <v>0</v>
      </c>
      <c r="D349" s="39">
        <v>33307.958399999996</v>
      </c>
      <c r="E349" s="39">
        <v>37689.772728886979</v>
      </c>
      <c r="F349" s="39">
        <v>26225.524260000002</v>
      </c>
      <c r="G349" s="39">
        <v>19734.642573877005</v>
      </c>
      <c r="H349" s="40">
        <v>0.13155457552411809</v>
      </c>
      <c r="I349" s="40">
        <v>-0.24750245683450811</v>
      </c>
      <c r="J349" s="40">
        <v>-3.5426574475426631E-2</v>
      </c>
    </row>
    <row r="350" spans="1:10" ht="11.25" customHeight="1" x14ac:dyDescent="0.2">
      <c r="A350" s="49">
        <v>44652</v>
      </c>
      <c r="B350" s="39">
        <v>0</v>
      </c>
      <c r="C350" s="39">
        <v>0</v>
      </c>
      <c r="D350" s="39">
        <v>31381.529600000005</v>
      </c>
      <c r="E350" s="39">
        <v>35509.913405825551</v>
      </c>
      <c r="F350" s="39">
        <v>24708.721440000005</v>
      </c>
      <c r="G350" s="39">
        <v>18593.252178360519</v>
      </c>
      <c r="H350" s="40">
        <v>0.13155457552411809</v>
      </c>
      <c r="I350" s="40">
        <v>-0.24750245683450811</v>
      </c>
      <c r="J350" s="40">
        <v>-3.5426574475426742E-2</v>
      </c>
    </row>
    <row r="351" spans="1:10" ht="11.25" customHeight="1" x14ac:dyDescent="0.2">
      <c r="A351" s="49">
        <v>44682</v>
      </c>
      <c r="B351" s="39">
        <v>0</v>
      </c>
      <c r="C351" s="39">
        <v>0</v>
      </c>
      <c r="D351" s="39">
        <v>32764.190399999999</v>
      </c>
      <c r="E351" s="39">
        <v>37074.469560463382</v>
      </c>
      <c r="F351" s="39">
        <v>25797.38031</v>
      </c>
      <c r="G351" s="39">
        <v>19412.465303380835</v>
      </c>
      <c r="H351" s="40">
        <v>0.13155457552411809</v>
      </c>
      <c r="I351" s="40">
        <v>-0.24750245683450811</v>
      </c>
      <c r="J351" s="40">
        <v>-3.5426574475426742E-2</v>
      </c>
    </row>
    <row r="352" spans="1:10" ht="11.25" customHeight="1" x14ac:dyDescent="0.2">
      <c r="A352" s="49">
        <v>44713</v>
      </c>
      <c r="B352" s="39">
        <v>0</v>
      </c>
      <c r="C352" s="39">
        <v>0</v>
      </c>
      <c r="D352" s="39">
        <v>32454.387200000001</v>
      </c>
      <c r="E352" s="39">
        <v>36723.91033199137</v>
      </c>
      <c r="F352" s="39">
        <v>25553.452080000003</v>
      </c>
      <c r="G352" s="39">
        <v>19228.909909597129</v>
      </c>
      <c r="H352" s="40">
        <v>0.13155457552411809</v>
      </c>
      <c r="I352" s="40">
        <v>-0.24750245683450822</v>
      </c>
      <c r="J352" s="40">
        <v>-3.5426574475426631E-2</v>
      </c>
    </row>
    <row r="353" spans="1:10" ht="11.25" customHeight="1" x14ac:dyDescent="0.2">
      <c r="A353" s="49">
        <v>44743</v>
      </c>
      <c r="B353" s="39">
        <v>0</v>
      </c>
      <c r="C353" s="39">
        <v>0</v>
      </c>
      <c r="D353" s="39">
        <v>33537.920000000006</v>
      </c>
      <c r="E353" s="39">
        <v>37949.986829561836</v>
      </c>
      <c r="F353" s="39">
        <v>26406.588000000003</v>
      </c>
      <c r="G353" s="39">
        <v>19870.892593383363</v>
      </c>
      <c r="H353" s="40">
        <v>0.13155457552411809</v>
      </c>
      <c r="I353" s="40">
        <v>-0.24750245683450811</v>
      </c>
      <c r="J353" s="40">
        <v>-3.5426574475426631E-2</v>
      </c>
    </row>
    <row r="354" spans="1:10" ht="11.25" customHeight="1" x14ac:dyDescent="0.2">
      <c r="A354" s="49">
        <v>44774</v>
      </c>
      <c r="B354" s="39">
        <v>0</v>
      </c>
      <c r="C354" s="39">
        <v>0</v>
      </c>
      <c r="D354" s="39">
        <v>33537.920000000006</v>
      </c>
      <c r="E354" s="39">
        <v>37949.986829561836</v>
      </c>
      <c r="F354" s="39">
        <v>26406.588000000003</v>
      </c>
      <c r="G354" s="39">
        <v>19870.892593383363</v>
      </c>
      <c r="H354" s="40">
        <v>0.13155457552411809</v>
      </c>
      <c r="I354" s="40">
        <v>-0.24750245683450811</v>
      </c>
      <c r="J354" s="40">
        <v>-3.5426574475426631E-2</v>
      </c>
    </row>
    <row r="355" spans="1:10" ht="11.25" customHeight="1" x14ac:dyDescent="0.2">
      <c r="A355" s="41" t="s">
        <v>58</v>
      </c>
      <c r="B355" s="39">
        <v>392034.59999999986</v>
      </c>
      <c r="C355" s="39">
        <v>451893.9290337672</v>
      </c>
      <c r="D355" s="39">
        <v>0</v>
      </c>
      <c r="E355" s="39">
        <v>0</v>
      </c>
      <c r="F355" s="39">
        <v>0</v>
      </c>
      <c r="G355" s="39">
        <v>0</v>
      </c>
      <c r="H355" s="40">
        <v>0.15268889285223142</v>
      </c>
      <c r="I355" s="40">
        <v>0</v>
      </c>
      <c r="J355" s="40">
        <v>0.15268889285223142</v>
      </c>
    </row>
    <row r="356" spans="1:10" ht="11.25" customHeight="1" x14ac:dyDescent="0.2">
      <c r="A356" s="42" t="s">
        <v>34</v>
      </c>
      <c r="B356" s="39">
        <v>392034.59999999986</v>
      </c>
      <c r="C356" s="39">
        <v>451893.9290337672</v>
      </c>
      <c r="D356" s="39">
        <v>0</v>
      </c>
      <c r="E356" s="39">
        <v>0</v>
      </c>
      <c r="F356" s="39">
        <v>0</v>
      </c>
      <c r="G356" s="39">
        <v>0</v>
      </c>
      <c r="H356" s="40">
        <v>0.15268889285223142</v>
      </c>
      <c r="I356" s="40">
        <v>0</v>
      </c>
      <c r="J356" s="40">
        <v>0.15268889285223142</v>
      </c>
    </row>
    <row r="357" spans="1:10" ht="11.25" customHeight="1" x14ac:dyDescent="0.2">
      <c r="A357" s="43" t="s">
        <v>56</v>
      </c>
      <c r="B357" s="39">
        <v>392034.59999999986</v>
      </c>
      <c r="C357" s="39">
        <v>451893.9290337672</v>
      </c>
      <c r="D357" s="39">
        <v>0</v>
      </c>
      <c r="E357" s="39">
        <v>0</v>
      </c>
      <c r="F357" s="39">
        <v>0</v>
      </c>
      <c r="G357" s="39">
        <v>0</v>
      </c>
      <c r="H357" s="40">
        <v>0.15268889285223142</v>
      </c>
      <c r="I357" s="40">
        <v>0</v>
      </c>
      <c r="J357" s="40">
        <v>0.15268889285223142</v>
      </c>
    </row>
    <row r="358" spans="1:10" ht="11.25" customHeight="1" x14ac:dyDescent="0.2">
      <c r="A358" s="44" t="s">
        <v>25</v>
      </c>
      <c r="B358" s="39">
        <v>392034.59999999986</v>
      </c>
      <c r="C358" s="39">
        <v>451893.9290337672</v>
      </c>
      <c r="D358" s="39">
        <v>0</v>
      </c>
      <c r="E358" s="39">
        <v>0</v>
      </c>
      <c r="F358" s="39">
        <v>0</v>
      </c>
      <c r="G358" s="39">
        <v>0</v>
      </c>
      <c r="H358" s="40">
        <v>0.15268889285223142</v>
      </c>
      <c r="I358" s="40">
        <v>0</v>
      </c>
      <c r="J358" s="40">
        <v>0.15268889285223142</v>
      </c>
    </row>
    <row r="359" spans="1:10" ht="11.25" customHeight="1" x14ac:dyDescent="0.2">
      <c r="A359" s="45" t="s">
        <v>25</v>
      </c>
      <c r="B359" s="39">
        <v>392034.59999999986</v>
      </c>
      <c r="C359" s="39">
        <v>451893.9290337672</v>
      </c>
      <c r="D359" s="39">
        <v>0</v>
      </c>
      <c r="E359" s="39">
        <v>0</v>
      </c>
      <c r="F359" s="39">
        <v>0</v>
      </c>
      <c r="G359" s="39">
        <v>0</v>
      </c>
      <c r="H359" s="40">
        <v>0.15268889285223142</v>
      </c>
      <c r="I359" s="40">
        <v>0</v>
      </c>
      <c r="J359" s="40">
        <v>0.15268889285223142</v>
      </c>
    </row>
    <row r="360" spans="1:10" ht="11.25" customHeight="1" x14ac:dyDescent="0.2">
      <c r="A360" s="46" t="s">
        <v>25</v>
      </c>
      <c r="B360" s="39">
        <v>392034.59999999986</v>
      </c>
      <c r="C360" s="39">
        <v>451893.9290337672</v>
      </c>
      <c r="D360" s="39">
        <v>0</v>
      </c>
      <c r="E360" s="39">
        <v>0</v>
      </c>
      <c r="F360" s="39">
        <v>0</v>
      </c>
      <c r="G360" s="39">
        <v>0</v>
      </c>
      <c r="H360" s="40">
        <v>0.15268889285223142</v>
      </c>
      <c r="I360" s="40">
        <v>0</v>
      </c>
      <c r="J360" s="40">
        <v>0.15268889285223142</v>
      </c>
    </row>
    <row r="361" spans="1:10" ht="11.25" customHeight="1" x14ac:dyDescent="0.2">
      <c r="A361" s="47" t="s">
        <v>61</v>
      </c>
      <c r="B361" s="39">
        <v>107046</v>
      </c>
      <c r="C361" s="39">
        <v>123390.73522425974</v>
      </c>
      <c r="D361" s="39">
        <v>0</v>
      </c>
      <c r="E361" s="39">
        <v>0</v>
      </c>
      <c r="F361" s="39">
        <v>0</v>
      </c>
      <c r="G361" s="39">
        <v>0</v>
      </c>
      <c r="H361" s="40">
        <v>0.15268889285222942</v>
      </c>
      <c r="I361" s="40">
        <v>0</v>
      </c>
      <c r="J361" s="40">
        <v>0.15268889285222942</v>
      </c>
    </row>
    <row r="362" spans="1:10" ht="11.25" customHeight="1" x14ac:dyDescent="0.2">
      <c r="A362" s="48" t="s">
        <v>25</v>
      </c>
      <c r="B362" s="39">
        <v>107046</v>
      </c>
      <c r="C362" s="39">
        <v>123390.73522425974</v>
      </c>
      <c r="D362" s="39">
        <v>0</v>
      </c>
      <c r="E362" s="39">
        <v>0</v>
      </c>
      <c r="F362" s="39">
        <v>0</v>
      </c>
      <c r="G362" s="39">
        <v>0</v>
      </c>
      <c r="H362" s="40">
        <v>0.15268889285222942</v>
      </c>
      <c r="I362" s="40">
        <v>0</v>
      </c>
      <c r="J362" s="40">
        <v>0.15268889285222942</v>
      </c>
    </row>
    <row r="363" spans="1:10" ht="11.25" customHeight="1" x14ac:dyDescent="0.2">
      <c r="A363" s="49">
        <v>44440</v>
      </c>
      <c r="B363" s="39">
        <v>8920.5</v>
      </c>
      <c r="C363" s="39">
        <v>10282.561268688312</v>
      </c>
      <c r="D363" s="39">
        <v>0</v>
      </c>
      <c r="E363" s="39">
        <v>0</v>
      </c>
      <c r="F363" s="39">
        <v>0</v>
      </c>
      <c r="G363" s="39">
        <v>0</v>
      </c>
      <c r="H363" s="40">
        <v>0.15268889285222942</v>
      </c>
      <c r="I363" s="40">
        <v>0</v>
      </c>
      <c r="J363" s="40">
        <v>0.15268889285222942</v>
      </c>
    </row>
    <row r="364" spans="1:10" ht="11.25" customHeight="1" x14ac:dyDescent="0.2">
      <c r="A364" s="49">
        <v>44470</v>
      </c>
      <c r="B364" s="39">
        <v>8920.5</v>
      </c>
      <c r="C364" s="39">
        <v>10282.561268688312</v>
      </c>
      <c r="D364" s="39">
        <v>0</v>
      </c>
      <c r="E364" s="39">
        <v>0</v>
      </c>
      <c r="F364" s="39">
        <v>0</v>
      </c>
      <c r="G364" s="39">
        <v>0</v>
      </c>
      <c r="H364" s="40">
        <v>0.15268889285222942</v>
      </c>
      <c r="I364" s="40">
        <v>0</v>
      </c>
      <c r="J364" s="40">
        <v>0.15268889285222942</v>
      </c>
    </row>
    <row r="365" spans="1:10" ht="11.25" customHeight="1" x14ac:dyDescent="0.2">
      <c r="A365" s="49">
        <v>44501</v>
      </c>
      <c r="B365" s="39">
        <v>8920.5</v>
      </c>
      <c r="C365" s="39">
        <v>10282.561268688312</v>
      </c>
      <c r="D365" s="39">
        <v>0</v>
      </c>
      <c r="E365" s="39">
        <v>0</v>
      </c>
      <c r="F365" s="39">
        <v>0</v>
      </c>
      <c r="G365" s="39">
        <v>0</v>
      </c>
      <c r="H365" s="40">
        <v>0.15268889285222942</v>
      </c>
      <c r="I365" s="40">
        <v>0</v>
      </c>
      <c r="J365" s="40">
        <v>0.15268889285222942</v>
      </c>
    </row>
    <row r="366" spans="1:10" ht="11.25" customHeight="1" x14ac:dyDescent="0.2">
      <c r="A366" s="49">
        <v>44531</v>
      </c>
      <c r="B366" s="39">
        <v>8920.5</v>
      </c>
      <c r="C366" s="39">
        <v>10282.561268688312</v>
      </c>
      <c r="D366" s="39">
        <v>0</v>
      </c>
      <c r="E366" s="39">
        <v>0</v>
      </c>
      <c r="F366" s="39">
        <v>0</v>
      </c>
      <c r="G366" s="39">
        <v>0</v>
      </c>
      <c r="H366" s="40">
        <v>0.15268889285222942</v>
      </c>
      <c r="I366" s="40">
        <v>0</v>
      </c>
      <c r="J366" s="40">
        <v>0.15268889285222942</v>
      </c>
    </row>
    <row r="367" spans="1:10" ht="11.25" customHeight="1" x14ac:dyDescent="0.2">
      <c r="A367" s="49">
        <v>44562</v>
      </c>
      <c r="B367" s="39">
        <v>8920.5</v>
      </c>
      <c r="C367" s="39">
        <v>10282.561268688312</v>
      </c>
      <c r="D367" s="39">
        <v>0</v>
      </c>
      <c r="E367" s="39">
        <v>0</v>
      </c>
      <c r="F367" s="39">
        <v>0</v>
      </c>
      <c r="G367" s="39">
        <v>0</v>
      </c>
      <c r="H367" s="40">
        <v>0.15268889285222942</v>
      </c>
      <c r="I367" s="40">
        <v>0</v>
      </c>
      <c r="J367" s="40">
        <v>0.15268889285222942</v>
      </c>
    </row>
    <row r="368" spans="1:10" ht="11.25" customHeight="1" x14ac:dyDescent="0.2">
      <c r="A368" s="49">
        <v>44593</v>
      </c>
      <c r="B368" s="39">
        <v>8920.5</v>
      </c>
      <c r="C368" s="39">
        <v>10282.561268688312</v>
      </c>
      <c r="D368" s="39">
        <v>0</v>
      </c>
      <c r="E368" s="39">
        <v>0</v>
      </c>
      <c r="F368" s="39">
        <v>0</v>
      </c>
      <c r="G368" s="39">
        <v>0</v>
      </c>
      <c r="H368" s="40">
        <v>0.15268889285222942</v>
      </c>
      <c r="I368" s="40">
        <v>0</v>
      </c>
      <c r="J368" s="40">
        <v>0.15268889285222942</v>
      </c>
    </row>
    <row r="369" spans="1:10" ht="11.25" customHeight="1" x14ac:dyDescent="0.2">
      <c r="A369" s="49">
        <v>44621</v>
      </c>
      <c r="B369" s="39">
        <v>8920.5</v>
      </c>
      <c r="C369" s="39">
        <v>10282.561268688312</v>
      </c>
      <c r="D369" s="39">
        <v>0</v>
      </c>
      <c r="E369" s="39">
        <v>0</v>
      </c>
      <c r="F369" s="39">
        <v>0</v>
      </c>
      <c r="G369" s="39">
        <v>0</v>
      </c>
      <c r="H369" s="40">
        <v>0.15268889285222942</v>
      </c>
      <c r="I369" s="40">
        <v>0</v>
      </c>
      <c r="J369" s="40">
        <v>0.15268889285222942</v>
      </c>
    </row>
    <row r="370" spans="1:10" ht="11.25" customHeight="1" x14ac:dyDescent="0.2">
      <c r="A370" s="49">
        <v>44652</v>
      </c>
      <c r="B370" s="39">
        <v>8920.5</v>
      </c>
      <c r="C370" s="39">
        <v>10282.561268688312</v>
      </c>
      <c r="D370" s="39">
        <v>0</v>
      </c>
      <c r="E370" s="39">
        <v>0</v>
      </c>
      <c r="F370" s="39">
        <v>0</v>
      </c>
      <c r="G370" s="39">
        <v>0</v>
      </c>
      <c r="H370" s="40">
        <v>0.15268889285222942</v>
      </c>
      <c r="I370" s="40">
        <v>0</v>
      </c>
      <c r="J370" s="40">
        <v>0.15268889285222942</v>
      </c>
    </row>
    <row r="371" spans="1:10" ht="11.25" customHeight="1" x14ac:dyDescent="0.2">
      <c r="A371" s="49">
        <v>44682</v>
      </c>
      <c r="B371" s="39">
        <v>8920.5</v>
      </c>
      <c r="C371" s="39">
        <v>10282.561268688312</v>
      </c>
      <c r="D371" s="39">
        <v>0</v>
      </c>
      <c r="E371" s="39">
        <v>0</v>
      </c>
      <c r="F371" s="39">
        <v>0</v>
      </c>
      <c r="G371" s="39">
        <v>0</v>
      </c>
      <c r="H371" s="40">
        <v>0.15268889285222942</v>
      </c>
      <c r="I371" s="40">
        <v>0</v>
      </c>
      <c r="J371" s="40">
        <v>0.15268889285222942</v>
      </c>
    </row>
    <row r="372" spans="1:10" ht="11.25" customHeight="1" x14ac:dyDescent="0.2">
      <c r="A372" s="49">
        <v>44713</v>
      </c>
      <c r="B372" s="39">
        <v>8920.5</v>
      </c>
      <c r="C372" s="39">
        <v>10282.561268688312</v>
      </c>
      <c r="D372" s="39">
        <v>0</v>
      </c>
      <c r="E372" s="39">
        <v>0</v>
      </c>
      <c r="F372" s="39">
        <v>0</v>
      </c>
      <c r="G372" s="39">
        <v>0</v>
      </c>
      <c r="H372" s="40">
        <v>0.15268889285222942</v>
      </c>
      <c r="I372" s="40">
        <v>0</v>
      </c>
      <c r="J372" s="40">
        <v>0.15268889285222942</v>
      </c>
    </row>
    <row r="373" spans="1:10" ht="11.25" customHeight="1" x14ac:dyDescent="0.2">
      <c r="A373" s="49">
        <v>44743</v>
      </c>
      <c r="B373" s="39">
        <v>8920.5</v>
      </c>
      <c r="C373" s="39">
        <v>10282.561268688312</v>
      </c>
      <c r="D373" s="39">
        <v>0</v>
      </c>
      <c r="E373" s="39">
        <v>0</v>
      </c>
      <c r="F373" s="39">
        <v>0</v>
      </c>
      <c r="G373" s="39">
        <v>0</v>
      </c>
      <c r="H373" s="40">
        <v>0.15268889285222942</v>
      </c>
      <c r="I373" s="40">
        <v>0</v>
      </c>
      <c r="J373" s="40">
        <v>0.15268889285222942</v>
      </c>
    </row>
    <row r="374" spans="1:10" ht="11.25" customHeight="1" x14ac:dyDescent="0.2">
      <c r="A374" s="49">
        <v>44774</v>
      </c>
      <c r="B374" s="39">
        <v>8920.5</v>
      </c>
      <c r="C374" s="39">
        <v>10282.561268688312</v>
      </c>
      <c r="D374" s="39">
        <v>0</v>
      </c>
      <c r="E374" s="39">
        <v>0</v>
      </c>
      <c r="F374" s="39">
        <v>0</v>
      </c>
      <c r="G374" s="39">
        <v>0</v>
      </c>
      <c r="H374" s="40">
        <v>0.15268889285222942</v>
      </c>
      <c r="I374" s="40">
        <v>0</v>
      </c>
      <c r="J374" s="40">
        <v>0.15268889285222942</v>
      </c>
    </row>
    <row r="375" spans="1:10" ht="11.25" customHeight="1" x14ac:dyDescent="0.2">
      <c r="A375" s="47" t="s">
        <v>57</v>
      </c>
      <c r="B375" s="39">
        <v>205200</v>
      </c>
      <c r="C375" s="39">
        <v>236531.76081327742</v>
      </c>
      <c r="D375" s="39">
        <v>0</v>
      </c>
      <c r="E375" s="39">
        <v>0</v>
      </c>
      <c r="F375" s="39">
        <v>0</v>
      </c>
      <c r="G375" s="39">
        <v>0</v>
      </c>
      <c r="H375" s="40">
        <v>0.1526888928522292</v>
      </c>
      <c r="I375" s="40">
        <v>0</v>
      </c>
      <c r="J375" s="40">
        <v>0.1526888928522292</v>
      </c>
    </row>
    <row r="376" spans="1:10" ht="11.25" customHeight="1" x14ac:dyDescent="0.2">
      <c r="A376" s="48" t="s">
        <v>25</v>
      </c>
      <c r="B376" s="39">
        <v>205200</v>
      </c>
      <c r="C376" s="39">
        <v>236531.76081327742</v>
      </c>
      <c r="D376" s="39">
        <v>0</v>
      </c>
      <c r="E376" s="39">
        <v>0</v>
      </c>
      <c r="F376" s="39">
        <v>0</v>
      </c>
      <c r="G376" s="39">
        <v>0</v>
      </c>
      <c r="H376" s="40">
        <v>0.1526888928522292</v>
      </c>
      <c r="I376" s="40">
        <v>0</v>
      </c>
      <c r="J376" s="40">
        <v>0.1526888928522292</v>
      </c>
    </row>
    <row r="377" spans="1:10" ht="11.25" customHeight="1" x14ac:dyDescent="0.2">
      <c r="A377" s="49">
        <v>44440</v>
      </c>
      <c r="B377" s="39">
        <v>17100</v>
      </c>
      <c r="C377" s="39">
        <v>19710.980067773122</v>
      </c>
      <c r="D377" s="39">
        <v>0</v>
      </c>
      <c r="E377" s="39">
        <v>0</v>
      </c>
      <c r="F377" s="39">
        <v>0</v>
      </c>
      <c r="G377" s="39">
        <v>0</v>
      </c>
      <c r="H377" s="40">
        <v>0.15268889285222942</v>
      </c>
      <c r="I377" s="40">
        <v>0</v>
      </c>
      <c r="J377" s="40">
        <v>0.15268889285222942</v>
      </c>
    </row>
    <row r="378" spans="1:10" ht="11.25" customHeight="1" x14ac:dyDescent="0.2">
      <c r="A378" s="49">
        <v>44470</v>
      </c>
      <c r="B378" s="39">
        <v>17100</v>
      </c>
      <c r="C378" s="39">
        <v>19710.980067773122</v>
      </c>
      <c r="D378" s="39">
        <v>0</v>
      </c>
      <c r="E378" s="39">
        <v>0</v>
      </c>
      <c r="F378" s="39">
        <v>0</v>
      </c>
      <c r="G378" s="39">
        <v>0</v>
      </c>
      <c r="H378" s="40">
        <v>0.15268889285222942</v>
      </c>
      <c r="I378" s="40">
        <v>0</v>
      </c>
      <c r="J378" s="40">
        <v>0.15268889285222942</v>
      </c>
    </row>
    <row r="379" spans="1:10" ht="11.25" customHeight="1" x14ac:dyDescent="0.2">
      <c r="A379" s="49">
        <v>44501</v>
      </c>
      <c r="B379" s="39">
        <v>17100</v>
      </c>
      <c r="C379" s="39">
        <v>19710.980067773122</v>
      </c>
      <c r="D379" s="39">
        <v>0</v>
      </c>
      <c r="E379" s="39">
        <v>0</v>
      </c>
      <c r="F379" s="39">
        <v>0</v>
      </c>
      <c r="G379" s="39">
        <v>0</v>
      </c>
      <c r="H379" s="40">
        <v>0.15268889285222942</v>
      </c>
      <c r="I379" s="40">
        <v>0</v>
      </c>
      <c r="J379" s="40">
        <v>0.15268889285222942</v>
      </c>
    </row>
    <row r="380" spans="1:10" ht="11.25" customHeight="1" x14ac:dyDescent="0.2">
      <c r="A380" s="49">
        <v>44531</v>
      </c>
      <c r="B380" s="39">
        <v>17100</v>
      </c>
      <c r="C380" s="39">
        <v>19710.980067773122</v>
      </c>
      <c r="D380" s="39">
        <v>0</v>
      </c>
      <c r="E380" s="39">
        <v>0</v>
      </c>
      <c r="F380" s="39">
        <v>0</v>
      </c>
      <c r="G380" s="39">
        <v>0</v>
      </c>
      <c r="H380" s="40">
        <v>0.15268889285222942</v>
      </c>
      <c r="I380" s="40">
        <v>0</v>
      </c>
      <c r="J380" s="40">
        <v>0.15268889285222942</v>
      </c>
    </row>
    <row r="381" spans="1:10" ht="11.25" customHeight="1" x14ac:dyDescent="0.2">
      <c r="A381" s="49">
        <v>44562</v>
      </c>
      <c r="B381" s="39">
        <v>17100</v>
      </c>
      <c r="C381" s="39">
        <v>19710.980067773122</v>
      </c>
      <c r="D381" s="39">
        <v>0</v>
      </c>
      <c r="E381" s="39">
        <v>0</v>
      </c>
      <c r="F381" s="39">
        <v>0</v>
      </c>
      <c r="G381" s="39">
        <v>0</v>
      </c>
      <c r="H381" s="40">
        <v>0.15268889285222942</v>
      </c>
      <c r="I381" s="40">
        <v>0</v>
      </c>
      <c r="J381" s="40">
        <v>0.15268889285222942</v>
      </c>
    </row>
    <row r="382" spans="1:10" ht="11.25" customHeight="1" x14ac:dyDescent="0.2">
      <c r="A382" s="49">
        <v>44593</v>
      </c>
      <c r="B382" s="39">
        <v>17100</v>
      </c>
      <c r="C382" s="39">
        <v>19710.980067773122</v>
      </c>
      <c r="D382" s="39">
        <v>0</v>
      </c>
      <c r="E382" s="39">
        <v>0</v>
      </c>
      <c r="F382" s="39">
        <v>0</v>
      </c>
      <c r="G382" s="39">
        <v>0</v>
      </c>
      <c r="H382" s="40">
        <v>0.15268889285222942</v>
      </c>
      <c r="I382" s="40">
        <v>0</v>
      </c>
      <c r="J382" s="40">
        <v>0.15268889285222942</v>
      </c>
    </row>
    <row r="383" spans="1:10" ht="11.25" customHeight="1" x14ac:dyDescent="0.2">
      <c r="A383" s="49">
        <v>44621</v>
      </c>
      <c r="B383" s="39">
        <v>17100</v>
      </c>
      <c r="C383" s="39">
        <v>19710.980067773122</v>
      </c>
      <c r="D383" s="39">
        <v>0</v>
      </c>
      <c r="E383" s="39">
        <v>0</v>
      </c>
      <c r="F383" s="39">
        <v>0</v>
      </c>
      <c r="G383" s="39">
        <v>0</v>
      </c>
      <c r="H383" s="40">
        <v>0.15268889285222942</v>
      </c>
      <c r="I383" s="40">
        <v>0</v>
      </c>
      <c r="J383" s="40">
        <v>0.15268889285222942</v>
      </c>
    </row>
    <row r="384" spans="1:10" ht="11.25" customHeight="1" x14ac:dyDescent="0.2">
      <c r="A384" s="49">
        <v>44652</v>
      </c>
      <c r="B384" s="39">
        <v>17100</v>
      </c>
      <c r="C384" s="39">
        <v>19710.980067773122</v>
      </c>
      <c r="D384" s="39">
        <v>0</v>
      </c>
      <c r="E384" s="39">
        <v>0</v>
      </c>
      <c r="F384" s="39">
        <v>0</v>
      </c>
      <c r="G384" s="39">
        <v>0</v>
      </c>
      <c r="H384" s="40">
        <v>0.15268889285222942</v>
      </c>
      <c r="I384" s="40">
        <v>0</v>
      </c>
      <c r="J384" s="40">
        <v>0.15268889285222942</v>
      </c>
    </row>
    <row r="385" spans="1:10" ht="11.25" customHeight="1" x14ac:dyDescent="0.2">
      <c r="A385" s="49">
        <v>44682</v>
      </c>
      <c r="B385" s="39">
        <v>17100</v>
      </c>
      <c r="C385" s="39">
        <v>19710.980067773122</v>
      </c>
      <c r="D385" s="39">
        <v>0</v>
      </c>
      <c r="E385" s="39">
        <v>0</v>
      </c>
      <c r="F385" s="39">
        <v>0</v>
      </c>
      <c r="G385" s="39">
        <v>0</v>
      </c>
      <c r="H385" s="40">
        <v>0.15268889285222942</v>
      </c>
      <c r="I385" s="40">
        <v>0</v>
      </c>
      <c r="J385" s="40">
        <v>0.15268889285222942</v>
      </c>
    </row>
    <row r="386" spans="1:10" ht="11.25" customHeight="1" x14ac:dyDescent="0.2">
      <c r="A386" s="49">
        <v>44713</v>
      </c>
      <c r="B386" s="39">
        <v>17100</v>
      </c>
      <c r="C386" s="39">
        <v>19710.980067773122</v>
      </c>
      <c r="D386" s="39">
        <v>0</v>
      </c>
      <c r="E386" s="39">
        <v>0</v>
      </c>
      <c r="F386" s="39">
        <v>0</v>
      </c>
      <c r="G386" s="39">
        <v>0</v>
      </c>
      <c r="H386" s="40">
        <v>0.15268889285222942</v>
      </c>
      <c r="I386" s="40">
        <v>0</v>
      </c>
      <c r="J386" s="40">
        <v>0.15268889285222942</v>
      </c>
    </row>
    <row r="387" spans="1:10" ht="11.25" customHeight="1" x14ac:dyDescent="0.2">
      <c r="A387" s="49">
        <v>44743</v>
      </c>
      <c r="B387" s="39">
        <v>17100</v>
      </c>
      <c r="C387" s="39">
        <v>19710.980067773122</v>
      </c>
      <c r="D387" s="39">
        <v>0</v>
      </c>
      <c r="E387" s="39">
        <v>0</v>
      </c>
      <c r="F387" s="39">
        <v>0</v>
      </c>
      <c r="G387" s="39">
        <v>0</v>
      </c>
      <c r="H387" s="40">
        <v>0.15268889285222942</v>
      </c>
      <c r="I387" s="40">
        <v>0</v>
      </c>
      <c r="J387" s="40">
        <v>0.15268889285222942</v>
      </c>
    </row>
    <row r="388" spans="1:10" ht="11.25" customHeight="1" x14ac:dyDescent="0.2">
      <c r="A388" s="49">
        <v>44774</v>
      </c>
      <c r="B388" s="39">
        <v>17100</v>
      </c>
      <c r="C388" s="39">
        <v>19710.980067773122</v>
      </c>
      <c r="D388" s="39">
        <v>0</v>
      </c>
      <c r="E388" s="39">
        <v>0</v>
      </c>
      <c r="F388" s="39">
        <v>0</v>
      </c>
      <c r="G388" s="39">
        <v>0</v>
      </c>
      <c r="H388" s="40">
        <v>0.15268889285222942</v>
      </c>
      <c r="I388" s="40">
        <v>0</v>
      </c>
      <c r="J388" s="40">
        <v>0.15268889285222942</v>
      </c>
    </row>
    <row r="389" spans="1:10" ht="11.25" customHeight="1" x14ac:dyDescent="0.2">
      <c r="A389" s="47" t="s">
        <v>60</v>
      </c>
      <c r="B389" s="39">
        <v>34200</v>
      </c>
      <c r="C389" s="39">
        <v>39421.960135546244</v>
      </c>
      <c r="D389" s="39">
        <v>0</v>
      </c>
      <c r="E389" s="39">
        <v>0</v>
      </c>
      <c r="F389" s="39">
        <v>0</v>
      </c>
      <c r="G389" s="39">
        <v>0</v>
      </c>
      <c r="H389" s="40">
        <v>0.15268889285222942</v>
      </c>
      <c r="I389" s="40">
        <v>0</v>
      </c>
      <c r="J389" s="40">
        <v>0.15268889285222942</v>
      </c>
    </row>
    <row r="390" spans="1:10" ht="11.25" customHeight="1" x14ac:dyDescent="0.2">
      <c r="A390" s="48" t="s">
        <v>25</v>
      </c>
      <c r="B390" s="39">
        <v>34200</v>
      </c>
      <c r="C390" s="39">
        <v>39421.960135546244</v>
      </c>
      <c r="D390" s="39">
        <v>0</v>
      </c>
      <c r="E390" s="39">
        <v>0</v>
      </c>
      <c r="F390" s="39">
        <v>0</v>
      </c>
      <c r="G390" s="39">
        <v>0</v>
      </c>
      <c r="H390" s="40">
        <v>0.15268889285222942</v>
      </c>
      <c r="I390" s="40">
        <v>0</v>
      </c>
      <c r="J390" s="40">
        <v>0.15268889285222942</v>
      </c>
    </row>
    <row r="391" spans="1:10" ht="11.25" customHeight="1" x14ac:dyDescent="0.2">
      <c r="A391" s="49">
        <v>44440</v>
      </c>
      <c r="B391" s="39">
        <v>2850</v>
      </c>
      <c r="C391" s="39">
        <v>3285.1633446288538</v>
      </c>
      <c r="D391" s="39">
        <v>0</v>
      </c>
      <c r="E391" s="39">
        <v>0</v>
      </c>
      <c r="F391" s="39">
        <v>0</v>
      </c>
      <c r="G391" s="39">
        <v>0</v>
      </c>
      <c r="H391" s="40">
        <v>0.15268889285222942</v>
      </c>
      <c r="I391" s="40">
        <v>0</v>
      </c>
      <c r="J391" s="40">
        <v>0.15268889285222942</v>
      </c>
    </row>
    <row r="392" spans="1:10" ht="11.25" customHeight="1" x14ac:dyDescent="0.2">
      <c r="A392" s="49">
        <v>44470</v>
      </c>
      <c r="B392" s="39">
        <v>2850</v>
      </c>
      <c r="C392" s="39">
        <v>3285.1633446288538</v>
      </c>
      <c r="D392" s="39">
        <v>0</v>
      </c>
      <c r="E392" s="39">
        <v>0</v>
      </c>
      <c r="F392" s="39">
        <v>0</v>
      </c>
      <c r="G392" s="39">
        <v>0</v>
      </c>
      <c r="H392" s="40">
        <v>0.15268889285222942</v>
      </c>
      <c r="I392" s="40">
        <v>0</v>
      </c>
      <c r="J392" s="40">
        <v>0.15268889285222942</v>
      </c>
    </row>
    <row r="393" spans="1:10" ht="11.25" customHeight="1" x14ac:dyDescent="0.2">
      <c r="A393" s="49">
        <v>44501</v>
      </c>
      <c r="B393" s="39">
        <v>2850</v>
      </c>
      <c r="C393" s="39">
        <v>3285.1633446288538</v>
      </c>
      <c r="D393" s="39">
        <v>0</v>
      </c>
      <c r="E393" s="39">
        <v>0</v>
      </c>
      <c r="F393" s="39">
        <v>0</v>
      </c>
      <c r="G393" s="39">
        <v>0</v>
      </c>
      <c r="H393" s="40">
        <v>0.15268889285222942</v>
      </c>
      <c r="I393" s="40">
        <v>0</v>
      </c>
      <c r="J393" s="40">
        <v>0.15268889285222942</v>
      </c>
    </row>
    <row r="394" spans="1:10" ht="11.25" customHeight="1" x14ac:dyDescent="0.2">
      <c r="A394" s="49">
        <v>44531</v>
      </c>
      <c r="B394" s="39">
        <v>2850</v>
      </c>
      <c r="C394" s="39">
        <v>3285.1633446288538</v>
      </c>
      <c r="D394" s="39">
        <v>0</v>
      </c>
      <c r="E394" s="39">
        <v>0</v>
      </c>
      <c r="F394" s="39">
        <v>0</v>
      </c>
      <c r="G394" s="39">
        <v>0</v>
      </c>
      <c r="H394" s="40">
        <v>0.15268889285222942</v>
      </c>
      <c r="I394" s="40">
        <v>0</v>
      </c>
      <c r="J394" s="40">
        <v>0.15268889285222942</v>
      </c>
    </row>
    <row r="395" spans="1:10" ht="11.25" customHeight="1" x14ac:dyDescent="0.2">
      <c r="A395" s="49">
        <v>44562</v>
      </c>
      <c r="B395" s="39">
        <v>2850</v>
      </c>
      <c r="C395" s="39">
        <v>3285.1633446288538</v>
      </c>
      <c r="D395" s="39">
        <v>0</v>
      </c>
      <c r="E395" s="39">
        <v>0</v>
      </c>
      <c r="F395" s="39">
        <v>0</v>
      </c>
      <c r="G395" s="39">
        <v>0</v>
      </c>
      <c r="H395" s="40">
        <v>0.15268889285222942</v>
      </c>
      <c r="I395" s="40">
        <v>0</v>
      </c>
      <c r="J395" s="40">
        <v>0.15268889285222942</v>
      </c>
    </row>
    <row r="396" spans="1:10" ht="11.25" customHeight="1" x14ac:dyDescent="0.2">
      <c r="A396" s="49">
        <v>44593</v>
      </c>
      <c r="B396" s="39">
        <v>2850</v>
      </c>
      <c r="C396" s="39">
        <v>3285.1633446288538</v>
      </c>
      <c r="D396" s="39">
        <v>0</v>
      </c>
      <c r="E396" s="39">
        <v>0</v>
      </c>
      <c r="F396" s="39">
        <v>0</v>
      </c>
      <c r="G396" s="39">
        <v>0</v>
      </c>
      <c r="H396" s="40">
        <v>0.15268889285222942</v>
      </c>
      <c r="I396" s="40">
        <v>0</v>
      </c>
      <c r="J396" s="40">
        <v>0.15268889285222942</v>
      </c>
    </row>
    <row r="397" spans="1:10" ht="11.25" customHeight="1" x14ac:dyDescent="0.2">
      <c r="A397" s="49">
        <v>44621</v>
      </c>
      <c r="B397" s="39">
        <v>2850</v>
      </c>
      <c r="C397" s="39">
        <v>3285.1633446288538</v>
      </c>
      <c r="D397" s="39">
        <v>0</v>
      </c>
      <c r="E397" s="39">
        <v>0</v>
      </c>
      <c r="F397" s="39">
        <v>0</v>
      </c>
      <c r="G397" s="39">
        <v>0</v>
      </c>
      <c r="H397" s="40">
        <v>0.15268889285222942</v>
      </c>
      <c r="I397" s="40">
        <v>0</v>
      </c>
      <c r="J397" s="40">
        <v>0.15268889285222942</v>
      </c>
    </row>
    <row r="398" spans="1:10" ht="11.25" customHeight="1" x14ac:dyDescent="0.2">
      <c r="A398" s="49">
        <v>44652</v>
      </c>
      <c r="B398" s="39">
        <v>2850</v>
      </c>
      <c r="C398" s="39">
        <v>3285.1633446288538</v>
      </c>
      <c r="D398" s="39">
        <v>0</v>
      </c>
      <c r="E398" s="39">
        <v>0</v>
      </c>
      <c r="F398" s="39">
        <v>0</v>
      </c>
      <c r="G398" s="39">
        <v>0</v>
      </c>
      <c r="H398" s="40">
        <v>0.15268889285222942</v>
      </c>
      <c r="I398" s="40">
        <v>0</v>
      </c>
      <c r="J398" s="40">
        <v>0.15268889285222942</v>
      </c>
    </row>
    <row r="399" spans="1:10" ht="11.25" customHeight="1" x14ac:dyDescent="0.2">
      <c r="A399" s="49">
        <v>44682</v>
      </c>
      <c r="B399" s="39">
        <v>2850</v>
      </c>
      <c r="C399" s="39">
        <v>3285.1633446288538</v>
      </c>
      <c r="D399" s="39">
        <v>0</v>
      </c>
      <c r="E399" s="39">
        <v>0</v>
      </c>
      <c r="F399" s="39">
        <v>0</v>
      </c>
      <c r="G399" s="39">
        <v>0</v>
      </c>
      <c r="H399" s="40">
        <v>0.15268889285222942</v>
      </c>
      <c r="I399" s="40">
        <v>0</v>
      </c>
      <c r="J399" s="40">
        <v>0.15268889285222942</v>
      </c>
    </row>
    <row r="400" spans="1:10" ht="11.25" customHeight="1" x14ac:dyDescent="0.2">
      <c r="A400" s="49">
        <v>44713</v>
      </c>
      <c r="B400" s="39">
        <v>2850</v>
      </c>
      <c r="C400" s="39">
        <v>3285.1633446288538</v>
      </c>
      <c r="D400" s="39">
        <v>0</v>
      </c>
      <c r="E400" s="39">
        <v>0</v>
      </c>
      <c r="F400" s="39">
        <v>0</v>
      </c>
      <c r="G400" s="39">
        <v>0</v>
      </c>
      <c r="H400" s="40">
        <v>0.15268889285222942</v>
      </c>
      <c r="I400" s="40">
        <v>0</v>
      </c>
      <c r="J400" s="40">
        <v>0.15268889285222942</v>
      </c>
    </row>
    <row r="401" spans="1:10" ht="11.25" customHeight="1" x14ac:dyDescent="0.2">
      <c r="A401" s="49">
        <v>44743</v>
      </c>
      <c r="B401" s="39">
        <v>2850</v>
      </c>
      <c r="C401" s="39">
        <v>3285.1633446288538</v>
      </c>
      <c r="D401" s="39">
        <v>0</v>
      </c>
      <c r="E401" s="39">
        <v>0</v>
      </c>
      <c r="F401" s="39">
        <v>0</v>
      </c>
      <c r="G401" s="39">
        <v>0</v>
      </c>
      <c r="H401" s="40">
        <v>0.15268889285222942</v>
      </c>
      <c r="I401" s="40">
        <v>0</v>
      </c>
      <c r="J401" s="40">
        <v>0.15268889285222942</v>
      </c>
    </row>
    <row r="402" spans="1:10" ht="11.25" customHeight="1" x14ac:dyDescent="0.2">
      <c r="A402" s="49">
        <v>44774</v>
      </c>
      <c r="B402" s="39">
        <v>2850</v>
      </c>
      <c r="C402" s="39">
        <v>3285.1633446288538</v>
      </c>
      <c r="D402" s="39">
        <v>0</v>
      </c>
      <c r="E402" s="39">
        <v>0</v>
      </c>
      <c r="F402" s="39">
        <v>0</v>
      </c>
      <c r="G402" s="39">
        <v>0</v>
      </c>
      <c r="H402" s="40">
        <v>0.15268889285222942</v>
      </c>
      <c r="I402" s="40">
        <v>0</v>
      </c>
      <c r="J402" s="40">
        <v>0.15268889285222942</v>
      </c>
    </row>
    <row r="403" spans="1:10" ht="11.25" customHeight="1" x14ac:dyDescent="0.2">
      <c r="A403" s="47" t="s">
        <v>59</v>
      </c>
      <c r="B403" s="39">
        <v>28488.599999999995</v>
      </c>
      <c r="C403" s="39">
        <v>32838.492792910023</v>
      </c>
      <c r="D403" s="39">
        <v>0</v>
      </c>
      <c r="E403" s="39">
        <v>0</v>
      </c>
      <c r="F403" s="39">
        <v>0</v>
      </c>
      <c r="G403" s="39">
        <v>0</v>
      </c>
      <c r="H403" s="40">
        <v>0.15268889285222964</v>
      </c>
      <c r="I403" s="40">
        <v>0</v>
      </c>
      <c r="J403" s="40">
        <v>0.15268889285222964</v>
      </c>
    </row>
    <row r="404" spans="1:10" ht="11.25" customHeight="1" x14ac:dyDescent="0.2">
      <c r="A404" s="48" t="s">
        <v>25</v>
      </c>
      <c r="B404" s="39">
        <v>28488.599999999995</v>
      </c>
      <c r="C404" s="39">
        <v>32838.492792910023</v>
      </c>
      <c r="D404" s="39">
        <v>0</v>
      </c>
      <c r="E404" s="39">
        <v>0</v>
      </c>
      <c r="F404" s="39">
        <v>0</v>
      </c>
      <c r="G404" s="39">
        <v>0</v>
      </c>
      <c r="H404" s="40">
        <v>0.15268889285222964</v>
      </c>
      <c r="I404" s="40">
        <v>0</v>
      </c>
      <c r="J404" s="40">
        <v>0.15268889285222964</v>
      </c>
    </row>
    <row r="405" spans="1:10" ht="11.25" customHeight="1" x14ac:dyDescent="0.2">
      <c r="A405" s="49">
        <v>44440</v>
      </c>
      <c r="B405" s="39">
        <v>2374.0500000000002</v>
      </c>
      <c r="C405" s="39">
        <v>2736.5410660758353</v>
      </c>
      <c r="D405" s="39">
        <v>0</v>
      </c>
      <c r="E405" s="39">
        <v>0</v>
      </c>
      <c r="F405" s="39">
        <v>0</v>
      </c>
      <c r="G405" s="39">
        <v>0</v>
      </c>
      <c r="H405" s="40">
        <v>0.15268889285222942</v>
      </c>
      <c r="I405" s="40">
        <v>0</v>
      </c>
      <c r="J405" s="40">
        <v>0.15268889285222942</v>
      </c>
    </row>
    <row r="406" spans="1:10" ht="11.25" customHeight="1" x14ac:dyDescent="0.2">
      <c r="A406" s="49">
        <v>44470</v>
      </c>
      <c r="B406" s="39">
        <v>2374.0500000000002</v>
      </c>
      <c r="C406" s="39">
        <v>2736.5410660758353</v>
      </c>
      <c r="D406" s="39">
        <v>0</v>
      </c>
      <c r="E406" s="39">
        <v>0</v>
      </c>
      <c r="F406" s="39">
        <v>0</v>
      </c>
      <c r="G406" s="39">
        <v>0</v>
      </c>
      <c r="H406" s="40">
        <v>0.15268889285222942</v>
      </c>
      <c r="I406" s="40">
        <v>0</v>
      </c>
      <c r="J406" s="40">
        <v>0.15268889285222942</v>
      </c>
    </row>
    <row r="407" spans="1:10" ht="11.25" customHeight="1" x14ac:dyDescent="0.2">
      <c r="A407" s="49">
        <v>44501</v>
      </c>
      <c r="B407" s="39">
        <v>2374.0500000000002</v>
      </c>
      <c r="C407" s="39">
        <v>2736.5410660758353</v>
      </c>
      <c r="D407" s="39">
        <v>0</v>
      </c>
      <c r="E407" s="39">
        <v>0</v>
      </c>
      <c r="F407" s="39">
        <v>0</v>
      </c>
      <c r="G407" s="39">
        <v>0</v>
      </c>
      <c r="H407" s="40">
        <v>0.15268889285222942</v>
      </c>
      <c r="I407" s="40">
        <v>0</v>
      </c>
      <c r="J407" s="40">
        <v>0.15268889285222942</v>
      </c>
    </row>
    <row r="408" spans="1:10" ht="11.25" customHeight="1" x14ac:dyDescent="0.2">
      <c r="A408" s="49">
        <v>44531</v>
      </c>
      <c r="B408" s="39">
        <v>2374.0500000000002</v>
      </c>
      <c r="C408" s="39">
        <v>2736.5410660758353</v>
      </c>
      <c r="D408" s="39">
        <v>0</v>
      </c>
      <c r="E408" s="39">
        <v>0</v>
      </c>
      <c r="F408" s="39">
        <v>0</v>
      </c>
      <c r="G408" s="39">
        <v>0</v>
      </c>
      <c r="H408" s="40">
        <v>0.15268889285222942</v>
      </c>
      <c r="I408" s="40">
        <v>0</v>
      </c>
      <c r="J408" s="40">
        <v>0.15268889285222942</v>
      </c>
    </row>
    <row r="409" spans="1:10" ht="11.25" customHeight="1" x14ac:dyDescent="0.2">
      <c r="A409" s="49">
        <v>44562</v>
      </c>
      <c r="B409" s="39">
        <v>2374.0500000000002</v>
      </c>
      <c r="C409" s="39">
        <v>2736.5410660758353</v>
      </c>
      <c r="D409" s="39">
        <v>0</v>
      </c>
      <c r="E409" s="39">
        <v>0</v>
      </c>
      <c r="F409" s="39">
        <v>0</v>
      </c>
      <c r="G409" s="39">
        <v>0</v>
      </c>
      <c r="H409" s="40">
        <v>0.15268889285222942</v>
      </c>
      <c r="I409" s="40">
        <v>0</v>
      </c>
      <c r="J409" s="40">
        <v>0.15268889285222942</v>
      </c>
    </row>
    <row r="410" spans="1:10" ht="11.25" customHeight="1" x14ac:dyDescent="0.2">
      <c r="A410" s="49">
        <v>44593</v>
      </c>
      <c r="B410" s="39">
        <v>2374.0500000000002</v>
      </c>
      <c r="C410" s="39">
        <v>2736.5410660758353</v>
      </c>
      <c r="D410" s="39">
        <v>0</v>
      </c>
      <c r="E410" s="39">
        <v>0</v>
      </c>
      <c r="F410" s="39">
        <v>0</v>
      </c>
      <c r="G410" s="39">
        <v>0</v>
      </c>
      <c r="H410" s="40">
        <v>0.15268889285222942</v>
      </c>
      <c r="I410" s="40">
        <v>0</v>
      </c>
      <c r="J410" s="40">
        <v>0.15268889285222942</v>
      </c>
    </row>
    <row r="411" spans="1:10" ht="11.25" customHeight="1" x14ac:dyDescent="0.2">
      <c r="A411" s="49">
        <v>44621</v>
      </c>
      <c r="B411" s="39">
        <v>2374.0500000000002</v>
      </c>
      <c r="C411" s="39">
        <v>2736.5410660758353</v>
      </c>
      <c r="D411" s="39">
        <v>0</v>
      </c>
      <c r="E411" s="39">
        <v>0</v>
      </c>
      <c r="F411" s="39">
        <v>0</v>
      </c>
      <c r="G411" s="39">
        <v>0</v>
      </c>
      <c r="H411" s="40">
        <v>0.15268889285222942</v>
      </c>
      <c r="I411" s="40">
        <v>0</v>
      </c>
      <c r="J411" s="40">
        <v>0.15268889285222942</v>
      </c>
    </row>
    <row r="412" spans="1:10" ht="11.25" customHeight="1" x14ac:dyDescent="0.2">
      <c r="A412" s="49">
        <v>44652</v>
      </c>
      <c r="B412" s="39">
        <v>2374.0500000000002</v>
      </c>
      <c r="C412" s="39">
        <v>2736.5410660758353</v>
      </c>
      <c r="D412" s="39">
        <v>0</v>
      </c>
      <c r="E412" s="39">
        <v>0</v>
      </c>
      <c r="F412" s="39">
        <v>0</v>
      </c>
      <c r="G412" s="39">
        <v>0</v>
      </c>
      <c r="H412" s="40">
        <v>0.15268889285222942</v>
      </c>
      <c r="I412" s="40">
        <v>0</v>
      </c>
      <c r="J412" s="40">
        <v>0.15268889285222942</v>
      </c>
    </row>
    <row r="413" spans="1:10" ht="11.25" customHeight="1" x14ac:dyDescent="0.2">
      <c r="A413" s="49">
        <v>44682</v>
      </c>
      <c r="B413" s="39">
        <v>2374.0500000000002</v>
      </c>
      <c r="C413" s="39">
        <v>2736.5410660758353</v>
      </c>
      <c r="D413" s="39">
        <v>0</v>
      </c>
      <c r="E413" s="39">
        <v>0</v>
      </c>
      <c r="F413" s="39">
        <v>0</v>
      </c>
      <c r="G413" s="39">
        <v>0</v>
      </c>
      <c r="H413" s="40">
        <v>0.15268889285222942</v>
      </c>
      <c r="I413" s="40">
        <v>0</v>
      </c>
      <c r="J413" s="40">
        <v>0.15268889285222942</v>
      </c>
    </row>
    <row r="414" spans="1:10" ht="11.25" customHeight="1" x14ac:dyDescent="0.2">
      <c r="A414" s="49">
        <v>44713</v>
      </c>
      <c r="B414" s="39">
        <v>2374.0500000000002</v>
      </c>
      <c r="C414" s="39">
        <v>2736.5410660758353</v>
      </c>
      <c r="D414" s="39">
        <v>0</v>
      </c>
      <c r="E414" s="39">
        <v>0</v>
      </c>
      <c r="F414" s="39">
        <v>0</v>
      </c>
      <c r="G414" s="39">
        <v>0</v>
      </c>
      <c r="H414" s="40">
        <v>0.15268889285222942</v>
      </c>
      <c r="I414" s="40">
        <v>0</v>
      </c>
      <c r="J414" s="40">
        <v>0.15268889285222942</v>
      </c>
    </row>
    <row r="415" spans="1:10" ht="11.25" customHeight="1" x14ac:dyDescent="0.2">
      <c r="A415" s="49">
        <v>44743</v>
      </c>
      <c r="B415" s="39">
        <v>2374.0500000000002</v>
      </c>
      <c r="C415" s="39">
        <v>2736.5410660758353</v>
      </c>
      <c r="D415" s="39">
        <v>0</v>
      </c>
      <c r="E415" s="39">
        <v>0</v>
      </c>
      <c r="F415" s="39">
        <v>0</v>
      </c>
      <c r="G415" s="39">
        <v>0</v>
      </c>
      <c r="H415" s="40">
        <v>0.15268889285222942</v>
      </c>
      <c r="I415" s="40">
        <v>0</v>
      </c>
      <c r="J415" s="40">
        <v>0.15268889285222942</v>
      </c>
    </row>
    <row r="416" spans="1:10" ht="11.25" customHeight="1" x14ac:dyDescent="0.2">
      <c r="A416" s="49">
        <v>44774</v>
      </c>
      <c r="B416" s="39">
        <v>2374.0500000000002</v>
      </c>
      <c r="C416" s="39">
        <v>2736.5410660758353</v>
      </c>
      <c r="D416" s="39">
        <v>0</v>
      </c>
      <c r="E416" s="39">
        <v>0</v>
      </c>
      <c r="F416" s="39">
        <v>0</v>
      </c>
      <c r="G416" s="39">
        <v>0</v>
      </c>
      <c r="H416" s="40">
        <v>0.15268889285222942</v>
      </c>
      <c r="I416" s="40">
        <v>0</v>
      </c>
      <c r="J416" s="40">
        <v>0.15268889285222942</v>
      </c>
    </row>
    <row r="417" spans="1:10" ht="11.25" customHeight="1" x14ac:dyDescent="0.2">
      <c r="A417" s="47" t="s">
        <v>62</v>
      </c>
      <c r="B417" s="39">
        <v>17100</v>
      </c>
      <c r="C417" s="39">
        <v>19710.980067773122</v>
      </c>
      <c r="D417" s="39">
        <v>0</v>
      </c>
      <c r="E417" s="39">
        <v>0</v>
      </c>
      <c r="F417" s="39">
        <v>0</v>
      </c>
      <c r="G417" s="39">
        <v>0</v>
      </c>
      <c r="H417" s="40">
        <v>0.15268889285222942</v>
      </c>
      <c r="I417" s="40">
        <v>0</v>
      </c>
      <c r="J417" s="40">
        <v>0.15268889285222942</v>
      </c>
    </row>
    <row r="418" spans="1:10" ht="11.25" customHeight="1" x14ac:dyDescent="0.2">
      <c r="A418" s="48" t="s">
        <v>25</v>
      </c>
      <c r="B418" s="39">
        <v>17100</v>
      </c>
      <c r="C418" s="39">
        <v>19710.980067773122</v>
      </c>
      <c r="D418" s="39">
        <v>0</v>
      </c>
      <c r="E418" s="39">
        <v>0</v>
      </c>
      <c r="F418" s="39">
        <v>0</v>
      </c>
      <c r="G418" s="39">
        <v>0</v>
      </c>
      <c r="H418" s="40">
        <v>0.15268889285222942</v>
      </c>
      <c r="I418" s="40">
        <v>0</v>
      </c>
      <c r="J418" s="40">
        <v>0.15268889285222942</v>
      </c>
    </row>
    <row r="419" spans="1:10" ht="11.25" customHeight="1" x14ac:dyDescent="0.2">
      <c r="A419" s="49">
        <v>44440</v>
      </c>
      <c r="B419" s="39">
        <v>1425</v>
      </c>
      <c r="C419" s="39">
        <v>1642.5816723144269</v>
      </c>
      <c r="D419" s="39">
        <v>0</v>
      </c>
      <c r="E419" s="39">
        <v>0</v>
      </c>
      <c r="F419" s="39">
        <v>0</v>
      </c>
      <c r="G419" s="39">
        <v>0</v>
      </c>
      <c r="H419" s="40">
        <v>0.15268889285222942</v>
      </c>
      <c r="I419" s="40">
        <v>0</v>
      </c>
      <c r="J419" s="40">
        <v>0.15268889285222942</v>
      </c>
    </row>
    <row r="420" spans="1:10" ht="11.25" customHeight="1" x14ac:dyDescent="0.2">
      <c r="A420" s="49">
        <v>44470</v>
      </c>
      <c r="B420" s="39">
        <v>1425</v>
      </c>
      <c r="C420" s="39">
        <v>1642.5816723144269</v>
      </c>
      <c r="D420" s="39">
        <v>0</v>
      </c>
      <c r="E420" s="39">
        <v>0</v>
      </c>
      <c r="F420" s="39">
        <v>0</v>
      </c>
      <c r="G420" s="39">
        <v>0</v>
      </c>
      <c r="H420" s="40">
        <v>0.15268889285222942</v>
      </c>
      <c r="I420" s="40">
        <v>0</v>
      </c>
      <c r="J420" s="40">
        <v>0.15268889285222942</v>
      </c>
    </row>
    <row r="421" spans="1:10" ht="11.25" customHeight="1" x14ac:dyDescent="0.2">
      <c r="A421" s="49">
        <v>44501</v>
      </c>
      <c r="B421" s="39">
        <v>1425</v>
      </c>
      <c r="C421" s="39">
        <v>1642.5816723144269</v>
      </c>
      <c r="D421" s="39">
        <v>0</v>
      </c>
      <c r="E421" s="39">
        <v>0</v>
      </c>
      <c r="F421" s="39">
        <v>0</v>
      </c>
      <c r="G421" s="39">
        <v>0</v>
      </c>
      <c r="H421" s="40">
        <v>0.15268889285222942</v>
      </c>
      <c r="I421" s="40">
        <v>0</v>
      </c>
      <c r="J421" s="40">
        <v>0.15268889285222942</v>
      </c>
    </row>
    <row r="422" spans="1:10" ht="11.25" customHeight="1" x14ac:dyDescent="0.2">
      <c r="A422" s="49">
        <v>44531</v>
      </c>
      <c r="B422" s="39">
        <v>1425</v>
      </c>
      <c r="C422" s="39">
        <v>1642.5816723144269</v>
      </c>
      <c r="D422" s="39">
        <v>0</v>
      </c>
      <c r="E422" s="39">
        <v>0</v>
      </c>
      <c r="F422" s="39">
        <v>0</v>
      </c>
      <c r="G422" s="39">
        <v>0</v>
      </c>
      <c r="H422" s="40">
        <v>0.15268889285222942</v>
      </c>
      <c r="I422" s="40">
        <v>0</v>
      </c>
      <c r="J422" s="40">
        <v>0.15268889285222942</v>
      </c>
    </row>
    <row r="423" spans="1:10" ht="11.25" customHeight="1" x14ac:dyDescent="0.2">
      <c r="A423" s="49">
        <v>44562</v>
      </c>
      <c r="B423" s="39">
        <v>1425</v>
      </c>
      <c r="C423" s="39">
        <v>1642.5816723144269</v>
      </c>
      <c r="D423" s="39">
        <v>0</v>
      </c>
      <c r="E423" s="39">
        <v>0</v>
      </c>
      <c r="F423" s="39">
        <v>0</v>
      </c>
      <c r="G423" s="39">
        <v>0</v>
      </c>
      <c r="H423" s="40">
        <v>0.15268889285222942</v>
      </c>
      <c r="I423" s="40">
        <v>0</v>
      </c>
      <c r="J423" s="40">
        <v>0.15268889285222942</v>
      </c>
    </row>
    <row r="424" spans="1:10" ht="11.25" customHeight="1" x14ac:dyDescent="0.2">
      <c r="A424" s="49">
        <v>44593</v>
      </c>
      <c r="B424" s="39">
        <v>1425</v>
      </c>
      <c r="C424" s="39">
        <v>1642.5816723144269</v>
      </c>
      <c r="D424" s="39">
        <v>0</v>
      </c>
      <c r="E424" s="39">
        <v>0</v>
      </c>
      <c r="F424" s="39">
        <v>0</v>
      </c>
      <c r="G424" s="39">
        <v>0</v>
      </c>
      <c r="H424" s="40">
        <v>0.15268889285222942</v>
      </c>
      <c r="I424" s="40">
        <v>0</v>
      </c>
      <c r="J424" s="40">
        <v>0.15268889285222942</v>
      </c>
    </row>
    <row r="425" spans="1:10" ht="11.25" customHeight="1" x14ac:dyDescent="0.2">
      <c r="A425" s="49">
        <v>44621</v>
      </c>
      <c r="B425" s="39">
        <v>1425</v>
      </c>
      <c r="C425" s="39">
        <v>1642.5816723144269</v>
      </c>
      <c r="D425" s="39">
        <v>0</v>
      </c>
      <c r="E425" s="39">
        <v>0</v>
      </c>
      <c r="F425" s="39">
        <v>0</v>
      </c>
      <c r="G425" s="39">
        <v>0</v>
      </c>
      <c r="H425" s="40">
        <v>0.15268889285222942</v>
      </c>
      <c r="I425" s="40">
        <v>0</v>
      </c>
      <c r="J425" s="40">
        <v>0.15268889285222942</v>
      </c>
    </row>
    <row r="426" spans="1:10" ht="11.25" customHeight="1" x14ac:dyDescent="0.2">
      <c r="A426" s="49">
        <v>44652</v>
      </c>
      <c r="B426" s="39">
        <v>1425</v>
      </c>
      <c r="C426" s="39">
        <v>1642.5816723144269</v>
      </c>
      <c r="D426" s="39">
        <v>0</v>
      </c>
      <c r="E426" s="39">
        <v>0</v>
      </c>
      <c r="F426" s="39">
        <v>0</v>
      </c>
      <c r="G426" s="39">
        <v>0</v>
      </c>
      <c r="H426" s="40">
        <v>0.15268889285222942</v>
      </c>
      <c r="I426" s="40">
        <v>0</v>
      </c>
      <c r="J426" s="40">
        <v>0.15268889285222942</v>
      </c>
    </row>
    <row r="427" spans="1:10" ht="11.25" customHeight="1" x14ac:dyDescent="0.2">
      <c r="A427" s="49">
        <v>44682</v>
      </c>
      <c r="B427" s="39">
        <v>1425</v>
      </c>
      <c r="C427" s="39">
        <v>1642.5816723144269</v>
      </c>
      <c r="D427" s="39">
        <v>0</v>
      </c>
      <c r="E427" s="39">
        <v>0</v>
      </c>
      <c r="F427" s="39">
        <v>0</v>
      </c>
      <c r="G427" s="39">
        <v>0</v>
      </c>
      <c r="H427" s="40">
        <v>0.15268889285222942</v>
      </c>
      <c r="I427" s="40">
        <v>0</v>
      </c>
      <c r="J427" s="40">
        <v>0.15268889285222942</v>
      </c>
    </row>
    <row r="428" spans="1:10" ht="11.25" customHeight="1" x14ac:dyDescent="0.2">
      <c r="A428" s="49">
        <v>44713</v>
      </c>
      <c r="B428" s="39">
        <v>1425</v>
      </c>
      <c r="C428" s="39">
        <v>1642.5816723144269</v>
      </c>
      <c r="D428" s="39">
        <v>0</v>
      </c>
      <c r="E428" s="39">
        <v>0</v>
      </c>
      <c r="F428" s="39">
        <v>0</v>
      </c>
      <c r="G428" s="39">
        <v>0</v>
      </c>
      <c r="H428" s="40">
        <v>0.15268889285222942</v>
      </c>
      <c r="I428" s="40">
        <v>0</v>
      </c>
      <c r="J428" s="40">
        <v>0.15268889285222942</v>
      </c>
    </row>
    <row r="429" spans="1:10" ht="11.25" customHeight="1" x14ac:dyDescent="0.2">
      <c r="A429" s="49">
        <v>44743</v>
      </c>
      <c r="B429" s="39">
        <v>1425</v>
      </c>
      <c r="C429" s="39">
        <v>1642.5816723144269</v>
      </c>
      <c r="D429" s="39">
        <v>0</v>
      </c>
      <c r="E429" s="39">
        <v>0</v>
      </c>
      <c r="F429" s="39">
        <v>0</v>
      </c>
      <c r="G429" s="39">
        <v>0</v>
      </c>
      <c r="H429" s="40">
        <v>0.15268889285222942</v>
      </c>
      <c r="I429" s="40">
        <v>0</v>
      </c>
      <c r="J429" s="40">
        <v>0.15268889285222942</v>
      </c>
    </row>
    <row r="430" spans="1:10" ht="11.25" customHeight="1" x14ac:dyDescent="0.2">
      <c r="A430" s="49">
        <v>44774</v>
      </c>
      <c r="B430" s="39">
        <v>1425</v>
      </c>
      <c r="C430" s="39">
        <v>1642.5816723144269</v>
      </c>
      <c r="D430" s="39">
        <v>0</v>
      </c>
      <c r="E430" s="39">
        <v>0</v>
      </c>
      <c r="F430" s="39">
        <v>0</v>
      </c>
      <c r="G430" s="39">
        <v>0</v>
      </c>
      <c r="H430" s="40">
        <v>0.15268889285222942</v>
      </c>
      <c r="I430" s="40">
        <v>0</v>
      </c>
      <c r="J430" s="40">
        <v>0.15268889285222942</v>
      </c>
    </row>
    <row r="431" spans="1:10" ht="11.25" customHeight="1" x14ac:dyDescent="0.2">
      <c r="A431" s="41" t="s">
        <v>55</v>
      </c>
      <c r="B431" s="39">
        <v>191262.38373346135</v>
      </c>
      <c r="C431" s="39">
        <v>215169.52490238211</v>
      </c>
      <c r="D431" s="39">
        <v>375907.07422229543</v>
      </c>
      <c r="E431" s="39">
        <v>371910.29676808667</v>
      </c>
      <c r="F431" s="39">
        <v>0</v>
      </c>
      <c r="G431" s="39">
        <v>0</v>
      </c>
      <c r="H431" s="40">
        <v>3.5104788234674444E-2</v>
      </c>
      <c r="I431" s="40">
        <v>0</v>
      </c>
      <c r="J431" s="40">
        <v>3.5104788234674444E-2</v>
      </c>
    </row>
    <row r="432" spans="1:10" ht="11.25" customHeight="1" x14ac:dyDescent="0.2">
      <c r="A432" s="42" t="s">
        <v>34</v>
      </c>
      <c r="B432" s="39">
        <v>191262.38373346135</v>
      </c>
      <c r="C432" s="39">
        <v>215169.52490238211</v>
      </c>
      <c r="D432" s="39">
        <v>375907.07422229543</v>
      </c>
      <c r="E432" s="39">
        <v>371910.29676808667</v>
      </c>
      <c r="F432" s="39">
        <v>0</v>
      </c>
      <c r="G432" s="39">
        <v>0</v>
      </c>
      <c r="H432" s="40">
        <v>3.5104788234674444E-2</v>
      </c>
      <c r="I432" s="40">
        <v>0</v>
      </c>
      <c r="J432" s="40">
        <v>3.5104788234674444E-2</v>
      </c>
    </row>
    <row r="433" spans="1:10" ht="11.25" customHeight="1" x14ac:dyDescent="0.2">
      <c r="A433" s="43" t="s">
        <v>38</v>
      </c>
      <c r="B433" s="39">
        <v>191262.38373346135</v>
      </c>
      <c r="C433" s="39">
        <v>215169.52490238211</v>
      </c>
      <c r="D433" s="39">
        <v>375907.07422229543</v>
      </c>
      <c r="E433" s="39">
        <v>371910.29676808667</v>
      </c>
      <c r="F433" s="39">
        <v>0</v>
      </c>
      <c r="G433" s="39">
        <v>0</v>
      </c>
      <c r="H433" s="40">
        <v>3.5104788234674444E-2</v>
      </c>
      <c r="I433" s="40">
        <v>0</v>
      </c>
      <c r="J433" s="40">
        <v>3.5104788234674444E-2</v>
      </c>
    </row>
    <row r="434" spans="1:10" ht="11.25" customHeight="1" x14ac:dyDescent="0.2">
      <c r="A434" s="44" t="s">
        <v>33</v>
      </c>
      <c r="B434" s="39">
        <v>191262.38373346135</v>
      </c>
      <c r="C434" s="39">
        <v>215169.52490238211</v>
      </c>
      <c r="D434" s="39">
        <v>375907.07422229543</v>
      </c>
      <c r="E434" s="39">
        <v>371910.29676808667</v>
      </c>
      <c r="F434" s="39">
        <v>0</v>
      </c>
      <c r="G434" s="39">
        <v>0</v>
      </c>
      <c r="H434" s="40">
        <v>3.5104788234674444E-2</v>
      </c>
      <c r="I434" s="40">
        <v>0</v>
      </c>
      <c r="J434" s="40">
        <v>3.5104788234674444E-2</v>
      </c>
    </row>
    <row r="435" spans="1:10" ht="11.25" customHeight="1" x14ac:dyDescent="0.2">
      <c r="A435" s="45" t="s">
        <v>25</v>
      </c>
      <c r="B435" s="39">
        <v>191262.38373346135</v>
      </c>
      <c r="C435" s="39">
        <v>215169.52490238211</v>
      </c>
      <c r="D435" s="39">
        <v>375907.07422229543</v>
      </c>
      <c r="E435" s="39">
        <v>371910.29676808667</v>
      </c>
      <c r="F435" s="39">
        <v>0</v>
      </c>
      <c r="G435" s="39">
        <v>0</v>
      </c>
      <c r="H435" s="40">
        <v>3.5104788234674444E-2</v>
      </c>
      <c r="I435" s="40">
        <v>0</v>
      </c>
      <c r="J435" s="40">
        <v>3.5104788234674444E-2</v>
      </c>
    </row>
    <row r="436" spans="1:10" ht="11.25" customHeight="1" x14ac:dyDescent="0.2">
      <c r="A436" s="46" t="s">
        <v>54</v>
      </c>
      <c r="B436" s="39">
        <v>191262.38373346135</v>
      </c>
      <c r="C436" s="39">
        <v>215169.52490238211</v>
      </c>
      <c r="D436" s="39">
        <v>375907.07422229543</v>
      </c>
      <c r="E436" s="39">
        <v>371910.29676808667</v>
      </c>
      <c r="F436" s="39">
        <v>0</v>
      </c>
      <c r="G436" s="39">
        <v>0</v>
      </c>
      <c r="H436" s="40">
        <v>3.5104788234674444E-2</v>
      </c>
      <c r="I436" s="40">
        <v>0</v>
      </c>
      <c r="J436" s="40">
        <v>3.5104788234674444E-2</v>
      </c>
    </row>
    <row r="437" spans="1:10" ht="11.25" customHeight="1" x14ac:dyDescent="0.2">
      <c r="A437" s="47" t="s">
        <v>25</v>
      </c>
      <c r="B437" s="39">
        <v>191262.38373346135</v>
      </c>
      <c r="C437" s="39">
        <v>215169.52490238211</v>
      </c>
      <c r="D437" s="39">
        <v>375907.07422229543</v>
      </c>
      <c r="E437" s="39">
        <v>371910.29676808667</v>
      </c>
      <c r="F437" s="39">
        <v>0</v>
      </c>
      <c r="G437" s="39">
        <v>0</v>
      </c>
      <c r="H437" s="40">
        <v>3.5104788234674444E-2</v>
      </c>
      <c r="I437" s="40">
        <v>0</v>
      </c>
      <c r="J437" s="40">
        <v>3.5104788234674444E-2</v>
      </c>
    </row>
    <row r="438" spans="1:10" ht="11.25" customHeight="1" x14ac:dyDescent="0.2">
      <c r="A438" s="48" t="s">
        <v>37</v>
      </c>
      <c r="B438" s="39">
        <v>0</v>
      </c>
      <c r="C438" s="39">
        <v>0</v>
      </c>
      <c r="D438" s="39">
        <v>0</v>
      </c>
      <c r="E438" s="39">
        <v>0</v>
      </c>
      <c r="F438" s="39">
        <v>0</v>
      </c>
      <c r="G438" s="39">
        <v>0</v>
      </c>
      <c r="H438" s="40">
        <v>0</v>
      </c>
      <c r="I438" s="40">
        <v>0</v>
      </c>
      <c r="J438" s="40">
        <v>0</v>
      </c>
    </row>
    <row r="439" spans="1:10" ht="11.25" customHeight="1" x14ac:dyDescent="0.2">
      <c r="A439" s="49">
        <v>44440</v>
      </c>
      <c r="B439" s="39">
        <v>0</v>
      </c>
      <c r="C439" s="39">
        <v>0</v>
      </c>
      <c r="D439" s="39">
        <v>0</v>
      </c>
      <c r="E439" s="39">
        <v>0</v>
      </c>
      <c r="F439" s="39">
        <v>0</v>
      </c>
      <c r="G439" s="39">
        <v>0</v>
      </c>
      <c r="H439" s="40">
        <v>0</v>
      </c>
      <c r="I439" s="40">
        <v>0</v>
      </c>
      <c r="J439" s="40">
        <v>0</v>
      </c>
    </row>
    <row r="440" spans="1:10" ht="11.25" customHeight="1" x14ac:dyDescent="0.2">
      <c r="A440" s="49">
        <v>44470</v>
      </c>
      <c r="B440" s="39">
        <v>0</v>
      </c>
      <c r="C440" s="39">
        <v>0</v>
      </c>
      <c r="D440" s="39">
        <v>0</v>
      </c>
      <c r="E440" s="39">
        <v>0</v>
      </c>
      <c r="F440" s="39">
        <v>0</v>
      </c>
      <c r="G440" s="39">
        <v>0</v>
      </c>
      <c r="H440" s="40">
        <v>0</v>
      </c>
      <c r="I440" s="40">
        <v>0</v>
      </c>
      <c r="J440" s="40">
        <v>0</v>
      </c>
    </row>
    <row r="441" spans="1:10" ht="11.25" customHeight="1" x14ac:dyDescent="0.2">
      <c r="A441" s="49">
        <v>44501</v>
      </c>
      <c r="B441" s="39">
        <v>0</v>
      </c>
      <c r="C441" s="39">
        <v>0</v>
      </c>
      <c r="D441" s="39">
        <v>0</v>
      </c>
      <c r="E441" s="39">
        <v>0</v>
      </c>
      <c r="F441" s="39">
        <v>0</v>
      </c>
      <c r="G441" s="39">
        <v>0</v>
      </c>
      <c r="H441" s="40">
        <v>0</v>
      </c>
      <c r="I441" s="40">
        <v>0</v>
      </c>
      <c r="J441" s="40">
        <v>0</v>
      </c>
    </row>
    <row r="442" spans="1:10" ht="11.25" customHeight="1" x14ac:dyDescent="0.2">
      <c r="A442" s="49">
        <v>44531</v>
      </c>
      <c r="B442" s="39">
        <v>0</v>
      </c>
      <c r="C442" s="39">
        <v>0</v>
      </c>
      <c r="D442" s="39">
        <v>0</v>
      </c>
      <c r="E442" s="39">
        <v>0</v>
      </c>
      <c r="F442" s="39">
        <v>0</v>
      </c>
      <c r="G442" s="39">
        <v>0</v>
      </c>
      <c r="H442" s="40">
        <v>0</v>
      </c>
      <c r="I442" s="40">
        <v>0</v>
      </c>
      <c r="J442" s="40">
        <v>0</v>
      </c>
    </row>
    <row r="443" spans="1:10" ht="11.25" customHeight="1" x14ac:dyDescent="0.2">
      <c r="A443" s="49">
        <v>44562</v>
      </c>
      <c r="B443" s="39">
        <v>0</v>
      </c>
      <c r="C443" s="39">
        <v>0</v>
      </c>
      <c r="D443" s="39">
        <v>0</v>
      </c>
      <c r="E443" s="39">
        <v>0</v>
      </c>
      <c r="F443" s="39">
        <v>0</v>
      </c>
      <c r="G443" s="39">
        <v>0</v>
      </c>
      <c r="H443" s="40">
        <v>0</v>
      </c>
      <c r="I443" s="40">
        <v>0</v>
      </c>
      <c r="J443" s="40">
        <v>0</v>
      </c>
    </row>
    <row r="444" spans="1:10" ht="11.25" customHeight="1" x14ac:dyDescent="0.2">
      <c r="A444" s="49">
        <v>44593</v>
      </c>
      <c r="B444" s="39">
        <v>0</v>
      </c>
      <c r="C444" s="39">
        <v>0</v>
      </c>
      <c r="D444" s="39">
        <v>0</v>
      </c>
      <c r="E444" s="39">
        <v>0</v>
      </c>
      <c r="F444" s="39">
        <v>0</v>
      </c>
      <c r="G444" s="39">
        <v>0</v>
      </c>
      <c r="H444" s="40">
        <v>0</v>
      </c>
      <c r="I444" s="40">
        <v>0</v>
      </c>
      <c r="J444" s="40">
        <v>0</v>
      </c>
    </row>
    <row r="445" spans="1:10" ht="11.25" customHeight="1" x14ac:dyDescent="0.2">
      <c r="A445" s="49">
        <v>44621</v>
      </c>
      <c r="B445" s="39">
        <v>0</v>
      </c>
      <c r="C445" s="39">
        <v>0</v>
      </c>
      <c r="D445" s="39">
        <v>0</v>
      </c>
      <c r="E445" s="39">
        <v>0</v>
      </c>
      <c r="F445" s="39">
        <v>0</v>
      </c>
      <c r="G445" s="39">
        <v>0</v>
      </c>
      <c r="H445" s="40">
        <v>0</v>
      </c>
      <c r="I445" s="40">
        <v>0</v>
      </c>
      <c r="J445" s="40">
        <v>0</v>
      </c>
    </row>
    <row r="446" spans="1:10" ht="11.25" customHeight="1" x14ac:dyDescent="0.2">
      <c r="A446" s="49">
        <v>44652</v>
      </c>
      <c r="B446" s="39">
        <v>0</v>
      </c>
      <c r="C446" s="39">
        <v>0</v>
      </c>
      <c r="D446" s="39">
        <v>0</v>
      </c>
      <c r="E446" s="39">
        <v>0</v>
      </c>
      <c r="F446" s="39">
        <v>0</v>
      </c>
      <c r="G446" s="39">
        <v>0</v>
      </c>
      <c r="H446" s="40">
        <v>0</v>
      </c>
      <c r="I446" s="40">
        <v>0</v>
      </c>
      <c r="J446" s="40">
        <v>0</v>
      </c>
    </row>
    <row r="447" spans="1:10" ht="11.25" customHeight="1" x14ac:dyDescent="0.2">
      <c r="A447" s="49">
        <v>44682</v>
      </c>
      <c r="B447" s="39">
        <v>0</v>
      </c>
      <c r="C447" s="39">
        <v>0</v>
      </c>
      <c r="D447" s="39">
        <v>0</v>
      </c>
      <c r="E447" s="39">
        <v>0</v>
      </c>
      <c r="F447" s="39">
        <v>0</v>
      </c>
      <c r="G447" s="39">
        <v>0</v>
      </c>
      <c r="H447" s="40">
        <v>0</v>
      </c>
      <c r="I447" s="40">
        <v>0</v>
      </c>
      <c r="J447" s="40">
        <v>0</v>
      </c>
    </row>
    <row r="448" spans="1:10" ht="11.25" customHeight="1" x14ac:dyDescent="0.2">
      <c r="A448" s="49">
        <v>44713</v>
      </c>
      <c r="B448" s="39">
        <v>0</v>
      </c>
      <c r="C448" s="39">
        <v>0</v>
      </c>
      <c r="D448" s="39">
        <v>0</v>
      </c>
      <c r="E448" s="39">
        <v>0</v>
      </c>
      <c r="F448" s="39">
        <v>0</v>
      </c>
      <c r="G448" s="39">
        <v>0</v>
      </c>
      <c r="H448" s="40">
        <v>0</v>
      </c>
      <c r="I448" s="40">
        <v>0</v>
      </c>
      <c r="J448" s="40">
        <v>0</v>
      </c>
    </row>
    <row r="449" spans="1:10" ht="11.25" customHeight="1" x14ac:dyDescent="0.2">
      <c r="A449" s="49">
        <v>44743</v>
      </c>
      <c r="B449" s="39">
        <v>0</v>
      </c>
      <c r="C449" s="39">
        <v>0</v>
      </c>
      <c r="D449" s="39">
        <v>0</v>
      </c>
      <c r="E449" s="39">
        <v>0</v>
      </c>
      <c r="F449" s="39">
        <v>0</v>
      </c>
      <c r="G449" s="39">
        <v>0</v>
      </c>
      <c r="H449" s="40">
        <v>0</v>
      </c>
      <c r="I449" s="40">
        <v>0</v>
      </c>
      <c r="J449" s="40">
        <v>0</v>
      </c>
    </row>
    <row r="450" spans="1:10" ht="11.25" customHeight="1" x14ac:dyDescent="0.2">
      <c r="A450" s="49">
        <v>44774</v>
      </c>
      <c r="B450" s="39">
        <v>0</v>
      </c>
      <c r="C450" s="39">
        <v>0</v>
      </c>
      <c r="D450" s="39">
        <v>0</v>
      </c>
      <c r="E450" s="39">
        <v>0</v>
      </c>
      <c r="F450" s="39">
        <v>0</v>
      </c>
      <c r="G450" s="39">
        <v>0</v>
      </c>
      <c r="H450" s="40">
        <v>0</v>
      </c>
      <c r="I450" s="40">
        <v>0</v>
      </c>
      <c r="J450" s="40">
        <v>0</v>
      </c>
    </row>
    <row r="451" spans="1:10" ht="11.25" customHeight="1" x14ac:dyDescent="0.2">
      <c r="A451" s="48" t="s">
        <v>25</v>
      </c>
      <c r="B451" s="39">
        <v>191262.38373346135</v>
      </c>
      <c r="C451" s="39">
        <v>215169.52490238211</v>
      </c>
      <c r="D451" s="39">
        <v>0</v>
      </c>
      <c r="E451" s="39">
        <v>0</v>
      </c>
      <c r="F451" s="39">
        <v>0</v>
      </c>
      <c r="G451" s="39">
        <v>0</v>
      </c>
      <c r="H451" s="40">
        <v>0.1249965659856942</v>
      </c>
      <c r="I451" s="40">
        <v>0</v>
      </c>
      <c r="J451" s="40">
        <v>0.1249965659856942</v>
      </c>
    </row>
    <row r="452" spans="1:10" ht="11.25" customHeight="1" x14ac:dyDescent="0.2">
      <c r="A452" s="49">
        <v>44440</v>
      </c>
      <c r="B452" s="39">
        <v>6509.8329864263997</v>
      </c>
      <c r="C452" s="39">
        <v>7323.5397548700939</v>
      </c>
      <c r="D452" s="39">
        <v>0</v>
      </c>
      <c r="E452" s="39">
        <v>0</v>
      </c>
      <c r="F452" s="39">
        <v>0</v>
      </c>
      <c r="G452" s="39">
        <v>0</v>
      </c>
      <c r="H452" s="40">
        <v>0.12499656598569397</v>
      </c>
      <c r="I452" s="40">
        <v>0</v>
      </c>
      <c r="J452" s="40">
        <v>0.12499656598569397</v>
      </c>
    </row>
    <row r="453" spans="1:10" ht="11.25" customHeight="1" x14ac:dyDescent="0.2">
      <c r="A453" s="49">
        <v>44470</v>
      </c>
      <c r="B453" s="39">
        <v>6706.5301477080002</v>
      </c>
      <c r="C453" s="39">
        <v>7544.8233858510284</v>
      </c>
      <c r="D453" s="39">
        <v>0</v>
      </c>
      <c r="E453" s="39">
        <v>0</v>
      </c>
      <c r="F453" s="39">
        <v>0</v>
      </c>
      <c r="G453" s="39">
        <v>0</v>
      </c>
      <c r="H453" s="40">
        <v>0.12499656598569375</v>
      </c>
      <c r="I453" s="40">
        <v>0</v>
      </c>
      <c r="J453" s="40">
        <v>0.12499656598569375</v>
      </c>
    </row>
    <row r="454" spans="1:10" ht="11.25" customHeight="1" x14ac:dyDescent="0.2">
      <c r="A454" s="49">
        <v>44501</v>
      </c>
      <c r="B454" s="39">
        <v>8103.8898389790002</v>
      </c>
      <c r="C454" s="39">
        <v>9116.8482399777331</v>
      </c>
      <c r="D454" s="39">
        <v>0</v>
      </c>
      <c r="E454" s="39">
        <v>0</v>
      </c>
      <c r="F454" s="39">
        <v>0</v>
      </c>
      <c r="G454" s="39">
        <v>0</v>
      </c>
      <c r="H454" s="40">
        <v>0.12499656598569397</v>
      </c>
      <c r="I454" s="40">
        <v>0</v>
      </c>
      <c r="J454" s="40">
        <v>0.12499656598569397</v>
      </c>
    </row>
    <row r="455" spans="1:10" ht="11.25" customHeight="1" x14ac:dyDescent="0.2">
      <c r="A455" s="49">
        <v>44531</v>
      </c>
      <c r="B455" s="39">
        <v>8492.2599252582004</v>
      </c>
      <c r="C455" s="39">
        <v>9553.7632533734013</v>
      </c>
      <c r="D455" s="39">
        <v>0</v>
      </c>
      <c r="E455" s="39">
        <v>0</v>
      </c>
      <c r="F455" s="39">
        <v>0</v>
      </c>
      <c r="G455" s="39">
        <v>0</v>
      </c>
      <c r="H455" s="40">
        <v>0.12499656598569397</v>
      </c>
      <c r="I455" s="40">
        <v>0</v>
      </c>
      <c r="J455" s="40">
        <v>0.12499656598569397</v>
      </c>
    </row>
    <row r="456" spans="1:10" ht="11.25" customHeight="1" x14ac:dyDescent="0.2">
      <c r="A456" s="49">
        <v>44562</v>
      </c>
      <c r="B456" s="39">
        <v>25504.230134325597</v>
      </c>
      <c r="C456" s="39">
        <v>28692.171319225148</v>
      </c>
      <c r="D456" s="39">
        <v>0</v>
      </c>
      <c r="E456" s="39">
        <v>0</v>
      </c>
      <c r="F456" s="39">
        <v>0</v>
      </c>
      <c r="G456" s="39">
        <v>0</v>
      </c>
      <c r="H456" s="40">
        <v>0.12499656598569397</v>
      </c>
      <c r="I456" s="40">
        <v>0</v>
      </c>
      <c r="J456" s="40">
        <v>0.12499656598569397</v>
      </c>
    </row>
    <row r="457" spans="1:10" ht="11.25" customHeight="1" x14ac:dyDescent="0.2">
      <c r="A457" s="49">
        <v>44593</v>
      </c>
      <c r="B457" s="39">
        <v>35228.879999999997</v>
      </c>
      <c r="C457" s="39">
        <v>39632.369023522093</v>
      </c>
      <c r="D457" s="39">
        <v>0</v>
      </c>
      <c r="E457" s="39">
        <v>0</v>
      </c>
      <c r="F457" s="39">
        <v>0</v>
      </c>
      <c r="G457" s="39">
        <v>0</v>
      </c>
      <c r="H457" s="40">
        <v>0.12499656598569397</v>
      </c>
      <c r="I457" s="40">
        <v>0</v>
      </c>
      <c r="J457" s="40">
        <v>0.12499656598569397</v>
      </c>
    </row>
    <row r="458" spans="1:10" ht="11.25" customHeight="1" x14ac:dyDescent="0.2">
      <c r="A458" s="49">
        <v>44621</v>
      </c>
      <c r="B458" s="39">
        <v>27089.8898507712</v>
      </c>
      <c r="C458" s="39">
        <v>30476.033055048301</v>
      </c>
      <c r="D458" s="39">
        <v>0</v>
      </c>
      <c r="E458" s="39">
        <v>0</v>
      </c>
      <c r="F458" s="39">
        <v>0</v>
      </c>
      <c r="G458" s="39">
        <v>0</v>
      </c>
      <c r="H458" s="40">
        <v>0.12499656598569397</v>
      </c>
      <c r="I458" s="40">
        <v>0</v>
      </c>
      <c r="J458" s="40">
        <v>0.12499656598569397</v>
      </c>
    </row>
    <row r="459" spans="1:10" ht="11.25" customHeight="1" x14ac:dyDescent="0.2">
      <c r="A459" s="49">
        <v>44652</v>
      </c>
      <c r="B459" s="39">
        <v>-5553.0397208159993</v>
      </c>
      <c r="C459" s="39">
        <v>-6247.1506167001562</v>
      </c>
      <c r="D459" s="39">
        <v>0</v>
      </c>
      <c r="E459" s="39">
        <v>0</v>
      </c>
      <c r="F459" s="39">
        <v>0</v>
      </c>
      <c r="G459" s="39">
        <v>0</v>
      </c>
      <c r="H459" s="40">
        <v>0.12499656598569397</v>
      </c>
      <c r="I459" s="40">
        <v>0</v>
      </c>
      <c r="J459" s="40">
        <v>0.12499656598569397</v>
      </c>
    </row>
    <row r="460" spans="1:10" ht="11.25" customHeight="1" x14ac:dyDescent="0.2">
      <c r="A460" s="49">
        <v>44682</v>
      </c>
      <c r="B460" s="39">
        <v>17252.180130285</v>
      </c>
      <c r="C460" s="39">
        <v>19408.643402337246</v>
      </c>
      <c r="D460" s="39">
        <v>0</v>
      </c>
      <c r="E460" s="39">
        <v>0</v>
      </c>
      <c r="F460" s="39">
        <v>0</v>
      </c>
      <c r="G460" s="39">
        <v>0</v>
      </c>
      <c r="H460" s="40">
        <v>0.12499656598569397</v>
      </c>
      <c r="I460" s="40">
        <v>0</v>
      </c>
      <c r="J460" s="40">
        <v>0.12499656598569397</v>
      </c>
    </row>
    <row r="461" spans="1:10" ht="11.25" customHeight="1" x14ac:dyDescent="0.2">
      <c r="A461" s="49">
        <v>44713</v>
      </c>
      <c r="B461" s="39">
        <v>17281.750108032</v>
      </c>
      <c r="C461" s="39">
        <v>19441.909525758896</v>
      </c>
      <c r="D461" s="39">
        <v>0</v>
      </c>
      <c r="E461" s="39">
        <v>0</v>
      </c>
      <c r="F461" s="39">
        <v>0</v>
      </c>
      <c r="G461" s="39">
        <v>0</v>
      </c>
      <c r="H461" s="40">
        <v>0.12499656598569397</v>
      </c>
      <c r="I461" s="40">
        <v>0</v>
      </c>
      <c r="J461" s="40">
        <v>0.12499656598569397</v>
      </c>
    </row>
    <row r="462" spans="1:10" ht="11.25" customHeight="1" x14ac:dyDescent="0.2">
      <c r="A462" s="49">
        <v>44743</v>
      </c>
      <c r="B462" s="39">
        <v>22322.990166246</v>
      </c>
      <c r="C462" s="39">
        <v>25113.287279559161</v>
      </c>
      <c r="D462" s="39">
        <v>0</v>
      </c>
      <c r="E462" s="39">
        <v>0</v>
      </c>
      <c r="F462" s="39">
        <v>0</v>
      </c>
      <c r="G462" s="39">
        <v>0</v>
      </c>
      <c r="H462" s="40">
        <v>0.12499656598569375</v>
      </c>
      <c r="I462" s="40">
        <v>0</v>
      </c>
      <c r="J462" s="40">
        <v>0.12499656598569375</v>
      </c>
    </row>
    <row r="463" spans="1:10" ht="11.25" customHeight="1" x14ac:dyDescent="0.2">
      <c r="A463" s="49">
        <v>44774</v>
      </c>
      <c r="B463" s="39">
        <v>22322.990166246</v>
      </c>
      <c r="C463" s="39">
        <v>25113.287279559161</v>
      </c>
      <c r="D463" s="39">
        <v>0</v>
      </c>
      <c r="E463" s="39">
        <v>0</v>
      </c>
      <c r="F463" s="39">
        <v>0</v>
      </c>
      <c r="G463" s="39">
        <v>0</v>
      </c>
      <c r="H463" s="40">
        <v>0.12499656598569375</v>
      </c>
      <c r="I463" s="40">
        <v>0</v>
      </c>
      <c r="J463" s="40">
        <v>0.12499656598569375</v>
      </c>
    </row>
    <row r="464" spans="1:10" ht="11.25" customHeight="1" x14ac:dyDescent="0.2">
      <c r="A464" s="48" t="s">
        <v>36</v>
      </c>
      <c r="B464" s="39">
        <v>0</v>
      </c>
      <c r="C464" s="39">
        <v>0</v>
      </c>
      <c r="D464" s="39">
        <v>375907.07422229543</v>
      </c>
      <c r="E464" s="39">
        <v>371910.29676808667</v>
      </c>
      <c r="F464" s="39">
        <v>0</v>
      </c>
      <c r="G464" s="39">
        <v>0</v>
      </c>
      <c r="H464" s="40">
        <v>-1.063235498421411E-2</v>
      </c>
      <c r="I464" s="40">
        <v>0</v>
      </c>
      <c r="J464" s="40">
        <v>-1.063235498421411E-2</v>
      </c>
    </row>
    <row r="465" spans="1:10" ht="11.25" customHeight="1" x14ac:dyDescent="0.2">
      <c r="A465" s="49">
        <v>44440</v>
      </c>
      <c r="B465" s="39">
        <v>0</v>
      </c>
      <c r="C465" s="39">
        <v>0</v>
      </c>
      <c r="D465" s="39">
        <v>17817.655072575664</v>
      </c>
      <c r="E465" s="39">
        <v>17628.211438857754</v>
      </c>
      <c r="F465" s="39">
        <v>0</v>
      </c>
      <c r="G465" s="39">
        <v>0</v>
      </c>
      <c r="H465" s="40">
        <v>-1.0632354984214221E-2</v>
      </c>
      <c r="I465" s="40">
        <v>0</v>
      </c>
      <c r="J465" s="40">
        <v>-1.0632354984214221E-2</v>
      </c>
    </row>
    <row r="466" spans="1:10" ht="11.25" customHeight="1" x14ac:dyDescent="0.2">
      <c r="A466" s="49">
        <v>44470</v>
      </c>
      <c r="B466" s="39">
        <v>0</v>
      </c>
      <c r="C466" s="39">
        <v>0</v>
      </c>
      <c r="D466" s="39">
        <v>17662.566348478496</v>
      </c>
      <c r="E466" s="39">
        <v>17474.771673129235</v>
      </c>
      <c r="F466" s="39">
        <v>0</v>
      </c>
      <c r="G466" s="39">
        <v>0</v>
      </c>
      <c r="H466" s="40">
        <v>-1.0632354984214332E-2</v>
      </c>
      <c r="I466" s="40">
        <v>0</v>
      </c>
      <c r="J466" s="40">
        <v>-1.0632354984214332E-2</v>
      </c>
    </row>
    <row r="467" spans="1:10" ht="11.25" customHeight="1" x14ac:dyDescent="0.2">
      <c r="A467" s="49">
        <v>44501</v>
      </c>
      <c r="B467" s="39">
        <v>0</v>
      </c>
      <c r="C467" s="39">
        <v>0</v>
      </c>
      <c r="D467" s="39">
        <v>20187.892227443102</v>
      </c>
      <c r="E467" s="39">
        <v>19973.247390897868</v>
      </c>
      <c r="F467" s="39">
        <v>0</v>
      </c>
      <c r="G467" s="39">
        <v>0</v>
      </c>
      <c r="H467" s="40">
        <v>-1.0632354984214221E-2</v>
      </c>
      <c r="I467" s="40">
        <v>0</v>
      </c>
      <c r="J467" s="40">
        <v>-1.0632354984214221E-2</v>
      </c>
    </row>
    <row r="468" spans="1:10" ht="11.25" customHeight="1" x14ac:dyDescent="0.2">
      <c r="A468" s="49">
        <v>44531</v>
      </c>
      <c r="B468" s="39">
        <v>0</v>
      </c>
      <c r="C468" s="39">
        <v>0</v>
      </c>
      <c r="D468" s="39">
        <v>26311.992223508962</v>
      </c>
      <c r="E468" s="39">
        <v>26032.233781846731</v>
      </c>
      <c r="F468" s="39">
        <v>0</v>
      </c>
      <c r="G468" s="39">
        <v>0</v>
      </c>
      <c r="H468" s="40">
        <v>-1.0632354984214221E-2</v>
      </c>
      <c r="I468" s="40">
        <v>0</v>
      </c>
      <c r="J468" s="40">
        <v>-1.0632354984214221E-2</v>
      </c>
    </row>
    <row r="469" spans="1:10" ht="11.25" customHeight="1" x14ac:dyDescent="0.2">
      <c r="A469" s="49">
        <v>44562</v>
      </c>
      <c r="B469" s="39">
        <v>0</v>
      </c>
      <c r="C469" s="39">
        <v>0</v>
      </c>
      <c r="D469" s="39">
        <v>59925.096573511481</v>
      </c>
      <c r="E469" s="39">
        <v>59287.951674278593</v>
      </c>
      <c r="F469" s="39">
        <v>0</v>
      </c>
      <c r="G469" s="39">
        <v>0</v>
      </c>
      <c r="H469" s="40">
        <v>-1.063235498421411E-2</v>
      </c>
      <c r="I469" s="40">
        <v>0</v>
      </c>
      <c r="J469" s="40">
        <v>-1.063235498421411E-2</v>
      </c>
    </row>
    <row r="470" spans="1:10" ht="11.25" customHeight="1" x14ac:dyDescent="0.2">
      <c r="A470" s="49">
        <v>44593</v>
      </c>
      <c r="B470" s="39">
        <v>0</v>
      </c>
      <c r="C470" s="39">
        <v>0</v>
      </c>
      <c r="D470" s="39">
        <v>80339.64274000001</v>
      </c>
      <c r="E470" s="39">
        <v>79485.443139083378</v>
      </c>
      <c r="F470" s="39">
        <v>0</v>
      </c>
      <c r="G470" s="39">
        <v>0</v>
      </c>
      <c r="H470" s="40">
        <v>-1.0632354984214221E-2</v>
      </c>
      <c r="I470" s="40">
        <v>0</v>
      </c>
      <c r="J470" s="40">
        <v>-1.0632354984214221E-2</v>
      </c>
    </row>
    <row r="471" spans="1:10" ht="11.25" customHeight="1" x14ac:dyDescent="0.2">
      <c r="A471" s="49">
        <v>44621</v>
      </c>
      <c r="B471" s="39">
        <v>0</v>
      </c>
      <c r="C471" s="39">
        <v>0</v>
      </c>
      <c r="D471" s="39">
        <v>65807.173834570902</v>
      </c>
      <c r="E471" s="39">
        <v>65107.488601853853</v>
      </c>
      <c r="F471" s="39">
        <v>0</v>
      </c>
      <c r="G471" s="39">
        <v>0</v>
      </c>
      <c r="H471" s="40">
        <v>-1.0632354984214221E-2</v>
      </c>
      <c r="I471" s="40">
        <v>0</v>
      </c>
      <c r="J471" s="40">
        <v>-1.0632354984214221E-2</v>
      </c>
    </row>
    <row r="472" spans="1:10" ht="11.25" customHeight="1" x14ac:dyDescent="0.2">
      <c r="A472" s="49">
        <v>44652</v>
      </c>
      <c r="B472" s="39">
        <v>0</v>
      </c>
      <c r="C472" s="39">
        <v>0</v>
      </c>
      <c r="D472" s="39">
        <v>-14344.913424979111</v>
      </c>
      <c r="E472" s="39">
        <v>-14192.393213226915</v>
      </c>
      <c r="F472" s="39">
        <v>0</v>
      </c>
      <c r="G472" s="39">
        <v>0</v>
      </c>
      <c r="H472" s="40">
        <v>-1.063235498421411E-2</v>
      </c>
      <c r="I472" s="40">
        <v>0</v>
      </c>
      <c r="J472" s="40">
        <v>-1.063235498421411E-2</v>
      </c>
    </row>
    <row r="473" spans="1:10" ht="11.25" customHeight="1" x14ac:dyDescent="0.2">
      <c r="A473" s="49">
        <v>44682</v>
      </c>
      <c r="B473" s="39">
        <v>0</v>
      </c>
      <c r="C473" s="39">
        <v>0</v>
      </c>
      <c r="D473" s="39">
        <v>22567.445254269598</v>
      </c>
      <c r="E473" s="39">
        <v>22327.500165239384</v>
      </c>
      <c r="F473" s="39">
        <v>0</v>
      </c>
      <c r="G473" s="39">
        <v>0</v>
      </c>
      <c r="H473" s="40">
        <v>-1.0632354984214221E-2</v>
      </c>
      <c r="I473" s="40">
        <v>0</v>
      </c>
      <c r="J473" s="40">
        <v>-1.0632354984214221E-2</v>
      </c>
    </row>
    <row r="474" spans="1:10" ht="11.25" customHeight="1" x14ac:dyDescent="0.2">
      <c r="A474" s="49">
        <v>44713</v>
      </c>
      <c r="B474" s="39">
        <v>0</v>
      </c>
      <c r="C474" s="39">
        <v>0</v>
      </c>
      <c r="D474" s="39">
        <v>20010.642723737994</v>
      </c>
      <c r="E474" s="39">
        <v>19797.882466836927</v>
      </c>
      <c r="F474" s="39">
        <v>0</v>
      </c>
      <c r="G474" s="39">
        <v>0</v>
      </c>
      <c r="H474" s="40">
        <v>-1.0632354984214332E-2</v>
      </c>
      <c r="I474" s="40">
        <v>0</v>
      </c>
      <c r="J474" s="40">
        <v>-1.0632354984214332E-2</v>
      </c>
    </row>
    <row r="475" spans="1:10" ht="11.25" customHeight="1" x14ac:dyDescent="0.2">
      <c r="A475" s="49">
        <v>44743</v>
      </c>
      <c r="B475" s="39">
        <v>0</v>
      </c>
      <c r="C475" s="39">
        <v>0</v>
      </c>
      <c r="D475" s="39">
        <v>29810.940324589203</v>
      </c>
      <c r="E475" s="39">
        <v>29493.979824644943</v>
      </c>
      <c r="F475" s="39">
        <v>0</v>
      </c>
      <c r="G475" s="39">
        <v>0</v>
      </c>
      <c r="H475" s="40">
        <v>-1.0632354984214221E-2</v>
      </c>
      <c r="I475" s="40">
        <v>0</v>
      </c>
      <c r="J475" s="40">
        <v>-1.0632354984214221E-2</v>
      </c>
    </row>
    <row r="476" spans="1:10" ht="11.25" customHeight="1" x14ac:dyDescent="0.2">
      <c r="A476" s="49">
        <v>44774</v>
      </c>
      <c r="B476" s="39">
        <v>0</v>
      </c>
      <c r="C476" s="39">
        <v>0</v>
      </c>
      <c r="D476" s="39">
        <v>29810.940324589203</v>
      </c>
      <c r="E476" s="39">
        <v>29493.979824644943</v>
      </c>
      <c r="F476" s="39">
        <v>0</v>
      </c>
      <c r="G476" s="39">
        <v>0</v>
      </c>
      <c r="H476" s="40">
        <v>-1.0632354984214221E-2</v>
      </c>
      <c r="I476" s="40">
        <v>0</v>
      </c>
      <c r="J476" s="40">
        <v>-1.0632354984214221E-2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6A79-E7A8-488B-A385-310E80F6E598}">
  <dimension ref="A1:G330"/>
  <sheetViews>
    <sheetView showGridLines="0" workbookViewId="0"/>
  </sheetViews>
  <sheetFormatPr defaultRowHeight="11.25" customHeight="1" x14ac:dyDescent="0.2"/>
  <cols>
    <col min="1" max="1" width="33.21875" style="14" bestFit="1" customWidth="1"/>
    <col min="2" max="2" width="19.77734375" style="39" bestFit="1" customWidth="1"/>
    <col min="3" max="3" width="21.109375" style="39" bestFit="1" customWidth="1"/>
    <col min="4" max="4" width="19.77734375" style="39" bestFit="1" customWidth="1"/>
    <col min="5" max="5" width="21.109375" style="39" bestFit="1" customWidth="1"/>
    <col min="6" max="7" width="13.77734375" style="39" bestFit="1" customWidth="1"/>
    <col min="8" max="16384" width="8.88671875" style="14"/>
  </cols>
  <sheetData>
    <row r="1" spans="1:7" ht="11.25" customHeight="1" x14ac:dyDescent="0.2">
      <c r="A1" s="38" t="s">
        <v>580</v>
      </c>
      <c r="B1" s="39" t="s">
        <v>606</v>
      </c>
      <c r="C1" s="39" t="s">
        <v>607</v>
      </c>
      <c r="D1" s="39" t="s">
        <v>608</v>
      </c>
      <c r="E1" s="39" t="s">
        <v>609</v>
      </c>
      <c r="F1" s="39" t="s">
        <v>610</v>
      </c>
      <c r="G1" s="39" t="s">
        <v>611</v>
      </c>
    </row>
    <row r="2" spans="1:7" ht="11.25" customHeight="1" x14ac:dyDescent="0.2">
      <c r="A2" s="41" t="s">
        <v>600</v>
      </c>
      <c r="B2" s="39">
        <v>0</v>
      </c>
      <c r="C2" s="39">
        <v>6786.1031801999998</v>
      </c>
      <c r="D2" s="39">
        <v>0</v>
      </c>
      <c r="E2" s="39">
        <v>6545.7606581213104</v>
      </c>
      <c r="F2" s="39">
        <v>6786.1031801999998</v>
      </c>
      <c r="G2" s="39">
        <v>6545.7606581213104</v>
      </c>
    </row>
    <row r="3" spans="1:7" ht="11.25" customHeight="1" x14ac:dyDescent="0.2">
      <c r="A3" s="42" t="s">
        <v>32</v>
      </c>
      <c r="B3" s="39">
        <v>0</v>
      </c>
      <c r="C3" s="39">
        <v>6786.1031801999998</v>
      </c>
      <c r="D3" s="39">
        <v>0</v>
      </c>
      <c r="E3" s="39">
        <v>6545.7606581213104</v>
      </c>
      <c r="F3" s="39">
        <v>6786.1031801999998</v>
      </c>
      <c r="G3" s="39">
        <v>6545.7606581213104</v>
      </c>
    </row>
    <row r="4" spans="1:7" ht="11.25" customHeight="1" x14ac:dyDescent="0.2">
      <c r="A4" s="43" t="s">
        <v>23</v>
      </c>
      <c r="B4" s="39">
        <v>0</v>
      </c>
      <c r="C4" s="39">
        <v>6786.1031801999998</v>
      </c>
      <c r="D4" s="39">
        <v>0</v>
      </c>
      <c r="E4" s="39">
        <v>6545.7606581213104</v>
      </c>
      <c r="F4" s="39">
        <v>6786.1031801999998</v>
      </c>
      <c r="G4" s="39">
        <v>6545.7606581213104</v>
      </c>
    </row>
    <row r="5" spans="1:7" ht="11.25" customHeight="1" x14ac:dyDescent="0.2">
      <c r="A5" s="44" t="s">
        <v>46</v>
      </c>
      <c r="B5" s="39">
        <v>0</v>
      </c>
      <c r="C5" s="39">
        <v>6786.1031801999998</v>
      </c>
      <c r="D5" s="39">
        <v>0</v>
      </c>
      <c r="E5" s="39">
        <v>6545.7606581213104</v>
      </c>
      <c r="F5" s="39">
        <v>6786.1031801999998</v>
      </c>
      <c r="G5" s="39">
        <v>6545.7606581213104</v>
      </c>
    </row>
    <row r="6" spans="1:7" ht="11.25" customHeight="1" x14ac:dyDescent="0.2">
      <c r="A6" s="45" t="s">
        <v>47</v>
      </c>
      <c r="B6" s="39">
        <v>0</v>
      </c>
      <c r="C6" s="39">
        <v>6786.1031801999998</v>
      </c>
      <c r="D6" s="39">
        <v>0</v>
      </c>
      <c r="E6" s="39">
        <v>6545.7606581213104</v>
      </c>
      <c r="F6" s="39">
        <v>6786.1031801999998</v>
      </c>
      <c r="G6" s="39">
        <v>6545.7606581213104</v>
      </c>
    </row>
    <row r="7" spans="1:7" ht="11.25" customHeight="1" x14ac:dyDescent="0.2">
      <c r="A7" s="46" t="s">
        <v>25</v>
      </c>
      <c r="B7" s="39">
        <v>0</v>
      </c>
      <c r="C7" s="39">
        <v>6786.1031801999998</v>
      </c>
      <c r="D7" s="39">
        <v>0</v>
      </c>
      <c r="E7" s="39">
        <v>6545.7606581213104</v>
      </c>
      <c r="F7" s="39">
        <v>6786.1031801999998</v>
      </c>
      <c r="G7" s="39">
        <v>6545.7606581213104</v>
      </c>
    </row>
    <row r="8" spans="1:7" ht="11.25" customHeight="1" x14ac:dyDescent="0.2">
      <c r="A8" s="47" t="s">
        <v>25</v>
      </c>
      <c r="B8" s="39">
        <v>0</v>
      </c>
      <c r="C8" s="39">
        <v>6786.1031801999998</v>
      </c>
      <c r="D8" s="39">
        <v>0</v>
      </c>
      <c r="E8" s="39">
        <v>6545.7606581213104</v>
      </c>
      <c r="F8" s="39">
        <v>6786.1031801999998</v>
      </c>
      <c r="G8" s="39">
        <v>6545.7606581213104</v>
      </c>
    </row>
    <row r="9" spans="1:7" ht="11.25" customHeight="1" x14ac:dyDescent="0.2">
      <c r="A9" s="48" t="s">
        <v>25</v>
      </c>
      <c r="B9" s="39">
        <v>0</v>
      </c>
      <c r="C9" s="39">
        <v>6786.1031801999998</v>
      </c>
      <c r="D9" s="39">
        <v>0</v>
      </c>
      <c r="E9" s="39">
        <v>6545.7606581213104</v>
      </c>
      <c r="F9" s="39">
        <v>6786.1031801999998</v>
      </c>
      <c r="G9" s="39">
        <v>6545.7606581213104</v>
      </c>
    </row>
    <row r="10" spans="1:7" ht="11.25" customHeight="1" x14ac:dyDescent="0.2">
      <c r="A10" s="49">
        <v>44440</v>
      </c>
      <c r="B10" s="39">
        <v>0</v>
      </c>
      <c r="C10" s="39">
        <v>560.36420820000012</v>
      </c>
      <c r="D10" s="39">
        <v>0</v>
      </c>
      <c r="E10" s="39">
        <v>540.51786288147116</v>
      </c>
      <c r="F10" s="39">
        <v>560.36420820000012</v>
      </c>
      <c r="G10" s="39">
        <v>540.51786288147116</v>
      </c>
    </row>
    <row r="11" spans="1:7" ht="11.25" customHeight="1" x14ac:dyDescent="0.2">
      <c r="A11" s="49">
        <v>44470</v>
      </c>
      <c r="B11" s="39">
        <v>0</v>
      </c>
      <c r="C11" s="39">
        <v>579.68299980000052</v>
      </c>
      <c r="D11" s="39">
        <v>0</v>
      </c>
      <c r="E11" s="39">
        <v>559.15244338515288</v>
      </c>
      <c r="F11" s="39">
        <v>579.68299980000052</v>
      </c>
      <c r="G11" s="39">
        <v>559.15244338515288</v>
      </c>
    </row>
    <row r="12" spans="1:7" ht="11.25" customHeight="1" x14ac:dyDescent="0.2">
      <c r="A12" s="49">
        <v>44501</v>
      </c>
      <c r="B12" s="39">
        <v>0</v>
      </c>
      <c r="C12" s="39">
        <v>603.29485619999991</v>
      </c>
      <c r="D12" s="39">
        <v>0</v>
      </c>
      <c r="E12" s="39">
        <v>581.92804177854043</v>
      </c>
      <c r="F12" s="39">
        <v>603.29485619999991</v>
      </c>
      <c r="G12" s="39">
        <v>581.92804177854043</v>
      </c>
    </row>
    <row r="13" spans="1:7" ht="11.25" customHeight="1" x14ac:dyDescent="0.2">
      <c r="A13" s="49">
        <v>44531</v>
      </c>
      <c r="B13" s="39">
        <v>0</v>
      </c>
      <c r="C13" s="39">
        <v>555.63388680000003</v>
      </c>
      <c r="D13" s="39">
        <v>0</v>
      </c>
      <c r="E13" s="39">
        <v>535.95507465114588</v>
      </c>
      <c r="F13" s="39">
        <v>555.63388680000003</v>
      </c>
      <c r="G13" s="39">
        <v>535.95507465114588</v>
      </c>
    </row>
    <row r="14" spans="1:7" ht="11.25" customHeight="1" x14ac:dyDescent="0.2">
      <c r="A14" s="49">
        <v>44562</v>
      </c>
      <c r="B14" s="39">
        <v>0</v>
      </c>
      <c r="C14" s="39">
        <v>524.11166100000014</v>
      </c>
      <c r="D14" s="39">
        <v>0</v>
      </c>
      <c r="E14" s="39">
        <v>505.54926736839025</v>
      </c>
      <c r="F14" s="39">
        <v>524.11166100000014</v>
      </c>
      <c r="G14" s="39">
        <v>505.54926736839025</v>
      </c>
    </row>
    <row r="15" spans="1:7" ht="11.25" customHeight="1" x14ac:dyDescent="0.2">
      <c r="A15" s="49">
        <v>44593</v>
      </c>
      <c r="B15" s="39">
        <v>0</v>
      </c>
      <c r="C15" s="39">
        <v>610.44996419999973</v>
      </c>
      <c r="D15" s="39">
        <v>0</v>
      </c>
      <c r="E15" s="39">
        <v>588.82973826138516</v>
      </c>
      <c r="F15" s="39">
        <v>610.44996419999973</v>
      </c>
      <c r="G15" s="39">
        <v>588.82973826138516</v>
      </c>
    </row>
    <row r="16" spans="1:7" ht="11.25" customHeight="1" x14ac:dyDescent="0.2">
      <c r="A16" s="49">
        <v>44621</v>
      </c>
      <c r="B16" s="39">
        <v>0</v>
      </c>
      <c r="C16" s="39">
        <v>568.83108600000071</v>
      </c>
      <c r="D16" s="39">
        <v>0</v>
      </c>
      <c r="E16" s="39">
        <v>548.6848703861715</v>
      </c>
      <c r="F16" s="39">
        <v>568.83108600000071</v>
      </c>
      <c r="G16" s="39">
        <v>548.6848703861715</v>
      </c>
    </row>
    <row r="17" spans="1:7" ht="11.25" customHeight="1" x14ac:dyDescent="0.2">
      <c r="A17" s="49">
        <v>44652</v>
      </c>
      <c r="B17" s="39">
        <v>0</v>
      </c>
      <c r="C17" s="39">
        <v>575.54893739999932</v>
      </c>
      <c r="D17" s="39">
        <v>0</v>
      </c>
      <c r="E17" s="39">
        <v>555.16479652839689</v>
      </c>
      <c r="F17" s="39">
        <v>575.54893739999932</v>
      </c>
      <c r="G17" s="39">
        <v>555.16479652839689</v>
      </c>
    </row>
    <row r="18" spans="1:7" ht="11.25" customHeight="1" x14ac:dyDescent="0.2">
      <c r="A18" s="49">
        <v>44682</v>
      </c>
      <c r="B18" s="39">
        <v>0</v>
      </c>
      <c r="C18" s="39">
        <v>559.96670219999965</v>
      </c>
      <c r="D18" s="39">
        <v>0</v>
      </c>
      <c r="E18" s="39">
        <v>540.13443529909046</v>
      </c>
      <c r="F18" s="39">
        <v>559.96670219999965</v>
      </c>
      <c r="G18" s="39">
        <v>540.13443529909046</v>
      </c>
    </row>
    <row r="19" spans="1:7" ht="11.25" customHeight="1" x14ac:dyDescent="0.2">
      <c r="A19" s="49">
        <v>44713</v>
      </c>
      <c r="B19" s="39">
        <v>0</v>
      </c>
      <c r="C19" s="39">
        <v>597.45151799999985</v>
      </c>
      <c r="D19" s="39">
        <v>0</v>
      </c>
      <c r="E19" s="39">
        <v>576.29165631755041</v>
      </c>
      <c r="F19" s="39">
        <v>597.45151799999985</v>
      </c>
      <c r="G19" s="39">
        <v>576.29165631755041</v>
      </c>
    </row>
    <row r="20" spans="1:7" ht="11.25" customHeight="1" x14ac:dyDescent="0.2">
      <c r="A20" s="49">
        <v>44743</v>
      </c>
      <c r="B20" s="39">
        <v>0</v>
      </c>
      <c r="C20" s="39">
        <v>525.3836802000003</v>
      </c>
      <c r="D20" s="39">
        <v>0</v>
      </c>
      <c r="E20" s="39">
        <v>506.77623563200723</v>
      </c>
      <c r="F20" s="39">
        <v>525.3836802000003</v>
      </c>
      <c r="G20" s="39">
        <v>506.77623563200723</v>
      </c>
    </row>
    <row r="21" spans="1:7" ht="11.25" customHeight="1" x14ac:dyDescent="0.2">
      <c r="A21" s="49">
        <v>44774</v>
      </c>
      <c r="B21" s="39">
        <v>0</v>
      </c>
      <c r="C21" s="39">
        <v>525.3836802000003</v>
      </c>
      <c r="D21" s="39">
        <v>0</v>
      </c>
      <c r="E21" s="39">
        <v>506.77623563200723</v>
      </c>
      <c r="F21" s="39">
        <v>525.3836802000003</v>
      </c>
      <c r="G21" s="39">
        <v>506.77623563200723</v>
      </c>
    </row>
    <row r="22" spans="1:7" ht="11.25" customHeight="1" x14ac:dyDescent="0.2">
      <c r="A22" s="41" t="s">
        <v>598</v>
      </c>
      <c r="B22" s="39">
        <v>0</v>
      </c>
      <c r="C22" s="39">
        <v>89565.624160000036</v>
      </c>
      <c r="D22" s="39">
        <v>0</v>
      </c>
      <c r="E22" s="39">
        <v>80009.449871406163</v>
      </c>
      <c r="F22" s="39">
        <v>89565.624160000036</v>
      </c>
      <c r="G22" s="39">
        <v>80009.449871406163</v>
      </c>
    </row>
    <row r="23" spans="1:7" ht="11.25" customHeight="1" x14ac:dyDescent="0.2">
      <c r="A23" s="42" t="s">
        <v>22</v>
      </c>
      <c r="B23" s="39">
        <v>0</v>
      </c>
      <c r="C23" s="39">
        <v>89565.624160000036</v>
      </c>
      <c r="D23" s="39">
        <v>0</v>
      </c>
      <c r="E23" s="39">
        <v>80009.449871406163</v>
      </c>
      <c r="F23" s="39">
        <v>89565.624160000036</v>
      </c>
      <c r="G23" s="39">
        <v>80009.449871406163</v>
      </c>
    </row>
    <row r="24" spans="1:7" ht="11.25" customHeight="1" x14ac:dyDescent="0.2">
      <c r="A24" s="43" t="s">
        <v>23</v>
      </c>
      <c r="B24" s="39">
        <v>0</v>
      </c>
      <c r="C24" s="39">
        <v>89565.624160000036</v>
      </c>
      <c r="D24" s="39">
        <v>0</v>
      </c>
      <c r="E24" s="39">
        <v>80009.449871406163</v>
      </c>
      <c r="F24" s="39">
        <v>89565.624160000036</v>
      </c>
      <c r="G24" s="39">
        <v>80009.449871406163</v>
      </c>
    </row>
    <row r="25" spans="1:7" ht="11.25" customHeight="1" x14ac:dyDescent="0.2">
      <c r="A25" s="44" t="s">
        <v>24</v>
      </c>
      <c r="B25" s="39">
        <v>0</v>
      </c>
      <c r="C25" s="39">
        <v>89565.624160000036</v>
      </c>
      <c r="D25" s="39">
        <v>0</v>
      </c>
      <c r="E25" s="39">
        <v>80009.449871406163</v>
      </c>
      <c r="F25" s="39">
        <v>89565.624160000036</v>
      </c>
      <c r="G25" s="39">
        <v>80009.449871406163</v>
      </c>
    </row>
    <row r="26" spans="1:7" ht="11.25" customHeight="1" x14ac:dyDescent="0.2">
      <c r="A26" s="45" t="s">
        <v>28</v>
      </c>
      <c r="B26" s="39">
        <v>0</v>
      </c>
      <c r="C26" s="39">
        <v>33868.325700000001</v>
      </c>
      <c r="D26" s="39">
        <v>0</v>
      </c>
      <c r="E26" s="39">
        <v>30254.296374979196</v>
      </c>
      <c r="F26" s="39">
        <v>33868.325700000001</v>
      </c>
      <c r="G26" s="39">
        <v>30254.296374979196</v>
      </c>
    </row>
    <row r="27" spans="1:7" ht="11.25" customHeight="1" x14ac:dyDescent="0.2">
      <c r="A27" s="46" t="s">
        <v>25</v>
      </c>
      <c r="B27" s="39">
        <v>0</v>
      </c>
      <c r="C27" s="39">
        <v>33868.325700000001</v>
      </c>
      <c r="D27" s="39">
        <v>0</v>
      </c>
      <c r="E27" s="39">
        <v>30254.296374979196</v>
      </c>
      <c r="F27" s="39">
        <v>33868.325700000001</v>
      </c>
      <c r="G27" s="39">
        <v>30254.296374979196</v>
      </c>
    </row>
    <row r="28" spans="1:7" ht="11.25" customHeight="1" x14ac:dyDescent="0.2">
      <c r="A28" s="47" t="s">
        <v>25</v>
      </c>
      <c r="B28" s="39">
        <v>0</v>
      </c>
      <c r="C28" s="39">
        <v>33868.325700000001</v>
      </c>
      <c r="D28" s="39">
        <v>0</v>
      </c>
      <c r="E28" s="39">
        <v>30254.296374979196</v>
      </c>
      <c r="F28" s="39">
        <v>33868.325700000001</v>
      </c>
      <c r="G28" s="39">
        <v>30254.296374979196</v>
      </c>
    </row>
    <row r="29" spans="1:7" ht="11.25" customHeight="1" x14ac:dyDescent="0.2">
      <c r="A29" s="48" t="s">
        <v>25</v>
      </c>
      <c r="B29" s="39">
        <v>0</v>
      </c>
      <c r="C29" s="39">
        <v>33868.325700000001</v>
      </c>
      <c r="D29" s="39">
        <v>0</v>
      </c>
      <c r="E29" s="39">
        <v>30254.296374979196</v>
      </c>
      <c r="F29" s="39">
        <v>33868.325700000001</v>
      </c>
      <c r="G29" s="39">
        <v>30254.296374979196</v>
      </c>
    </row>
    <row r="30" spans="1:7" ht="11.25" customHeight="1" x14ac:dyDescent="0.2">
      <c r="A30" s="49">
        <v>44440</v>
      </c>
      <c r="B30" s="39">
        <v>0</v>
      </c>
      <c r="C30" s="39">
        <v>2165.1516000000006</v>
      </c>
      <c r="D30" s="39">
        <v>0</v>
      </c>
      <c r="E30" s="39">
        <v>1934.112089962581</v>
      </c>
      <c r="F30" s="39">
        <v>2165.1516000000006</v>
      </c>
      <c r="G30" s="39">
        <v>1934.112089962581</v>
      </c>
    </row>
    <row r="31" spans="1:7" ht="11.25" customHeight="1" x14ac:dyDescent="0.2">
      <c r="A31" s="49">
        <v>44470</v>
      </c>
      <c r="B31" s="39">
        <v>0</v>
      </c>
      <c r="C31" s="39">
        <v>2194.2531000000008</v>
      </c>
      <c r="D31" s="39">
        <v>0</v>
      </c>
      <c r="E31" s="39">
        <v>1960.1082202040136</v>
      </c>
      <c r="F31" s="39">
        <v>2194.2531000000008</v>
      </c>
      <c r="G31" s="39">
        <v>1960.1082202040136</v>
      </c>
    </row>
    <row r="32" spans="1:7" ht="11.25" customHeight="1" x14ac:dyDescent="0.2">
      <c r="A32" s="49">
        <v>44501</v>
      </c>
      <c r="B32" s="39">
        <v>0</v>
      </c>
      <c r="C32" s="39">
        <v>2153.5110000000004</v>
      </c>
      <c r="D32" s="39">
        <v>0</v>
      </c>
      <c r="E32" s="39">
        <v>1923.7136378660077</v>
      </c>
      <c r="F32" s="39">
        <v>2153.5110000000004</v>
      </c>
      <c r="G32" s="39">
        <v>1923.7136378660077</v>
      </c>
    </row>
    <row r="33" spans="1:7" ht="11.25" customHeight="1" x14ac:dyDescent="0.2">
      <c r="A33" s="49">
        <v>44531</v>
      </c>
      <c r="B33" s="39">
        <v>0</v>
      </c>
      <c r="C33" s="39">
        <v>2165.1516000000006</v>
      </c>
      <c r="D33" s="39">
        <v>0</v>
      </c>
      <c r="E33" s="39">
        <v>1934.112089962581</v>
      </c>
      <c r="F33" s="39">
        <v>2165.1516000000006</v>
      </c>
      <c r="G33" s="39">
        <v>1934.112089962581</v>
      </c>
    </row>
    <row r="34" spans="1:7" ht="11.25" customHeight="1" x14ac:dyDescent="0.2">
      <c r="A34" s="49">
        <v>44562</v>
      </c>
      <c r="B34" s="39">
        <v>0</v>
      </c>
      <c r="C34" s="39">
        <v>2176.7922000000008</v>
      </c>
      <c r="D34" s="39">
        <v>0</v>
      </c>
      <c r="E34" s="39">
        <v>1944.510542059154</v>
      </c>
      <c r="F34" s="39">
        <v>2176.7922000000008</v>
      </c>
      <c r="G34" s="39">
        <v>1944.510542059154</v>
      </c>
    </row>
    <row r="35" spans="1:7" ht="11.25" customHeight="1" x14ac:dyDescent="0.2">
      <c r="A35" s="49">
        <v>44593</v>
      </c>
      <c r="B35" s="39">
        <v>0</v>
      </c>
      <c r="C35" s="39">
        <v>3177.8838000000005</v>
      </c>
      <c r="D35" s="39">
        <v>0</v>
      </c>
      <c r="E35" s="39">
        <v>2838.7774223644333</v>
      </c>
      <c r="F35" s="39">
        <v>3177.8838000000005</v>
      </c>
      <c r="G35" s="39">
        <v>2838.7774223644333</v>
      </c>
    </row>
    <row r="36" spans="1:7" ht="11.25" customHeight="1" x14ac:dyDescent="0.2">
      <c r="A36" s="49">
        <v>44621</v>
      </c>
      <c r="B36" s="39">
        <v>0</v>
      </c>
      <c r="C36" s="39">
        <v>3271.0086000000006</v>
      </c>
      <c r="D36" s="39">
        <v>0</v>
      </c>
      <c r="E36" s="39">
        <v>2921.9650391370174</v>
      </c>
      <c r="F36" s="39">
        <v>3271.0086000000006</v>
      </c>
      <c r="G36" s="39">
        <v>2921.9650391370174</v>
      </c>
    </row>
    <row r="37" spans="1:7" ht="11.25" customHeight="1" x14ac:dyDescent="0.2">
      <c r="A37" s="49">
        <v>44652</v>
      </c>
      <c r="B37" s="39">
        <v>0</v>
      </c>
      <c r="C37" s="39">
        <v>3352.4928000000009</v>
      </c>
      <c r="D37" s="39">
        <v>0</v>
      </c>
      <c r="E37" s="39">
        <v>2994.7542038130287</v>
      </c>
      <c r="F37" s="39">
        <v>3352.4928000000009</v>
      </c>
      <c r="G37" s="39">
        <v>2994.7542038130287</v>
      </c>
    </row>
    <row r="38" spans="1:7" ht="11.25" customHeight="1" x14ac:dyDescent="0.2">
      <c r="A38" s="49">
        <v>44682</v>
      </c>
      <c r="B38" s="39">
        <v>0</v>
      </c>
      <c r="C38" s="39">
        <v>3643.5078000000012</v>
      </c>
      <c r="D38" s="39">
        <v>0</v>
      </c>
      <c r="E38" s="39">
        <v>3254.7155062273541</v>
      </c>
      <c r="F38" s="39">
        <v>3643.5078000000012</v>
      </c>
      <c r="G38" s="39">
        <v>3254.7155062273541</v>
      </c>
    </row>
    <row r="39" spans="1:7" ht="11.25" customHeight="1" x14ac:dyDescent="0.2">
      <c r="A39" s="49">
        <v>44713</v>
      </c>
      <c r="B39" s="39">
        <v>0</v>
      </c>
      <c r="C39" s="39">
        <v>3492.1800000000007</v>
      </c>
      <c r="D39" s="39">
        <v>0</v>
      </c>
      <c r="E39" s="39">
        <v>3119.5356289719048</v>
      </c>
      <c r="F39" s="39">
        <v>3492.1800000000007</v>
      </c>
      <c r="G39" s="39">
        <v>3119.5356289719048</v>
      </c>
    </row>
    <row r="40" spans="1:7" ht="11.25" customHeight="1" x14ac:dyDescent="0.2">
      <c r="A40" s="49">
        <v>44743</v>
      </c>
      <c r="B40" s="39">
        <v>0</v>
      </c>
      <c r="C40" s="39">
        <v>3038.1966000000007</v>
      </c>
      <c r="D40" s="39">
        <v>0</v>
      </c>
      <c r="E40" s="39">
        <v>2713.9959972055572</v>
      </c>
      <c r="F40" s="39">
        <v>3038.1966000000007</v>
      </c>
      <c r="G40" s="39">
        <v>2713.9959972055572</v>
      </c>
    </row>
    <row r="41" spans="1:7" ht="11.25" customHeight="1" x14ac:dyDescent="0.2">
      <c r="A41" s="49">
        <v>44774</v>
      </c>
      <c r="B41" s="39">
        <v>0</v>
      </c>
      <c r="C41" s="39">
        <v>3038.1966000000007</v>
      </c>
      <c r="D41" s="39">
        <v>0</v>
      </c>
      <c r="E41" s="39">
        <v>2713.9959972055572</v>
      </c>
      <c r="F41" s="39">
        <v>3038.1966000000007</v>
      </c>
      <c r="G41" s="39">
        <v>2713.9959972055572</v>
      </c>
    </row>
    <row r="42" spans="1:7" ht="11.25" customHeight="1" x14ac:dyDescent="0.2">
      <c r="A42" s="45" t="s">
        <v>29</v>
      </c>
      <c r="B42" s="39">
        <v>0</v>
      </c>
      <c r="C42" s="39">
        <v>43736.616260000003</v>
      </c>
      <c r="D42" s="39">
        <v>0</v>
      </c>
      <c r="E42" s="39">
        <v>39069.810772779274</v>
      </c>
      <c r="F42" s="39">
        <v>43736.616260000003</v>
      </c>
      <c r="G42" s="39">
        <v>39069.810772779274</v>
      </c>
    </row>
    <row r="43" spans="1:7" ht="11.25" customHeight="1" x14ac:dyDescent="0.2">
      <c r="A43" s="46" t="s">
        <v>25</v>
      </c>
      <c r="B43" s="39">
        <v>0</v>
      </c>
      <c r="C43" s="39">
        <v>43736.616260000003</v>
      </c>
      <c r="D43" s="39">
        <v>0</v>
      </c>
      <c r="E43" s="39">
        <v>39069.810772779274</v>
      </c>
      <c r="F43" s="39">
        <v>43736.616260000003</v>
      </c>
      <c r="G43" s="39">
        <v>39069.810772779274</v>
      </c>
    </row>
    <row r="44" spans="1:7" ht="11.25" customHeight="1" x14ac:dyDescent="0.2">
      <c r="A44" s="47" t="s">
        <v>25</v>
      </c>
      <c r="B44" s="39">
        <v>0</v>
      </c>
      <c r="C44" s="39">
        <v>43736.616260000003</v>
      </c>
      <c r="D44" s="39">
        <v>0</v>
      </c>
      <c r="E44" s="39">
        <v>39069.810772779274</v>
      </c>
      <c r="F44" s="39">
        <v>43736.616260000003</v>
      </c>
      <c r="G44" s="39">
        <v>39069.810772779274</v>
      </c>
    </row>
    <row r="45" spans="1:7" ht="11.25" customHeight="1" x14ac:dyDescent="0.2">
      <c r="A45" s="48" t="s">
        <v>25</v>
      </c>
      <c r="B45" s="39">
        <v>0</v>
      </c>
      <c r="C45" s="39">
        <v>43736.616260000003</v>
      </c>
      <c r="D45" s="39">
        <v>0</v>
      </c>
      <c r="E45" s="39">
        <v>39069.810772779274</v>
      </c>
      <c r="F45" s="39">
        <v>43736.616260000003</v>
      </c>
      <c r="G45" s="39">
        <v>39069.810772779274</v>
      </c>
    </row>
    <row r="46" spans="1:7" ht="11.25" customHeight="1" x14ac:dyDescent="0.2">
      <c r="A46" s="49">
        <v>44440</v>
      </c>
      <c r="B46" s="39">
        <v>0</v>
      </c>
      <c r="C46" s="39">
        <v>2806.1425600000007</v>
      </c>
      <c r="D46" s="39">
        <v>0</v>
      </c>
      <c r="E46" s="39">
        <v>2506.7201854138689</v>
      </c>
      <c r="F46" s="39">
        <v>2806.1425600000007</v>
      </c>
      <c r="G46" s="39">
        <v>2506.7201854138689</v>
      </c>
    </row>
    <row r="47" spans="1:7" ht="11.25" customHeight="1" x14ac:dyDescent="0.2">
      <c r="A47" s="49">
        <v>44470</v>
      </c>
      <c r="B47" s="39">
        <v>0</v>
      </c>
      <c r="C47" s="39">
        <v>2859.1517200000003</v>
      </c>
      <c r="D47" s="39">
        <v>0</v>
      </c>
      <c r="E47" s="39">
        <v>2554.073136499801</v>
      </c>
      <c r="F47" s="39">
        <v>2859.1517200000003</v>
      </c>
      <c r="G47" s="39">
        <v>2554.073136499801</v>
      </c>
    </row>
    <row r="48" spans="1:7" ht="11.25" customHeight="1" x14ac:dyDescent="0.2">
      <c r="A48" s="49">
        <v>44501</v>
      </c>
      <c r="B48" s="39">
        <v>0</v>
      </c>
      <c r="C48" s="39">
        <v>2880.4031400000003</v>
      </c>
      <c r="D48" s="39">
        <v>0</v>
      </c>
      <c r="E48" s="39">
        <v>2573.0569772504678</v>
      </c>
      <c r="F48" s="39">
        <v>2880.4031400000003</v>
      </c>
      <c r="G48" s="39">
        <v>2573.0569772504678</v>
      </c>
    </row>
    <row r="49" spans="1:7" ht="11.25" customHeight="1" x14ac:dyDescent="0.2">
      <c r="A49" s="49">
        <v>44531</v>
      </c>
      <c r="B49" s="39">
        <v>0</v>
      </c>
      <c r="C49" s="39">
        <v>2777.4889600000001</v>
      </c>
      <c r="D49" s="39">
        <v>0</v>
      </c>
      <c r="E49" s="39">
        <v>2481.1239956376889</v>
      </c>
      <c r="F49" s="39">
        <v>2777.4889600000001</v>
      </c>
      <c r="G49" s="39">
        <v>2481.1239956376889</v>
      </c>
    </row>
    <row r="50" spans="1:7" ht="11.25" customHeight="1" x14ac:dyDescent="0.2">
      <c r="A50" s="49">
        <v>44562</v>
      </c>
      <c r="B50" s="39">
        <v>0</v>
      </c>
      <c r="C50" s="39">
        <v>2799.6955000000003</v>
      </c>
      <c r="D50" s="39">
        <v>0</v>
      </c>
      <c r="E50" s="39">
        <v>2500.9610427142279</v>
      </c>
      <c r="F50" s="39">
        <v>2799.6955000000003</v>
      </c>
      <c r="G50" s="39">
        <v>2500.9610427142279</v>
      </c>
    </row>
    <row r="51" spans="1:7" ht="11.25" customHeight="1" x14ac:dyDescent="0.2">
      <c r="A51" s="49">
        <v>44593</v>
      </c>
      <c r="B51" s="39">
        <v>0</v>
      </c>
      <c r="C51" s="39">
        <v>4130.1776600000003</v>
      </c>
      <c r="D51" s="39">
        <v>0</v>
      </c>
      <c r="E51" s="39">
        <v>3689.4774546548406</v>
      </c>
      <c r="F51" s="39">
        <v>4130.1776600000003</v>
      </c>
      <c r="G51" s="39">
        <v>3689.4774546548406</v>
      </c>
    </row>
    <row r="52" spans="1:7" ht="11.25" customHeight="1" x14ac:dyDescent="0.2">
      <c r="A52" s="49">
        <v>44621</v>
      </c>
      <c r="B52" s="39">
        <v>0</v>
      </c>
      <c r="C52" s="39">
        <v>4285.6234400000003</v>
      </c>
      <c r="D52" s="39">
        <v>0</v>
      </c>
      <c r="E52" s="39">
        <v>3828.3367841906156</v>
      </c>
      <c r="F52" s="39">
        <v>4285.6234400000003</v>
      </c>
      <c r="G52" s="39">
        <v>3828.3367841906156</v>
      </c>
    </row>
    <row r="53" spans="1:7" ht="11.25" customHeight="1" x14ac:dyDescent="0.2">
      <c r="A53" s="49">
        <v>44652</v>
      </c>
      <c r="B53" s="39">
        <v>0</v>
      </c>
      <c r="C53" s="39">
        <v>4325.7384800000009</v>
      </c>
      <c r="D53" s="39">
        <v>0</v>
      </c>
      <c r="E53" s="39">
        <v>3864.1714498772672</v>
      </c>
      <c r="F53" s="39">
        <v>4325.7384800000009</v>
      </c>
      <c r="G53" s="39">
        <v>3864.1714498772672</v>
      </c>
    </row>
    <row r="54" spans="1:7" ht="11.25" customHeight="1" x14ac:dyDescent="0.2">
      <c r="A54" s="49">
        <v>44682</v>
      </c>
      <c r="B54" s="39">
        <v>0</v>
      </c>
      <c r="C54" s="39">
        <v>4645.7036800000005</v>
      </c>
      <c r="D54" s="39">
        <v>0</v>
      </c>
      <c r="E54" s="39">
        <v>4149.9955690446077</v>
      </c>
      <c r="F54" s="39">
        <v>4645.7036800000005</v>
      </c>
      <c r="G54" s="39">
        <v>4149.9955690446077</v>
      </c>
    </row>
    <row r="55" spans="1:7" ht="11.25" customHeight="1" x14ac:dyDescent="0.2">
      <c r="A55" s="49">
        <v>44713</v>
      </c>
      <c r="B55" s="39">
        <v>0</v>
      </c>
      <c r="C55" s="39">
        <v>4492.4069200000004</v>
      </c>
      <c r="D55" s="39">
        <v>0</v>
      </c>
      <c r="E55" s="39">
        <v>4013.0559537420459</v>
      </c>
      <c r="F55" s="39">
        <v>4492.4069200000004</v>
      </c>
      <c r="G55" s="39">
        <v>4013.0559537420459</v>
      </c>
    </row>
    <row r="56" spans="1:7" ht="11.25" customHeight="1" x14ac:dyDescent="0.2">
      <c r="A56" s="49">
        <v>44743</v>
      </c>
      <c r="B56" s="39">
        <v>0</v>
      </c>
      <c r="C56" s="39">
        <v>3867.0421000000006</v>
      </c>
      <c r="D56" s="39">
        <v>0</v>
      </c>
      <c r="E56" s="39">
        <v>3454.4191118769231</v>
      </c>
      <c r="F56" s="39">
        <v>3867.0421000000006</v>
      </c>
      <c r="G56" s="39">
        <v>3454.4191118769231</v>
      </c>
    </row>
    <row r="57" spans="1:7" ht="11.25" customHeight="1" x14ac:dyDescent="0.2">
      <c r="A57" s="49">
        <v>44774</v>
      </c>
      <c r="B57" s="39">
        <v>0</v>
      </c>
      <c r="C57" s="39">
        <v>3867.0421000000006</v>
      </c>
      <c r="D57" s="39">
        <v>0</v>
      </c>
      <c r="E57" s="39">
        <v>3454.4191118769231</v>
      </c>
      <c r="F57" s="39">
        <v>3867.0421000000006</v>
      </c>
      <c r="G57" s="39">
        <v>3454.4191118769231</v>
      </c>
    </row>
    <row r="58" spans="1:7" ht="11.25" customHeight="1" x14ac:dyDescent="0.2">
      <c r="A58" s="45" t="s">
        <v>30</v>
      </c>
      <c r="B58" s="39">
        <v>0</v>
      </c>
      <c r="C58" s="39">
        <v>11960.68220000001</v>
      </c>
      <c r="D58" s="39">
        <v>0</v>
      </c>
      <c r="E58" s="39">
        <v>10685.342723647695</v>
      </c>
      <c r="F58" s="39">
        <v>11960.68220000001</v>
      </c>
      <c r="G58" s="39">
        <v>10685.342723647695</v>
      </c>
    </row>
    <row r="59" spans="1:7" ht="11.25" customHeight="1" x14ac:dyDescent="0.2">
      <c r="A59" s="46" t="s">
        <v>25</v>
      </c>
      <c r="B59" s="39">
        <v>0</v>
      </c>
      <c r="C59" s="39">
        <v>11960.68220000001</v>
      </c>
      <c r="D59" s="39">
        <v>0</v>
      </c>
      <c r="E59" s="39">
        <v>10685.342723647695</v>
      </c>
      <c r="F59" s="39">
        <v>11960.68220000001</v>
      </c>
      <c r="G59" s="39">
        <v>10685.342723647695</v>
      </c>
    </row>
    <row r="60" spans="1:7" ht="11.25" customHeight="1" x14ac:dyDescent="0.2">
      <c r="A60" s="47" t="s">
        <v>25</v>
      </c>
      <c r="B60" s="39">
        <v>0</v>
      </c>
      <c r="C60" s="39">
        <v>11960.68220000001</v>
      </c>
      <c r="D60" s="39">
        <v>0</v>
      </c>
      <c r="E60" s="39">
        <v>10685.342723647695</v>
      </c>
      <c r="F60" s="39">
        <v>11960.68220000001</v>
      </c>
      <c r="G60" s="39">
        <v>10685.342723647695</v>
      </c>
    </row>
    <row r="61" spans="1:7" ht="11.25" customHeight="1" x14ac:dyDescent="0.2">
      <c r="A61" s="48" t="s">
        <v>25</v>
      </c>
      <c r="B61" s="39">
        <v>0</v>
      </c>
      <c r="C61" s="39">
        <v>11960.68220000001</v>
      </c>
      <c r="D61" s="39">
        <v>0</v>
      </c>
      <c r="E61" s="39">
        <v>10685.342723647695</v>
      </c>
      <c r="F61" s="39">
        <v>11960.68220000001</v>
      </c>
      <c r="G61" s="39">
        <v>10685.342723647695</v>
      </c>
    </row>
    <row r="62" spans="1:7" ht="11.25" customHeight="1" x14ac:dyDescent="0.2">
      <c r="A62" s="49">
        <v>44440</v>
      </c>
      <c r="B62" s="39">
        <v>0</v>
      </c>
      <c r="C62" s="39">
        <v>740.63352000000066</v>
      </c>
      <c r="D62" s="39">
        <v>0</v>
      </c>
      <c r="E62" s="39">
        <v>661.66150571424589</v>
      </c>
      <c r="F62" s="39">
        <v>740.63352000000066</v>
      </c>
      <c r="G62" s="39">
        <v>661.66150571424589</v>
      </c>
    </row>
    <row r="63" spans="1:7" ht="11.25" customHeight="1" x14ac:dyDescent="0.2">
      <c r="A63" s="49">
        <v>44470</v>
      </c>
      <c r="B63" s="39">
        <v>0</v>
      </c>
      <c r="C63" s="39">
        <v>743.43895000000066</v>
      </c>
      <c r="D63" s="39">
        <v>0</v>
      </c>
      <c r="E63" s="39">
        <v>664.16779929649681</v>
      </c>
      <c r="F63" s="39">
        <v>743.43895000000066</v>
      </c>
      <c r="G63" s="39">
        <v>664.16779929649681</v>
      </c>
    </row>
    <row r="64" spans="1:7" ht="11.25" customHeight="1" x14ac:dyDescent="0.2">
      <c r="A64" s="49">
        <v>44501</v>
      </c>
      <c r="B64" s="39">
        <v>0</v>
      </c>
      <c r="C64" s="39">
        <v>806.17314000000079</v>
      </c>
      <c r="D64" s="39">
        <v>0</v>
      </c>
      <c r="E64" s="39">
        <v>720.2127898272571</v>
      </c>
      <c r="F64" s="39">
        <v>806.17314000000079</v>
      </c>
      <c r="G64" s="39">
        <v>720.2127898272571</v>
      </c>
    </row>
    <row r="65" spans="1:7" ht="11.25" customHeight="1" x14ac:dyDescent="0.2">
      <c r="A65" s="49">
        <v>44531</v>
      </c>
      <c r="B65" s="39">
        <v>0</v>
      </c>
      <c r="C65" s="39">
        <v>685.3605800000006</v>
      </c>
      <c r="D65" s="39">
        <v>0</v>
      </c>
      <c r="E65" s="39">
        <v>612.28218960436584</v>
      </c>
      <c r="F65" s="39">
        <v>685.3605800000006</v>
      </c>
      <c r="G65" s="39">
        <v>612.28218960436584</v>
      </c>
    </row>
    <row r="66" spans="1:7" ht="11.25" customHeight="1" x14ac:dyDescent="0.2">
      <c r="A66" s="49">
        <v>44562</v>
      </c>
      <c r="B66" s="39">
        <v>0</v>
      </c>
      <c r="C66" s="39">
        <v>790.77312000000063</v>
      </c>
      <c r="D66" s="39">
        <v>0</v>
      </c>
      <c r="E66" s="39">
        <v>706.45483782256042</v>
      </c>
      <c r="F66" s="39">
        <v>790.77312000000063</v>
      </c>
      <c r="G66" s="39">
        <v>706.45483782256042</v>
      </c>
    </row>
    <row r="67" spans="1:7" ht="11.25" customHeight="1" x14ac:dyDescent="0.2">
      <c r="A67" s="49">
        <v>44593</v>
      </c>
      <c r="B67" s="39">
        <v>0</v>
      </c>
      <c r="C67" s="39">
        <v>1341.8312000000012</v>
      </c>
      <c r="D67" s="39">
        <v>0</v>
      </c>
      <c r="E67" s="39">
        <v>1198.7548878510838</v>
      </c>
      <c r="F67" s="39">
        <v>1341.8312000000012</v>
      </c>
      <c r="G67" s="39">
        <v>1198.7548878510838</v>
      </c>
    </row>
    <row r="68" spans="1:7" ht="11.25" customHeight="1" x14ac:dyDescent="0.2">
      <c r="A68" s="49">
        <v>44621</v>
      </c>
      <c r="B68" s="39">
        <v>0</v>
      </c>
      <c r="C68" s="39">
        <v>1281.5443000000012</v>
      </c>
      <c r="D68" s="39">
        <v>0</v>
      </c>
      <c r="E68" s="39">
        <v>1144.8962385303723</v>
      </c>
      <c r="F68" s="39">
        <v>1281.5443000000012</v>
      </c>
      <c r="G68" s="39">
        <v>1144.8962385303723</v>
      </c>
    </row>
    <row r="69" spans="1:7" ht="11.25" customHeight="1" x14ac:dyDescent="0.2">
      <c r="A69" s="49">
        <v>44652</v>
      </c>
      <c r="B69" s="39">
        <v>0</v>
      </c>
      <c r="C69" s="39">
        <v>1110.174310000001</v>
      </c>
      <c r="D69" s="39">
        <v>0</v>
      </c>
      <c r="E69" s="39">
        <v>991.79902843159732</v>
      </c>
      <c r="F69" s="39">
        <v>1110.174310000001</v>
      </c>
      <c r="G69" s="39">
        <v>991.79902843159732</v>
      </c>
    </row>
    <row r="70" spans="1:7" ht="11.25" customHeight="1" x14ac:dyDescent="0.2">
      <c r="A70" s="49">
        <v>44682</v>
      </c>
      <c r="B70" s="39">
        <v>0</v>
      </c>
      <c r="C70" s="39">
        <v>1158.582900000001</v>
      </c>
      <c r="D70" s="39">
        <v>0</v>
      </c>
      <c r="E70" s="39">
        <v>1035.0459240742678</v>
      </c>
      <c r="F70" s="39">
        <v>1158.582900000001</v>
      </c>
      <c r="G70" s="39">
        <v>1035.0459240742678</v>
      </c>
    </row>
    <row r="71" spans="1:7" ht="11.25" customHeight="1" x14ac:dyDescent="0.2">
      <c r="A71" s="49">
        <v>44713</v>
      </c>
      <c r="B71" s="39">
        <v>0</v>
      </c>
      <c r="C71" s="39">
        <v>1208.3643600000012</v>
      </c>
      <c r="D71" s="39">
        <v>0</v>
      </c>
      <c r="E71" s="39">
        <v>1079.5193038103801</v>
      </c>
      <c r="F71" s="39">
        <v>1208.3643600000012</v>
      </c>
      <c r="G71" s="39">
        <v>1079.5193038103801</v>
      </c>
    </row>
    <row r="72" spans="1:7" ht="11.25" customHeight="1" x14ac:dyDescent="0.2">
      <c r="A72" s="49">
        <v>44743</v>
      </c>
      <c r="B72" s="39">
        <v>0</v>
      </c>
      <c r="C72" s="39">
        <v>1046.9029100000012</v>
      </c>
      <c r="D72" s="39">
        <v>0</v>
      </c>
      <c r="E72" s="39">
        <v>935.27410934253385</v>
      </c>
      <c r="F72" s="39">
        <v>1046.9029100000012</v>
      </c>
      <c r="G72" s="39">
        <v>935.27410934253385</v>
      </c>
    </row>
    <row r="73" spans="1:7" ht="11.25" customHeight="1" x14ac:dyDescent="0.2">
      <c r="A73" s="49">
        <v>44774</v>
      </c>
      <c r="B73" s="39">
        <v>0</v>
      </c>
      <c r="C73" s="39">
        <v>1046.9029100000012</v>
      </c>
      <c r="D73" s="39">
        <v>0</v>
      </c>
      <c r="E73" s="39">
        <v>935.27410934253385</v>
      </c>
      <c r="F73" s="39">
        <v>1046.9029100000012</v>
      </c>
      <c r="G73" s="39">
        <v>935.27410934253385</v>
      </c>
    </row>
    <row r="74" spans="1:7" ht="11.25" customHeight="1" x14ac:dyDescent="0.2">
      <c r="A74" s="45" t="s">
        <v>31</v>
      </c>
      <c r="B74" s="39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</row>
    <row r="75" spans="1:7" ht="11.25" customHeight="1" x14ac:dyDescent="0.2">
      <c r="A75" s="46" t="s">
        <v>25</v>
      </c>
      <c r="B75" s="39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</row>
    <row r="76" spans="1:7" ht="11.25" customHeight="1" x14ac:dyDescent="0.2">
      <c r="A76" s="47" t="s">
        <v>25</v>
      </c>
      <c r="B76" s="39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</row>
    <row r="77" spans="1:7" ht="11.25" customHeight="1" x14ac:dyDescent="0.2">
      <c r="A77" s="48" t="s">
        <v>25</v>
      </c>
      <c r="B77" s="39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</row>
    <row r="78" spans="1:7" ht="11.25" customHeight="1" x14ac:dyDescent="0.2">
      <c r="A78" s="49">
        <v>44440</v>
      </c>
      <c r="B78" s="39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</row>
    <row r="79" spans="1:7" ht="11.25" customHeight="1" x14ac:dyDescent="0.2">
      <c r="A79" s="49">
        <v>44470</v>
      </c>
      <c r="B79" s="39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</row>
    <row r="80" spans="1:7" ht="11.25" customHeight="1" x14ac:dyDescent="0.2">
      <c r="A80" s="49">
        <v>44501</v>
      </c>
      <c r="B80" s="39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</row>
    <row r="81" spans="1:7" ht="11.25" customHeight="1" x14ac:dyDescent="0.2">
      <c r="A81" s="49">
        <v>44531</v>
      </c>
      <c r="B81" s="39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</row>
    <row r="82" spans="1:7" ht="11.25" customHeight="1" x14ac:dyDescent="0.2">
      <c r="A82" s="49">
        <v>44562</v>
      </c>
      <c r="B82" s="39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</row>
    <row r="83" spans="1:7" ht="11.25" customHeight="1" x14ac:dyDescent="0.2">
      <c r="A83" s="49">
        <v>44593</v>
      </c>
      <c r="B83" s="39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</row>
    <row r="84" spans="1:7" ht="11.25" customHeight="1" x14ac:dyDescent="0.2">
      <c r="A84" s="49">
        <v>44621</v>
      </c>
      <c r="B84" s="39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</row>
    <row r="85" spans="1:7" ht="11.25" customHeight="1" x14ac:dyDescent="0.2">
      <c r="A85" s="49">
        <v>44652</v>
      </c>
      <c r="B85" s="39">
        <v>0</v>
      </c>
      <c r="C85" s="39">
        <v>0</v>
      </c>
      <c r="D85" s="39">
        <v>0</v>
      </c>
      <c r="E85" s="39">
        <v>0</v>
      </c>
      <c r="F85" s="39">
        <v>0</v>
      </c>
      <c r="G85" s="39">
        <v>0</v>
      </c>
    </row>
    <row r="86" spans="1:7" ht="11.25" customHeight="1" x14ac:dyDescent="0.2">
      <c r="A86" s="49">
        <v>44682</v>
      </c>
      <c r="B86" s="39">
        <v>0</v>
      </c>
      <c r="C86" s="39">
        <v>0</v>
      </c>
      <c r="D86" s="39">
        <v>0</v>
      </c>
      <c r="E86" s="39">
        <v>0</v>
      </c>
      <c r="F86" s="39">
        <v>0</v>
      </c>
      <c r="G86" s="39">
        <v>0</v>
      </c>
    </row>
    <row r="87" spans="1:7" ht="11.25" customHeight="1" x14ac:dyDescent="0.2">
      <c r="A87" s="49">
        <v>44713</v>
      </c>
      <c r="B87" s="39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</row>
    <row r="88" spans="1:7" ht="11.25" customHeight="1" x14ac:dyDescent="0.2">
      <c r="A88" s="49">
        <v>44743</v>
      </c>
      <c r="B88" s="39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</row>
    <row r="89" spans="1:7" ht="11.25" customHeight="1" x14ac:dyDescent="0.2">
      <c r="A89" s="49">
        <v>44774</v>
      </c>
      <c r="B89" s="39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</row>
    <row r="90" spans="1:7" ht="11.25" customHeight="1" x14ac:dyDescent="0.2">
      <c r="A90" s="41" t="s">
        <v>596</v>
      </c>
      <c r="B90" s="39">
        <v>234718.23626653862</v>
      </c>
      <c r="C90" s="39">
        <v>848498.06826770422</v>
      </c>
      <c r="D90" s="39">
        <v>264057.20977407467</v>
      </c>
      <c r="E90" s="39">
        <v>997563.26894660224</v>
      </c>
      <c r="F90" s="39">
        <v>1083216.304534243</v>
      </c>
      <c r="G90" s="39">
        <v>1261620.4787206769</v>
      </c>
    </row>
    <row r="91" spans="1:7" ht="11.25" customHeight="1" x14ac:dyDescent="0.2">
      <c r="A91" s="42" t="s">
        <v>34</v>
      </c>
      <c r="B91" s="39">
        <v>234718.23626653862</v>
      </c>
      <c r="C91" s="39">
        <v>848498.06826770422</v>
      </c>
      <c r="D91" s="39">
        <v>264057.20977407467</v>
      </c>
      <c r="E91" s="39">
        <v>997563.26894660224</v>
      </c>
      <c r="F91" s="39">
        <v>1083216.304534243</v>
      </c>
      <c r="G91" s="39">
        <v>1261620.4787206769</v>
      </c>
    </row>
    <row r="92" spans="1:7" ht="11.25" customHeight="1" x14ac:dyDescent="0.2">
      <c r="A92" s="43" t="s">
        <v>38</v>
      </c>
      <c r="B92" s="39">
        <v>234718.23626653862</v>
      </c>
      <c r="C92" s="39">
        <v>848498.06826770422</v>
      </c>
      <c r="D92" s="39">
        <v>264057.20977407467</v>
      </c>
      <c r="E92" s="39">
        <v>997563.26894660224</v>
      </c>
      <c r="F92" s="39">
        <v>1083216.304534243</v>
      </c>
      <c r="G92" s="39">
        <v>1261620.4787206769</v>
      </c>
    </row>
    <row r="93" spans="1:7" ht="11.25" customHeight="1" x14ac:dyDescent="0.2">
      <c r="A93" s="44" t="s">
        <v>33</v>
      </c>
      <c r="B93" s="39">
        <v>234718.23626653862</v>
      </c>
      <c r="C93" s="39">
        <v>848498.06826770422</v>
      </c>
      <c r="D93" s="39">
        <v>264057.20977407467</v>
      </c>
      <c r="E93" s="39">
        <v>997563.26894660224</v>
      </c>
      <c r="F93" s="39">
        <v>1083216.304534243</v>
      </c>
      <c r="G93" s="39">
        <v>1261620.4787206769</v>
      </c>
    </row>
    <row r="94" spans="1:7" ht="11.25" customHeight="1" x14ac:dyDescent="0.2">
      <c r="A94" s="45" t="s">
        <v>25</v>
      </c>
      <c r="B94" s="39">
        <v>234718.23626653862</v>
      </c>
      <c r="C94" s="39">
        <v>848498.06826770422</v>
      </c>
      <c r="D94" s="39">
        <v>264057.20977407467</v>
      </c>
      <c r="E94" s="39">
        <v>997563.26894660224</v>
      </c>
      <c r="F94" s="39">
        <v>1083216.304534243</v>
      </c>
      <c r="G94" s="39">
        <v>1261620.4787206769</v>
      </c>
    </row>
    <row r="95" spans="1:7" ht="11.25" customHeight="1" x14ac:dyDescent="0.2">
      <c r="A95" s="46" t="s">
        <v>54</v>
      </c>
      <c r="B95" s="39">
        <v>234718.23626653862</v>
      </c>
      <c r="C95" s="39">
        <v>848498.06826770422</v>
      </c>
      <c r="D95" s="39">
        <v>264057.20977407467</v>
      </c>
      <c r="E95" s="39">
        <v>997563.26894660224</v>
      </c>
      <c r="F95" s="39">
        <v>1083216.304534243</v>
      </c>
      <c r="G95" s="39">
        <v>1261620.4787206769</v>
      </c>
    </row>
    <row r="96" spans="1:7" ht="11.25" customHeight="1" x14ac:dyDescent="0.2">
      <c r="A96" s="47" t="s">
        <v>25</v>
      </c>
      <c r="B96" s="39">
        <v>234718.23626653862</v>
      </c>
      <c r="C96" s="39">
        <v>848498.06826770422</v>
      </c>
      <c r="D96" s="39">
        <v>264057.20977407467</v>
      </c>
      <c r="E96" s="39">
        <v>997563.26894660224</v>
      </c>
      <c r="F96" s="39">
        <v>1083216.304534243</v>
      </c>
      <c r="G96" s="39">
        <v>1261620.4787206769</v>
      </c>
    </row>
    <row r="97" spans="1:7" ht="11.25" customHeight="1" x14ac:dyDescent="0.2">
      <c r="A97" s="48" t="s">
        <v>37</v>
      </c>
      <c r="B97" s="39">
        <v>0</v>
      </c>
      <c r="C97" s="39">
        <v>435791.19635999994</v>
      </c>
      <c r="D97" s="39">
        <v>0</v>
      </c>
      <c r="E97" s="39">
        <v>589244.44300544506</v>
      </c>
      <c r="F97" s="39">
        <v>435791.19635999994</v>
      </c>
      <c r="G97" s="39">
        <v>589244.44300544506</v>
      </c>
    </row>
    <row r="98" spans="1:7" ht="11.25" customHeight="1" x14ac:dyDescent="0.2">
      <c r="A98" s="49">
        <v>44440</v>
      </c>
      <c r="B98" s="39">
        <v>0</v>
      </c>
      <c r="C98" s="39">
        <v>35821.19268</v>
      </c>
      <c r="D98" s="39">
        <v>0</v>
      </c>
      <c r="E98" s="39">
        <v>48434.752479673334</v>
      </c>
      <c r="F98" s="39">
        <v>35821.19268</v>
      </c>
      <c r="G98" s="39">
        <v>48434.752479673334</v>
      </c>
    </row>
    <row r="99" spans="1:7" ht="11.25" customHeight="1" x14ac:dyDescent="0.2">
      <c r="A99" s="49">
        <v>44470</v>
      </c>
      <c r="B99" s="39">
        <v>0</v>
      </c>
      <c r="C99" s="39">
        <v>33720.355889999999</v>
      </c>
      <c r="D99" s="39">
        <v>0</v>
      </c>
      <c r="E99" s="39">
        <v>45594.157225550116</v>
      </c>
      <c r="F99" s="39">
        <v>33720.355889999999</v>
      </c>
      <c r="G99" s="39">
        <v>45594.157225550116</v>
      </c>
    </row>
    <row r="100" spans="1:7" ht="11.25" customHeight="1" x14ac:dyDescent="0.2">
      <c r="A100" s="49">
        <v>44501</v>
      </c>
      <c r="B100" s="39">
        <v>0</v>
      </c>
      <c r="C100" s="39">
        <v>37844.690130000003</v>
      </c>
      <c r="D100" s="39">
        <v>0</v>
      </c>
      <c r="E100" s="39">
        <v>51170.775230493709</v>
      </c>
      <c r="F100" s="39">
        <v>37844.690130000003</v>
      </c>
      <c r="G100" s="39">
        <v>51170.775230493709</v>
      </c>
    </row>
    <row r="101" spans="1:7" ht="11.25" customHeight="1" x14ac:dyDescent="0.2">
      <c r="A101" s="49">
        <v>44531</v>
      </c>
      <c r="B101" s="39">
        <v>0</v>
      </c>
      <c r="C101" s="39">
        <v>42571.10871</v>
      </c>
      <c r="D101" s="39">
        <v>0</v>
      </c>
      <c r="E101" s="39">
        <v>57561.486898936935</v>
      </c>
      <c r="F101" s="39">
        <v>42571.10871</v>
      </c>
      <c r="G101" s="39">
        <v>57561.486898936935</v>
      </c>
    </row>
    <row r="102" spans="1:7" ht="11.25" customHeight="1" x14ac:dyDescent="0.2">
      <c r="A102" s="49">
        <v>44562</v>
      </c>
      <c r="B102" s="39">
        <v>0</v>
      </c>
      <c r="C102" s="39">
        <v>40339.004939999999</v>
      </c>
      <c r="D102" s="39">
        <v>0</v>
      </c>
      <c r="E102" s="39">
        <v>54543.402197662952</v>
      </c>
      <c r="F102" s="39">
        <v>40339.004939999999</v>
      </c>
      <c r="G102" s="39">
        <v>54543.402197662952</v>
      </c>
    </row>
    <row r="103" spans="1:7" ht="11.25" customHeight="1" x14ac:dyDescent="0.2">
      <c r="A103" s="49">
        <v>44593</v>
      </c>
      <c r="B103" s="39">
        <v>0</v>
      </c>
      <c r="C103" s="39">
        <v>33811.096410000006</v>
      </c>
      <c r="D103" s="39">
        <v>0</v>
      </c>
      <c r="E103" s="39">
        <v>45716.849807713377</v>
      </c>
      <c r="F103" s="39">
        <v>33811.096410000006</v>
      </c>
      <c r="G103" s="39">
        <v>45716.849807713377</v>
      </c>
    </row>
    <row r="104" spans="1:7" ht="11.25" customHeight="1" x14ac:dyDescent="0.2">
      <c r="A104" s="49">
        <v>44621</v>
      </c>
      <c r="B104" s="39">
        <v>0</v>
      </c>
      <c r="C104" s="39">
        <v>40486.983030000003</v>
      </c>
      <c r="D104" s="39">
        <v>0</v>
      </c>
      <c r="E104" s="39">
        <v>54743.487164838443</v>
      </c>
      <c r="F104" s="39">
        <v>40486.983030000003</v>
      </c>
      <c r="G104" s="39">
        <v>54743.487164838443</v>
      </c>
    </row>
    <row r="105" spans="1:7" ht="11.25" customHeight="1" x14ac:dyDescent="0.2">
      <c r="A105" s="49">
        <v>44652</v>
      </c>
      <c r="B105" s="39">
        <v>0</v>
      </c>
      <c r="C105" s="39">
        <v>31998.142800000001</v>
      </c>
      <c r="D105" s="39">
        <v>0</v>
      </c>
      <c r="E105" s="39">
        <v>43265.508777784271</v>
      </c>
      <c r="F105" s="39">
        <v>31998.142800000001</v>
      </c>
      <c r="G105" s="39">
        <v>43265.508777784271</v>
      </c>
    </row>
    <row r="106" spans="1:7" ht="11.25" customHeight="1" x14ac:dyDescent="0.2">
      <c r="A106" s="49">
        <v>44682</v>
      </c>
      <c r="B106" s="39">
        <v>0</v>
      </c>
      <c r="C106" s="39">
        <v>30784.932360000003</v>
      </c>
      <c r="D106" s="39">
        <v>0</v>
      </c>
      <c r="E106" s="39">
        <v>41625.095855409301</v>
      </c>
      <c r="F106" s="39">
        <v>30784.932360000003</v>
      </c>
      <c r="G106" s="39">
        <v>41625.095855409301</v>
      </c>
    </row>
    <row r="107" spans="1:7" ht="11.25" customHeight="1" x14ac:dyDescent="0.2">
      <c r="A107" s="49">
        <v>44713</v>
      </c>
      <c r="B107" s="39">
        <v>0</v>
      </c>
      <c r="C107" s="39">
        <v>28497.609270000004</v>
      </c>
      <c r="D107" s="39">
        <v>0</v>
      </c>
      <c r="E107" s="39">
        <v>38532.347696662298</v>
      </c>
      <c r="F107" s="39">
        <v>28497.609270000004</v>
      </c>
      <c r="G107" s="39">
        <v>38532.347696662298</v>
      </c>
    </row>
    <row r="108" spans="1:7" ht="11.25" customHeight="1" x14ac:dyDescent="0.2">
      <c r="A108" s="49">
        <v>44743</v>
      </c>
      <c r="B108" s="39">
        <v>0</v>
      </c>
      <c r="C108" s="39">
        <v>39958.040070000003</v>
      </c>
      <c r="D108" s="39">
        <v>0</v>
      </c>
      <c r="E108" s="39">
        <v>54028.289835360083</v>
      </c>
      <c r="F108" s="39">
        <v>39958.040070000003</v>
      </c>
      <c r="G108" s="39">
        <v>54028.289835360083</v>
      </c>
    </row>
    <row r="109" spans="1:7" ht="11.25" customHeight="1" x14ac:dyDescent="0.2">
      <c r="A109" s="49">
        <v>44774</v>
      </c>
      <c r="B109" s="39">
        <v>0</v>
      </c>
      <c r="C109" s="39">
        <v>39958.040070000003</v>
      </c>
      <c r="D109" s="39">
        <v>0</v>
      </c>
      <c r="E109" s="39">
        <v>54028.289835360083</v>
      </c>
      <c r="F109" s="39">
        <v>39958.040070000003</v>
      </c>
      <c r="G109" s="39">
        <v>54028.289835360083</v>
      </c>
    </row>
    <row r="110" spans="1:7" ht="11.25" customHeight="1" x14ac:dyDescent="0.2">
      <c r="A110" s="48" t="s">
        <v>25</v>
      </c>
      <c r="B110" s="39">
        <v>234718.23626653862</v>
      </c>
      <c r="C110" s="39">
        <v>0</v>
      </c>
      <c r="D110" s="39">
        <v>264057.20977407467</v>
      </c>
      <c r="E110" s="39">
        <v>0</v>
      </c>
      <c r="F110" s="39">
        <v>234718.23626653862</v>
      </c>
      <c r="G110" s="39">
        <v>264057.20977407467</v>
      </c>
    </row>
    <row r="111" spans="1:7" ht="11.25" customHeight="1" x14ac:dyDescent="0.2">
      <c r="A111" s="49">
        <v>44440</v>
      </c>
      <c r="B111" s="39">
        <v>22901.807013573602</v>
      </c>
      <c r="C111" s="39">
        <v>0</v>
      </c>
      <c r="D111" s="39">
        <v>25764.454245137378</v>
      </c>
      <c r="E111" s="39">
        <v>0</v>
      </c>
      <c r="F111" s="39">
        <v>22901.807013573602</v>
      </c>
      <c r="G111" s="39">
        <v>25764.454245137378</v>
      </c>
    </row>
    <row r="112" spans="1:7" ht="11.25" customHeight="1" x14ac:dyDescent="0.2">
      <c r="A112" s="49">
        <v>44470</v>
      </c>
      <c r="B112" s="39">
        <v>22989.869852291999</v>
      </c>
      <c r="C112" s="39">
        <v>0</v>
      </c>
      <c r="D112" s="39">
        <v>25863.524636286529</v>
      </c>
      <c r="E112" s="39">
        <v>0</v>
      </c>
      <c r="F112" s="39">
        <v>22989.869852291999</v>
      </c>
      <c r="G112" s="39">
        <v>25863.524636286529</v>
      </c>
    </row>
    <row r="113" spans="1:7" ht="11.25" customHeight="1" x14ac:dyDescent="0.2">
      <c r="A113" s="49">
        <v>44501</v>
      </c>
      <c r="B113" s="39">
        <v>25680.850161021001</v>
      </c>
      <c r="C113" s="39">
        <v>0</v>
      </c>
      <c r="D113" s="39">
        <v>28890.868242741781</v>
      </c>
      <c r="E113" s="39">
        <v>0</v>
      </c>
      <c r="F113" s="39">
        <v>25680.850161021001</v>
      </c>
      <c r="G113" s="39">
        <v>28890.868242741781</v>
      </c>
    </row>
    <row r="114" spans="1:7" ht="11.25" customHeight="1" x14ac:dyDescent="0.2">
      <c r="A114" s="49">
        <v>44531</v>
      </c>
      <c r="B114" s="39">
        <v>26675.6000747418</v>
      </c>
      <c r="C114" s="39">
        <v>0</v>
      </c>
      <c r="D114" s="39">
        <v>30009.958479692246</v>
      </c>
      <c r="E114" s="39">
        <v>0</v>
      </c>
      <c r="F114" s="39">
        <v>26675.6000747418</v>
      </c>
      <c r="G114" s="39">
        <v>30009.958479692246</v>
      </c>
    </row>
    <row r="115" spans="1:7" ht="11.25" customHeight="1" x14ac:dyDescent="0.2">
      <c r="A115" s="49">
        <v>44562</v>
      </c>
      <c r="B115" s="39">
        <v>9236.4898656744008</v>
      </c>
      <c r="C115" s="39">
        <v>0</v>
      </c>
      <c r="D115" s="39">
        <v>10391.019380645364</v>
      </c>
      <c r="E115" s="39">
        <v>0</v>
      </c>
      <c r="F115" s="39">
        <v>9236.4898656744008</v>
      </c>
      <c r="G115" s="39">
        <v>10391.019380645364</v>
      </c>
    </row>
    <row r="116" spans="1:7" ht="11.25" customHeight="1" x14ac:dyDescent="0.2">
      <c r="A116" s="49">
        <v>44593</v>
      </c>
      <c r="B116" s="39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</row>
    <row r="117" spans="1:7" ht="11.25" customHeight="1" x14ac:dyDescent="0.2">
      <c r="A117" s="49">
        <v>44621</v>
      </c>
      <c r="B117" s="39">
        <v>8138.9901492287991</v>
      </c>
      <c r="C117" s="39">
        <v>0</v>
      </c>
      <c r="D117" s="39">
        <v>9156.3359684737879</v>
      </c>
      <c r="E117" s="39">
        <v>0</v>
      </c>
      <c r="F117" s="39">
        <v>8138.9901492287991</v>
      </c>
      <c r="G117" s="39">
        <v>9156.3359684737879</v>
      </c>
    </row>
    <row r="118" spans="1:7" ht="11.25" customHeight="1" x14ac:dyDescent="0.2">
      <c r="A118" s="49">
        <v>44652</v>
      </c>
      <c r="B118" s="39">
        <v>40029.339720816002</v>
      </c>
      <c r="C118" s="39">
        <v>0</v>
      </c>
      <c r="D118" s="39">
        <v>45032.869724592732</v>
      </c>
      <c r="E118" s="39">
        <v>0</v>
      </c>
      <c r="F118" s="39">
        <v>40029.339720816002</v>
      </c>
      <c r="G118" s="39">
        <v>45032.869724592732</v>
      </c>
    </row>
    <row r="119" spans="1:7" ht="11.25" customHeight="1" x14ac:dyDescent="0.2">
      <c r="A119" s="49">
        <v>44682</v>
      </c>
      <c r="B119" s="39">
        <v>17224.119869714999</v>
      </c>
      <c r="C119" s="39">
        <v>0</v>
      </c>
      <c r="D119" s="39">
        <v>19377.075705555329</v>
      </c>
      <c r="E119" s="39">
        <v>0</v>
      </c>
      <c r="F119" s="39">
        <v>17224.119869714999</v>
      </c>
      <c r="G119" s="39">
        <v>19377.075705555329</v>
      </c>
    </row>
    <row r="120" spans="1:7" ht="11.25" customHeight="1" x14ac:dyDescent="0.2">
      <c r="A120" s="49">
        <v>44713</v>
      </c>
      <c r="B120" s="39">
        <v>17194.549891967999</v>
      </c>
      <c r="C120" s="39">
        <v>0</v>
      </c>
      <c r="D120" s="39">
        <v>19343.809582133683</v>
      </c>
      <c r="E120" s="39">
        <v>0</v>
      </c>
      <c r="F120" s="39">
        <v>17194.549891967999</v>
      </c>
      <c r="G120" s="39">
        <v>19343.809582133683</v>
      </c>
    </row>
    <row r="121" spans="1:7" ht="11.25" customHeight="1" x14ac:dyDescent="0.2">
      <c r="A121" s="49">
        <v>44743</v>
      </c>
      <c r="B121" s="39">
        <v>22323.309833754</v>
      </c>
      <c r="C121" s="39">
        <v>0</v>
      </c>
      <c r="D121" s="39">
        <v>25113.64690440792</v>
      </c>
      <c r="E121" s="39">
        <v>0</v>
      </c>
      <c r="F121" s="39">
        <v>22323.309833754</v>
      </c>
      <c r="G121" s="39">
        <v>25113.64690440792</v>
      </c>
    </row>
    <row r="122" spans="1:7" ht="11.25" customHeight="1" x14ac:dyDescent="0.2">
      <c r="A122" s="49">
        <v>44774</v>
      </c>
      <c r="B122" s="39">
        <v>22323.309833754</v>
      </c>
      <c r="C122" s="39">
        <v>0</v>
      </c>
      <c r="D122" s="39">
        <v>25113.64690440792</v>
      </c>
      <c r="E122" s="39">
        <v>0</v>
      </c>
      <c r="F122" s="39">
        <v>22323.309833754</v>
      </c>
      <c r="G122" s="39">
        <v>25113.64690440792</v>
      </c>
    </row>
    <row r="123" spans="1:7" ht="11.25" customHeight="1" x14ac:dyDescent="0.2">
      <c r="A123" s="48" t="s">
        <v>36</v>
      </c>
      <c r="B123" s="39">
        <v>0</v>
      </c>
      <c r="C123" s="39">
        <v>412706.87190770451</v>
      </c>
      <c r="D123" s="39">
        <v>0</v>
      </c>
      <c r="E123" s="39">
        <v>408318.82594115712</v>
      </c>
      <c r="F123" s="39">
        <v>412706.87190770451</v>
      </c>
      <c r="G123" s="39">
        <v>408318.82594115712</v>
      </c>
    </row>
    <row r="124" spans="1:7" ht="11.25" customHeight="1" x14ac:dyDescent="0.2">
      <c r="A124" s="49">
        <v>44440</v>
      </c>
      <c r="B124" s="39">
        <v>0</v>
      </c>
      <c r="C124" s="39">
        <v>43321.491997424331</v>
      </c>
      <c r="D124" s="39">
        <v>0</v>
      </c>
      <c r="E124" s="39">
        <v>42860.882516061924</v>
      </c>
      <c r="F124" s="39">
        <v>43321.491997424331</v>
      </c>
      <c r="G124" s="39">
        <v>42860.882516061924</v>
      </c>
    </row>
    <row r="125" spans="1:7" ht="11.25" customHeight="1" x14ac:dyDescent="0.2">
      <c r="A125" s="49">
        <v>44470</v>
      </c>
      <c r="B125" s="39">
        <v>0</v>
      </c>
      <c r="C125" s="39">
        <v>46216.724211521512</v>
      </c>
      <c r="D125" s="39">
        <v>0</v>
      </c>
      <c r="E125" s="39">
        <v>45725.331593497089</v>
      </c>
      <c r="F125" s="39">
        <v>46216.724211521512</v>
      </c>
      <c r="G125" s="39">
        <v>45725.331593497089</v>
      </c>
    </row>
    <row r="126" spans="1:7" ht="11.25" customHeight="1" x14ac:dyDescent="0.2">
      <c r="A126" s="49">
        <v>44501</v>
      </c>
      <c r="B126" s="39">
        <v>0</v>
      </c>
      <c r="C126" s="39">
        <v>51720.164942556898</v>
      </c>
      <c r="D126" s="39">
        <v>0</v>
      </c>
      <c r="E126" s="39">
        <v>51170.257789045521</v>
      </c>
      <c r="F126" s="39">
        <v>51720.164942556898</v>
      </c>
      <c r="G126" s="39">
        <v>51170.257789045521</v>
      </c>
    </row>
    <row r="127" spans="1:7" ht="11.25" customHeight="1" x14ac:dyDescent="0.2">
      <c r="A127" s="49">
        <v>44531</v>
      </c>
      <c r="B127" s="39">
        <v>0</v>
      </c>
      <c r="C127" s="39">
        <v>62314.676056491036</v>
      </c>
      <c r="D127" s="39">
        <v>0</v>
      </c>
      <c r="E127" s="39">
        <v>61652.124299932111</v>
      </c>
      <c r="F127" s="39">
        <v>62314.676056491036</v>
      </c>
      <c r="G127" s="39">
        <v>61652.124299932111</v>
      </c>
    </row>
    <row r="128" spans="1:7" ht="11.25" customHeight="1" x14ac:dyDescent="0.2">
      <c r="A128" s="49">
        <v>44562</v>
      </c>
      <c r="B128" s="39">
        <v>0</v>
      </c>
      <c r="C128" s="39">
        <v>27553.212816488514</v>
      </c>
      <c r="D128" s="39">
        <v>0</v>
      </c>
      <c r="E128" s="39">
        <v>27260.257276868011</v>
      </c>
      <c r="F128" s="39">
        <v>27553.212816488514</v>
      </c>
      <c r="G128" s="39">
        <v>27260.257276868011</v>
      </c>
    </row>
    <row r="129" spans="1:7" ht="11.25" customHeight="1" x14ac:dyDescent="0.2">
      <c r="A129" s="49">
        <v>44593</v>
      </c>
      <c r="B129" s="39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</row>
    <row r="130" spans="1:7" ht="11.25" customHeight="1" x14ac:dyDescent="0.2">
      <c r="A130" s="49">
        <v>44621</v>
      </c>
      <c r="B130" s="39">
        <v>0</v>
      </c>
      <c r="C130" s="39">
        <v>21727.985005429102</v>
      </c>
      <c r="D130" s="39">
        <v>0</v>
      </c>
      <c r="E130" s="39">
        <v>21496.965355759698</v>
      </c>
      <c r="F130" s="39">
        <v>21727.985005429102</v>
      </c>
      <c r="G130" s="39">
        <v>21496.965355759698</v>
      </c>
    </row>
    <row r="131" spans="1:7" ht="11.25" customHeight="1" x14ac:dyDescent="0.2">
      <c r="A131" s="49">
        <v>44652</v>
      </c>
      <c r="B131" s="39">
        <v>0</v>
      </c>
      <c r="C131" s="39">
        <v>67497.524904979102</v>
      </c>
      <c r="D131" s="39">
        <v>0</v>
      </c>
      <c r="E131" s="39">
        <v>66779.867259633524</v>
      </c>
      <c r="F131" s="39">
        <v>67497.524904979102</v>
      </c>
      <c r="G131" s="39">
        <v>66779.867259633524</v>
      </c>
    </row>
    <row r="132" spans="1:7" ht="11.25" customHeight="1" x14ac:dyDescent="0.2">
      <c r="A132" s="49">
        <v>44682</v>
      </c>
      <c r="B132" s="39">
        <v>0</v>
      </c>
      <c r="C132" s="39">
        <v>20319.779825730402</v>
      </c>
      <c r="D132" s="39">
        <v>0</v>
      </c>
      <c r="E132" s="39">
        <v>20103.73271342216</v>
      </c>
      <c r="F132" s="39">
        <v>20319.779825730402</v>
      </c>
      <c r="G132" s="39">
        <v>20103.73271342216</v>
      </c>
    </row>
    <row r="133" spans="1:7" ht="11.25" customHeight="1" x14ac:dyDescent="0.2">
      <c r="A133" s="49">
        <v>44713</v>
      </c>
      <c r="B133" s="39">
        <v>0</v>
      </c>
      <c r="C133" s="39">
        <v>18026.512136262005</v>
      </c>
      <c r="D133" s="39">
        <v>0</v>
      </c>
      <c r="E133" s="39">
        <v>17834.847860102022</v>
      </c>
      <c r="F133" s="39">
        <v>18026.512136262005</v>
      </c>
      <c r="G133" s="39">
        <v>17834.847860102022</v>
      </c>
    </row>
    <row r="134" spans="1:7" ht="11.25" customHeight="1" x14ac:dyDescent="0.2">
      <c r="A134" s="49">
        <v>44743</v>
      </c>
      <c r="B134" s="39">
        <v>0</v>
      </c>
      <c r="C134" s="39">
        <v>27004.400005410796</v>
      </c>
      <c r="D134" s="39">
        <v>0</v>
      </c>
      <c r="E134" s="39">
        <v>26717.279638417553</v>
      </c>
      <c r="F134" s="39">
        <v>27004.400005410796</v>
      </c>
      <c r="G134" s="39">
        <v>26717.279638417553</v>
      </c>
    </row>
    <row r="135" spans="1:7" ht="11.25" customHeight="1" x14ac:dyDescent="0.2">
      <c r="A135" s="49">
        <v>44774</v>
      </c>
      <c r="B135" s="39">
        <v>0</v>
      </c>
      <c r="C135" s="39">
        <v>27004.400005410796</v>
      </c>
      <c r="D135" s="39">
        <v>0</v>
      </c>
      <c r="E135" s="39">
        <v>26717.279638417553</v>
      </c>
      <c r="F135" s="39">
        <v>27004.400005410796</v>
      </c>
      <c r="G135" s="39">
        <v>26717.279638417553</v>
      </c>
    </row>
    <row r="136" spans="1:7" ht="11.25" customHeight="1" x14ac:dyDescent="0.2">
      <c r="A136" s="41" t="s">
        <v>595</v>
      </c>
      <c r="B136" s="39">
        <v>392034.59999999986</v>
      </c>
      <c r="C136" s="39">
        <v>0</v>
      </c>
      <c r="D136" s="39">
        <v>451893.9290337672</v>
      </c>
      <c r="E136" s="39">
        <v>0</v>
      </c>
      <c r="F136" s="39">
        <v>392034.59999999986</v>
      </c>
      <c r="G136" s="39">
        <v>451893.9290337672</v>
      </c>
    </row>
    <row r="137" spans="1:7" ht="11.25" customHeight="1" x14ac:dyDescent="0.2">
      <c r="A137" s="42" t="s">
        <v>34</v>
      </c>
      <c r="B137" s="39">
        <v>392034.59999999986</v>
      </c>
      <c r="C137" s="39">
        <v>0</v>
      </c>
      <c r="D137" s="39">
        <v>451893.9290337672</v>
      </c>
      <c r="E137" s="39">
        <v>0</v>
      </c>
      <c r="F137" s="39">
        <v>392034.59999999986</v>
      </c>
      <c r="G137" s="39">
        <v>451893.9290337672</v>
      </c>
    </row>
    <row r="138" spans="1:7" ht="11.25" customHeight="1" x14ac:dyDescent="0.2">
      <c r="A138" s="43" t="s">
        <v>56</v>
      </c>
      <c r="B138" s="39">
        <v>392034.59999999986</v>
      </c>
      <c r="C138" s="39">
        <v>0</v>
      </c>
      <c r="D138" s="39">
        <v>451893.9290337672</v>
      </c>
      <c r="E138" s="39">
        <v>0</v>
      </c>
      <c r="F138" s="39">
        <v>392034.59999999986</v>
      </c>
      <c r="G138" s="39">
        <v>451893.9290337672</v>
      </c>
    </row>
    <row r="139" spans="1:7" ht="11.25" customHeight="1" x14ac:dyDescent="0.2">
      <c r="A139" s="44" t="s">
        <v>25</v>
      </c>
      <c r="B139" s="39">
        <v>392034.59999999986</v>
      </c>
      <c r="C139" s="39">
        <v>0</v>
      </c>
      <c r="D139" s="39">
        <v>451893.9290337672</v>
      </c>
      <c r="E139" s="39">
        <v>0</v>
      </c>
      <c r="F139" s="39">
        <v>392034.59999999986</v>
      </c>
      <c r="G139" s="39">
        <v>451893.9290337672</v>
      </c>
    </row>
    <row r="140" spans="1:7" ht="11.25" customHeight="1" x14ac:dyDescent="0.2">
      <c r="A140" s="45" t="s">
        <v>25</v>
      </c>
      <c r="B140" s="39">
        <v>392034.59999999986</v>
      </c>
      <c r="C140" s="39">
        <v>0</v>
      </c>
      <c r="D140" s="39">
        <v>451893.9290337672</v>
      </c>
      <c r="E140" s="39">
        <v>0</v>
      </c>
      <c r="F140" s="39">
        <v>392034.59999999986</v>
      </c>
      <c r="G140" s="39">
        <v>451893.9290337672</v>
      </c>
    </row>
    <row r="141" spans="1:7" ht="11.25" customHeight="1" x14ac:dyDescent="0.2">
      <c r="A141" s="46" t="s">
        <v>25</v>
      </c>
      <c r="B141" s="39">
        <v>392034.59999999986</v>
      </c>
      <c r="C141" s="39">
        <v>0</v>
      </c>
      <c r="D141" s="39">
        <v>451893.9290337672</v>
      </c>
      <c r="E141" s="39">
        <v>0</v>
      </c>
      <c r="F141" s="39">
        <v>392034.59999999986</v>
      </c>
      <c r="G141" s="39">
        <v>451893.9290337672</v>
      </c>
    </row>
    <row r="142" spans="1:7" ht="11.25" customHeight="1" x14ac:dyDescent="0.2">
      <c r="A142" s="47" t="s">
        <v>61</v>
      </c>
      <c r="B142" s="39">
        <v>107046</v>
      </c>
      <c r="C142" s="39">
        <v>0</v>
      </c>
      <c r="D142" s="39">
        <v>123390.73522425974</v>
      </c>
      <c r="E142" s="39">
        <v>0</v>
      </c>
      <c r="F142" s="39">
        <v>107046</v>
      </c>
      <c r="G142" s="39">
        <v>123390.73522425974</v>
      </c>
    </row>
    <row r="143" spans="1:7" ht="11.25" customHeight="1" x14ac:dyDescent="0.2">
      <c r="A143" s="48" t="s">
        <v>25</v>
      </c>
      <c r="B143" s="39">
        <v>107046</v>
      </c>
      <c r="C143" s="39">
        <v>0</v>
      </c>
      <c r="D143" s="39">
        <v>123390.73522425974</v>
      </c>
      <c r="E143" s="39">
        <v>0</v>
      </c>
      <c r="F143" s="39">
        <v>107046</v>
      </c>
      <c r="G143" s="39">
        <v>123390.73522425974</v>
      </c>
    </row>
    <row r="144" spans="1:7" ht="11.25" customHeight="1" x14ac:dyDescent="0.2">
      <c r="A144" s="49">
        <v>44440</v>
      </c>
      <c r="B144" s="39">
        <v>8920.5</v>
      </c>
      <c r="C144" s="39">
        <v>0</v>
      </c>
      <c r="D144" s="39">
        <v>10282.561268688312</v>
      </c>
      <c r="E144" s="39">
        <v>0</v>
      </c>
      <c r="F144" s="39">
        <v>8920.5</v>
      </c>
      <c r="G144" s="39">
        <v>10282.561268688312</v>
      </c>
    </row>
    <row r="145" spans="1:7" ht="11.25" customHeight="1" x14ac:dyDescent="0.2">
      <c r="A145" s="49">
        <v>44470</v>
      </c>
      <c r="B145" s="39">
        <v>8920.5</v>
      </c>
      <c r="C145" s="39">
        <v>0</v>
      </c>
      <c r="D145" s="39">
        <v>10282.561268688312</v>
      </c>
      <c r="E145" s="39">
        <v>0</v>
      </c>
      <c r="F145" s="39">
        <v>8920.5</v>
      </c>
      <c r="G145" s="39">
        <v>10282.561268688312</v>
      </c>
    </row>
    <row r="146" spans="1:7" ht="11.25" customHeight="1" x14ac:dyDescent="0.2">
      <c r="A146" s="49">
        <v>44501</v>
      </c>
      <c r="B146" s="39">
        <v>8920.5</v>
      </c>
      <c r="C146" s="39">
        <v>0</v>
      </c>
      <c r="D146" s="39">
        <v>10282.561268688312</v>
      </c>
      <c r="E146" s="39">
        <v>0</v>
      </c>
      <c r="F146" s="39">
        <v>8920.5</v>
      </c>
      <c r="G146" s="39">
        <v>10282.561268688312</v>
      </c>
    </row>
    <row r="147" spans="1:7" ht="11.25" customHeight="1" x14ac:dyDescent="0.2">
      <c r="A147" s="49">
        <v>44531</v>
      </c>
      <c r="B147" s="39">
        <v>8920.5</v>
      </c>
      <c r="C147" s="39">
        <v>0</v>
      </c>
      <c r="D147" s="39">
        <v>10282.561268688312</v>
      </c>
      <c r="E147" s="39">
        <v>0</v>
      </c>
      <c r="F147" s="39">
        <v>8920.5</v>
      </c>
      <c r="G147" s="39">
        <v>10282.561268688312</v>
      </c>
    </row>
    <row r="148" spans="1:7" ht="11.25" customHeight="1" x14ac:dyDescent="0.2">
      <c r="A148" s="49">
        <v>44562</v>
      </c>
      <c r="B148" s="39">
        <v>8920.5</v>
      </c>
      <c r="C148" s="39">
        <v>0</v>
      </c>
      <c r="D148" s="39">
        <v>10282.561268688312</v>
      </c>
      <c r="E148" s="39">
        <v>0</v>
      </c>
      <c r="F148" s="39">
        <v>8920.5</v>
      </c>
      <c r="G148" s="39">
        <v>10282.561268688312</v>
      </c>
    </row>
    <row r="149" spans="1:7" ht="11.25" customHeight="1" x14ac:dyDescent="0.2">
      <c r="A149" s="49">
        <v>44593</v>
      </c>
      <c r="B149" s="39">
        <v>8920.5</v>
      </c>
      <c r="C149" s="39">
        <v>0</v>
      </c>
      <c r="D149" s="39">
        <v>10282.561268688312</v>
      </c>
      <c r="E149" s="39">
        <v>0</v>
      </c>
      <c r="F149" s="39">
        <v>8920.5</v>
      </c>
      <c r="G149" s="39">
        <v>10282.561268688312</v>
      </c>
    </row>
    <row r="150" spans="1:7" ht="11.25" customHeight="1" x14ac:dyDescent="0.2">
      <c r="A150" s="49">
        <v>44621</v>
      </c>
      <c r="B150" s="39">
        <v>8920.5</v>
      </c>
      <c r="C150" s="39">
        <v>0</v>
      </c>
      <c r="D150" s="39">
        <v>10282.561268688312</v>
      </c>
      <c r="E150" s="39">
        <v>0</v>
      </c>
      <c r="F150" s="39">
        <v>8920.5</v>
      </c>
      <c r="G150" s="39">
        <v>10282.561268688312</v>
      </c>
    </row>
    <row r="151" spans="1:7" ht="11.25" customHeight="1" x14ac:dyDescent="0.2">
      <c r="A151" s="49">
        <v>44652</v>
      </c>
      <c r="B151" s="39">
        <v>8920.5</v>
      </c>
      <c r="C151" s="39">
        <v>0</v>
      </c>
      <c r="D151" s="39">
        <v>10282.561268688312</v>
      </c>
      <c r="E151" s="39">
        <v>0</v>
      </c>
      <c r="F151" s="39">
        <v>8920.5</v>
      </c>
      <c r="G151" s="39">
        <v>10282.561268688312</v>
      </c>
    </row>
    <row r="152" spans="1:7" ht="11.25" customHeight="1" x14ac:dyDescent="0.2">
      <c r="A152" s="49">
        <v>44682</v>
      </c>
      <c r="B152" s="39">
        <v>8920.5</v>
      </c>
      <c r="C152" s="39">
        <v>0</v>
      </c>
      <c r="D152" s="39">
        <v>10282.561268688312</v>
      </c>
      <c r="E152" s="39">
        <v>0</v>
      </c>
      <c r="F152" s="39">
        <v>8920.5</v>
      </c>
      <c r="G152" s="39">
        <v>10282.561268688312</v>
      </c>
    </row>
    <row r="153" spans="1:7" ht="11.25" customHeight="1" x14ac:dyDescent="0.2">
      <c r="A153" s="49">
        <v>44713</v>
      </c>
      <c r="B153" s="39">
        <v>8920.5</v>
      </c>
      <c r="C153" s="39">
        <v>0</v>
      </c>
      <c r="D153" s="39">
        <v>10282.561268688312</v>
      </c>
      <c r="E153" s="39">
        <v>0</v>
      </c>
      <c r="F153" s="39">
        <v>8920.5</v>
      </c>
      <c r="G153" s="39">
        <v>10282.561268688312</v>
      </c>
    </row>
    <row r="154" spans="1:7" ht="11.25" customHeight="1" x14ac:dyDescent="0.2">
      <c r="A154" s="49">
        <v>44743</v>
      </c>
      <c r="B154" s="39">
        <v>8920.5</v>
      </c>
      <c r="C154" s="39">
        <v>0</v>
      </c>
      <c r="D154" s="39">
        <v>10282.561268688312</v>
      </c>
      <c r="E154" s="39">
        <v>0</v>
      </c>
      <c r="F154" s="39">
        <v>8920.5</v>
      </c>
      <c r="G154" s="39">
        <v>10282.561268688312</v>
      </c>
    </row>
    <row r="155" spans="1:7" ht="11.25" customHeight="1" x14ac:dyDescent="0.2">
      <c r="A155" s="49">
        <v>44774</v>
      </c>
      <c r="B155" s="39">
        <v>8920.5</v>
      </c>
      <c r="C155" s="39">
        <v>0</v>
      </c>
      <c r="D155" s="39">
        <v>10282.561268688312</v>
      </c>
      <c r="E155" s="39">
        <v>0</v>
      </c>
      <c r="F155" s="39">
        <v>8920.5</v>
      </c>
      <c r="G155" s="39">
        <v>10282.561268688312</v>
      </c>
    </row>
    <row r="156" spans="1:7" ht="11.25" customHeight="1" x14ac:dyDescent="0.2">
      <c r="A156" s="47" t="s">
        <v>57</v>
      </c>
      <c r="B156" s="39">
        <v>205200</v>
      </c>
      <c r="C156" s="39">
        <v>0</v>
      </c>
      <c r="D156" s="39">
        <v>236531.76081327742</v>
      </c>
      <c r="E156" s="39">
        <v>0</v>
      </c>
      <c r="F156" s="39">
        <v>205200</v>
      </c>
      <c r="G156" s="39">
        <v>236531.76081327742</v>
      </c>
    </row>
    <row r="157" spans="1:7" ht="11.25" customHeight="1" x14ac:dyDescent="0.2">
      <c r="A157" s="48" t="s">
        <v>25</v>
      </c>
      <c r="B157" s="39">
        <v>205200</v>
      </c>
      <c r="C157" s="39">
        <v>0</v>
      </c>
      <c r="D157" s="39">
        <v>236531.76081327742</v>
      </c>
      <c r="E157" s="39">
        <v>0</v>
      </c>
      <c r="F157" s="39">
        <v>205200</v>
      </c>
      <c r="G157" s="39">
        <v>236531.76081327742</v>
      </c>
    </row>
    <row r="158" spans="1:7" ht="11.25" customHeight="1" x14ac:dyDescent="0.2">
      <c r="A158" s="49">
        <v>44440</v>
      </c>
      <c r="B158" s="39">
        <v>17100</v>
      </c>
      <c r="C158" s="39">
        <v>0</v>
      </c>
      <c r="D158" s="39">
        <v>19710.980067773122</v>
      </c>
      <c r="E158" s="39">
        <v>0</v>
      </c>
      <c r="F158" s="39">
        <v>17100</v>
      </c>
      <c r="G158" s="39">
        <v>19710.980067773122</v>
      </c>
    </row>
    <row r="159" spans="1:7" ht="11.25" customHeight="1" x14ac:dyDescent="0.2">
      <c r="A159" s="49">
        <v>44470</v>
      </c>
      <c r="B159" s="39">
        <v>17100</v>
      </c>
      <c r="C159" s="39">
        <v>0</v>
      </c>
      <c r="D159" s="39">
        <v>19710.980067773122</v>
      </c>
      <c r="E159" s="39">
        <v>0</v>
      </c>
      <c r="F159" s="39">
        <v>17100</v>
      </c>
      <c r="G159" s="39">
        <v>19710.980067773122</v>
      </c>
    </row>
    <row r="160" spans="1:7" ht="11.25" customHeight="1" x14ac:dyDescent="0.2">
      <c r="A160" s="49">
        <v>44501</v>
      </c>
      <c r="B160" s="39">
        <v>17100</v>
      </c>
      <c r="C160" s="39">
        <v>0</v>
      </c>
      <c r="D160" s="39">
        <v>19710.980067773122</v>
      </c>
      <c r="E160" s="39">
        <v>0</v>
      </c>
      <c r="F160" s="39">
        <v>17100</v>
      </c>
      <c r="G160" s="39">
        <v>19710.980067773122</v>
      </c>
    </row>
    <row r="161" spans="1:7" ht="11.25" customHeight="1" x14ac:dyDescent="0.2">
      <c r="A161" s="49">
        <v>44531</v>
      </c>
      <c r="B161" s="39">
        <v>17100</v>
      </c>
      <c r="C161" s="39">
        <v>0</v>
      </c>
      <c r="D161" s="39">
        <v>19710.980067773122</v>
      </c>
      <c r="E161" s="39">
        <v>0</v>
      </c>
      <c r="F161" s="39">
        <v>17100</v>
      </c>
      <c r="G161" s="39">
        <v>19710.980067773122</v>
      </c>
    </row>
    <row r="162" spans="1:7" ht="11.25" customHeight="1" x14ac:dyDescent="0.2">
      <c r="A162" s="49">
        <v>44562</v>
      </c>
      <c r="B162" s="39">
        <v>17100</v>
      </c>
      <c r="C162" s="39">
        <v>0</v>
      </c>
      <c r="D162" s="39">
        <v>19710.980067773122</v>
      </c>
      <c r="E162" s="39">
        <v>0</v>
      </c>
      <c r="F162" s="39">
        <v>17100</v>
      </c>
      <c r="G162" s="39">
        <v>19710.980067773122</v>
      </c>
    </row>
    <row r="163" spans="1:7" ht="11.25" customHeight="1" x14ac:dyDescent="0.2">
      <c r="A163" s="49">
        <v>44593</v>
      </c>
      <c r="B163" s="39">
        <v>17100</v>
      </c>
      <c r="C163" s="39">
        <v>0</v>
      </c>
      <c r="D163" s="39">
        <v>19710.980067773122</v>
      </c>
      <c r="E163" s="39">
        <v>0</v>
      </c>
      <c r="F163" s="39">
        <v>17100</v>
      </c>
      <c r="G163" s="39">
        <v>19710.980067773122</v>
      </c>
    </row>
    <row r="164" spans="1:7" ht="11.25" customHeight="1" x14ac:dyDescent="0.2">
      <c r="A164" s="49">
        <v>44621</v>
      </c>
      <c r="B164" s="39">
        <v>17100</v>
      </c>
      <c r="C164" s="39">
        <v>0</v>
      </c>
      <c r="D164" s="39">
        <v>19710.980067773122</v>
      </c>
      <c r="E164" s="39">
        <v>0</v>
      </c>
      <c r="F164" s="39">
        <v>17100</v>
      </c>
      <c r="G164" s="39">
        <v>19710.980067773122</v>
      </c>
    </row>
    <row r="165" spans="1:7" ht="11.25" customHeight="1" x14ac:dyDescent="0.2">
      <c r="A165" s="49">
        <v>44652</v>
      </c>
      <c r="B165" s="39">
        <v>17100</v>
      </c>
      <c r="C165" s="39">
        <v>0</v>
      </c>
      <c r="D165" s="39">
        <v>19710.980067773122</v>
      </c>
      <c r="E165" s="39">
        <v>0</v>
      </c>
      <c r="F165" s="39">
        <v>17100</v>
      </c>
      <c r="G165" s="39">
        <v>19710.980067773122</v>
      </c>
    </row>
    <row r="166" spans="1:7" ht="11.25" customHeight="1" x14ac:dyDescent="0.2">
      <c r="A166" s="49">
        <v>44682</v>
      </c>
      <c r="B166" s="39">
        <v>17100</v>
      </c>
      <c r="C166" s="39">
        <v>0</v>
      </c>
      <c r="D166" s="39">
        <v>19710.980067773122</v>
      </c>
      <c r="E166" s="39">
        <v>0</v>
      </c>
      <c r="F166" s="39">
        <v>17100</v>
      </c>
      <c r="G166" s="39">
        <v>19710.980067773122</v>
      </c>
    </row>
    <row r="167" spans="1:7" ht="11.25" customHeight="1" x14ac:dyDescent="0.2">
      <c r="A167" s="49">
        <v>44713</v>
      </c>
      <c r="B167" s="39">
        <v>17100</v>
      </c>
      <c r="C167" s="39">
        <v>0</v>
      </c>
      <c r="D167" s="39">
        <v>19710.980067773122</v>
      </c>
      <c r="E167" s="39">
        <v>0</v>
      </c>
      <c r="F167" s="39">
        <v>17100</v>
      </c>
      <c r="G167" s="39">
        <v>19710.980067773122</v>
      </c>
    </row>
    <row r="168" spans="1:7" ht="11.25" customHeight="1" x14ac:dyDescent="0.2">
      <c r="A168" s="49">
        <v>44743</v>
      </c>
      <c r="B168" s="39">
        <v>17100</v>
      </c>
      <c r="C168" s="39">
        <v>0</v>
      </c>
      <c r="D168" s="39">
        <v>19710.980067773122</v>
      </c>
      <c r="E168" s="39">
        <v>0</v>
      </c>
      <c r="F168" s="39">
        <v>17100</v>
      </c>
      <c r="G168" s="39">
        <v>19710.980067773122</v>
      </c>
    </row>
    <row r="169" spans="1:7" ht="11.25" customHeight="1" x14ac:dyDescent="0.2">
      <c r="A169" s="49">
        <v>44774</v>
      </c>
      <c r="B169" s="39">
        <v>17100</v>
      </c>
      <c r="C169" s="39">
        <v>0</v>
      </c>
      <c r="D169" s="39">
        <v>19710.980067773122</v>
      </c>
      <c r="E169" s="39">
        <v>0</v>
      </c>
      <c r="F169" s="39">
        <v>17100</v>
      </c>
      <c r="G169" s="39">
        <v>19710.980067773122</v>
      </c>
    </row>
    <row r="170" spans="1:7" ht="11.25" customHeight="1" x14ac:dyDescent="0.2">
      <c r="A170" s="47" t="s">
        <v>60</v>
      </c>
      <c r="B170" s="39">
        <v>34200</v>
      </c>
      <c r="C170" s="39">
        <v>0</v>
      </c>
      <c r="D170" s="39">
        <v>39421.960135546244</v>
      </c>
      <c r="E170" s="39">
        <v>0</v>
      </c>
      <c r="F170" s="39">
        <v>34200</v>
      </c>
      <c r="G170" s="39">
        <v>39421.960135546244</v>
      </c>
    </row>
    <row r="171" spans="1:7" ht="11.25" customHeight="1" x14ac:dyDescent="0.2">
      <c r="A171" s="48" t="s">
        <v>25</v>
      </c>
      <c r="B171" s="39">
        <v>34200</v>
      </c>
      <c r="C171" s="39">
        <v>0</v>
      </c>
      <c r="D171" s="39">
        <v>39421.960135546244</v>
      </c>
      <c r="E171" s="39">
        <v>0</v>
      </c>
      <c r="F171" s="39">
        <v>34200</v>
      </c>
      <c r="G171" s="39">
        <v>39421.960135546244</v>
      </c>
    </row>
    <row r="172" spans="1:7" ht="11.25" customHeight="1" x14ac:dyDescent="0.2">
      <c r="A172" s="49">
        <v>44440</v>
      </c>
      <c r="B172" s="39">
        <v>2850</v>
      </c>
      <c r="C172" s="39">
        <v>0</v>
      </c>
      <c r="D172" s="39">
        <v>3285.1633446288538</v>
      </c>
      <c r="E172" s="39">
        <v>0</v>
      </c>
      <c r="F172" s="39">
        <v>2850</v>
      </c>
      <c r="G172" s="39">
        <v>3285.1633446288538</v>
      </c>
    </row>
    <row r="173" spans="1:7" ht="11.25" customHeight="1" x14ac:dyDescent="0.2">
      <c r="A173" s="49">
        <v>44470</v>
      </c>
      <c r="B173" s="39">
        <v>2850</v>
      </c>
      <c r="C173" s="39">
        <v>0</v>
      </c>
      <c r="D173" s="39">
        <v>3285.1633446288538</v>
      </c>
      <c r="E173" s="39">
        <v>0</v>
      </c>
      <c r="F173" s="39">
        <v>2850</v>
      </c>
      <c r="G173" s="39">
        <v>3285.1633446288538</v>
      </c>
    </row>
    <row r="174" spans="1:7" ht="11.25" customHeight="1" x14ac:dyDescent="0.2">
      <c r="A174" s="49">
        <v>44501</v>
      </c>
      <c r="B174" s="39">
        <v>2850</v>
      </c>
      <c r="C174" s="39">
        <v>0</v>
      </c>
      <c r="D174" s="39">
        <v>3285.1633446288538</v>
      </c>
      <c r="E174" s="39">
        <v>0</v>
      </c>
      <c r="F174" s="39">
        <v>2850</v>
      </c>
      <c r="G174" s="39">
        <v>3285.1633446288538</v>
      </c>
    </row>
    <row r="175" spans="1:7" ht="11.25" customHeight="1" x14ac:dyDescent="0.2">
      <c r="A175" s="49">
        <v>44531</v>
      </c>
      <c r="B175" s="39">
        <v>2850</v>
      </c>
      <c r="C175" s="39">
        <v>0</v>
      </c>
      <c r="D175" s="39">
        <v>3285.1633446288538</v>
      </c>
      <c r="E175" s="39">
        <v>0</v>
      </c>
      <c r="F175" s="39">
        <v>2850</v>
      </c>
      <c r="G175" s="39">
        <v>3285.1633446288538</v>
      </c>
    </row>
    <row r="176" spans="1:7" ht="11.25" customHeight="1" x14ac:dyDescent="0.2">
      <c r="A176" s="49">
        <v>44562</v>
      </c>
      <c r="B176" s="39">
        <v>2850</v>
      </c>
      <c r="C176" s="39">
        <v>0</v>
      </c>
      <c r="D176" s="39">
        <v>3285.1633446288538</v>
      </c>
      <c r="E176" s="39">
        <v>0</v>
      </c>
      <c r="F176" s="39">
        <v>2850</v>
      </c>
      <c r="G176" s="39">
        <v>3285.1633446288538</v>
      </c>
    </row>
    <row r="177" spans="1:7" ht="11.25" customHeight="1" x14ac:dyDescent="0.2">
      <c r="A177" s="49">
        <v>44593</v>
      </c>
      <c r="B177" s="39">
        <v>2850</v>
      </c>
      <c r="C177" s="39">
        <v>0</v>
      </c>
      <c r="D177" s="39">
        <v>3285.1633446288538</v>
      </c>
      <c r="E177" s="39">
        <v>0</v>
      </c>
      <c r="F177" s="39">
        <v>2850</v>
      </c>
      <c r="G177" s="39">
        <v>3285.1633446288538</v>
      </c>
    </row>
    <row r="178" spans="1:7" ht="11.25" customHeight="1" x14ac:dyDescent="0.2">
      <c r="A178" s="49">
        <v>44621</v>
      </c>
      <c r="B178" s="39">
        <v>2850</v>
      </c>
      <c r="C178" s="39">
        <v>0</v>
      </c>
      <c r="D178" s="39">
        <v>3285.1633446288538</v>
      </c>
      <c r="E178" s="39">
        <v>0</v>
      </c>
      <c r="F178" s="39">
        <v>2850</v>
      </c>
      <c r="G178" s="39">
        <v>3285.1633446288538</v>
      </c>
    </row>
    <row r="179" spans="1:7" ht="11.25" customHeight="1" x14ac:dyDescent="0.2">
      <c r="A179" s="49">
        <v>44652</v>
      </c>
      <c r="B179" s="39">
        <v>2850</v>
      </c>
      <c r="C179" s="39">
        <v>0</v>
      </c>
      <c r="D179" s="39">
        <v>3285.1633446288538</v>
      </c>
      <c r="E179" s="39">
        <v>0</v>
      </c>
      <c r="F179" s="39">
        <v>2850</v>
      </c>
      <c r="G179" s="39">
        <v>3285.1633446288538</v>
      </c>
    </row>
    <row r="180" spans="1:7" ht="11.25" customHeight="1" x14ac:dyDescent="0.2">
      <c r="A180" s="49">
        <v>44682</v>
      </c>
      <c r="B180" s="39">
        <v>2850</v>
      </c>
      <c r="C180" s="39">
        <v>0</v>
      </c>
      <c r="D180" s="39">
        <v>3285.1633446288538</v>
      </c>
      <c r="E180" s="39">
        <v>0</v>
      </c>
      <c r="F180" s="39">
        <v>2850</v>
      </c>
      <c r="G180" s="39">
        <v>3285.1633446288538</v>
      </c>
    </row>
    <row r="181" spans="1:7" ht="11.25" customHeight="1" x14ac:dyDescent="0.2">
      <c r="A181" s="49">
        <v>44713</v>
      </c>
      <c r="B181" s="39">
        <v>2850</v>
      </c>
      <c r="C181" s="39">
        <v>0</v>
      </c>
      <c r="D181" s="39">
        <v>3285.1633446288538</v>
      </c>
      <c r="E181" s="39">
        <v>0</v>
      </c>
      <c r="F181" s="39">
        <v>2850</v>
      </c>
      <c r="G181" s="39">
        <v>3285.1633446288538</v>
      </c>
    </row>
    <row r="182" spans="1:7" ht="11.25" customHeight="1" x14ac:dyDescent="0.2">
      <c r="A182" s="49">
        <v>44743</v>
      </c>
      <c r="B182" s="39">
        <v>2850</v>
      </c>
      <c r="C182" s="39">
        <v>0</v>
      </c>
      <c r="D182" s="39">
        <v>3285.1633446288538</v>
      </c>
      <c r="E182" s="39">
        <v>0</v>
      </c>
      <c r="F182" s="39">
        <v>2850</v>
      </c>
      <c r="G182" s="39">
        <v>3285.1633446288538</v>
      </c>
    </row>
    <row r="183" spans="1:7" ht="11.25" customHeight="1" x14ac:dyDescent="0.2">
      <c r="A183" s="49">
        <v>44774</v>
      </c>
      <c r="B183" s="39">
        <v>2850</v>
      </c>
      <c r="C183" s="39">
        <v>0</v>
      </c>
      <c r="D183" s="39">
        <v>3285.1633446288538</v>
      </c>
      <c r="E183" s="39">
        <v>0</v>
      </c>
      <c r="F183" s="39">
        <v>2850</v>
      </c>
      <c r="G183" s="39">
        <v>3285.1633446288538</v>
      </c>
    </row>
    <row r="184" spans="1:7" ht="11.25" customHeight="1" x14ac:dyDescent="0.2">
      <c r="A184" s="47" t="s">
        <v>59</v>
      </c>
      <c r="B184" s="39">
        <v>28488.599999999995</v>
      </c>
      <c r="C184" s="39">
        <v>0</v>
      </c>
      <c r="D184" s="39">
        <v>32838.492792910023</v>
      </c>
      <c r="E184" s="39">
        <v>0</v>
      </c>
      <c r="F184" s="39">
        <v>28488.599999999995</v>
      </c>
      <c r="G184" s="39">
        <v>32838.492792910023</v>
      </c>
    </row>
    <row r="185" spans="1:7" ht="11.25" customHeight="1" x14ac:dyDescent="0.2">
      <c r="A185" s="48" t="s">
        <v>25</v>
      </c>
      <c r="B185" s="39">
        <v>28488.599999999995</v>
      </c>
      <c r="C185" s="39">
        <v>0</v>
      </c>
      <c r="D185" s="39">
        <v>32838.492792910023</v>
      </c>
      <c r="E185" s="39">
        <v>0</v>
      </c>
      <c r="F185" s="39">
        <v>28488.599999999995</v>
      </c>
      <c r="G185" s="39">
        <v>32838.492792910023</v>
      </c>
    </row>
    <row r="186" spans="1:7" ht="11.25" customHeight="1" x14ac:dyDescent="0.2">
      <c r="A186" s="49">
        <v>44440</v>
      </c>
      <c r="B186" s="39">
        <v>2374.0500000000002</v>
      </c>
      <c r="C186" s="39">
        <v>0</v>
      </c>
      <c r="D186" s="39">
        <v>2736.5410660758353</v>
      </c>
      <c r="E186" s="39">
        <v>0</v>
      </c>
      <c r="F186" s="39">
        <v>2374.0500000000002</v>
      </c>
      <c r="G186" s="39">
        <v>2736.5410660758353</v>
      </c>
    </row>
    <row r="187" spans="1:7" ht="11.25" customHeight="1" x14ac:dyDescent="0.2">
      <c r="A187" s="49">
        <v>44470</v>
      </c>
      <c r="B187" s="39">
        <v>2374.0500000000002</v>
      </c>
      <c r="C187" s="39">
        <v>0</v>
      </c>
      <c r="D187" s="39">
        <v>2736.5410660758353</v>
      </c>
      <c r="E187" s="39">
        <v>0</v>
      </c>
      <c r="F187" s="39">
        <v>2374.0500000000002</v>
      </c>
      <c r="G187" s="39">
        <v>2736.5410660758353</v>
      </c>
    </row>
    <row r="188" spans="1:7" ht="11.25" customHeight="1" x14ac:dyDescent="0.2">
      <c r="A188" s="49">
        <v>44501</v>
      </c>
      <c r="B188" s="39">
        <v>2374.0500000000002</v>
      </c>
      <c r="C188" s="39">
        <v>0</v>
      </c>
      <c r="D188" s="39">
        <v>2736.5410660758353</v>
      </c>
      <c r="E188" s="39">
        <v>0</v>
      </c>
      <c r="F188" s="39">
        <v>2374.0500000000002</v>
      </c>
      <c r="G188" s="39">
        <v>2736.5410660758353</v>
      </c>
    </row>
    <row r="189" spans="1:7" ht="11.25" customHeight="1" x14ac:dyDescent="0.2">
      <c r="A189" s="49">
        <v>44531</v>
      </c>
      <c r="B189" s="39">
        <v>2374.0500000000002</v>
      </c>
      <c r="C189" s="39">
        <v>0</v>
      </c>
      <c r="D189" s="39">
        <v>2736.5410660758353</v>
      </c>
      <c r="E189" s="39">
        <v>0</v>
      </c>
      <c r="F189" s="39">
        <v>2374.0500000000002</v>
      </c>
      <c r="G189" s="39">
        <v>2736.5410660758353</v>
      </c>
    </row>
    <row r="190" spans="1:7" ht="11.25" customHeight="1" x14ac:dyDescent="0.2">
      <c r="A190" s="49">
        <v>44562</v>
      </c>
      <c r="B190" s="39">
        <v>2374.0500000000002</v>
      </c>
      <c r="C190" s="39">
        <v>0</v>
      </c>
      <c r="D190" s="39">
        <v>2736.5410660758353</v>
      </c>
      <c r="E190" s="39">
        <v>0</v>
      </c>
      <c r="F190" s="39">
        <v>2374.0500000000002</v>
      </c>
      <c r="G190" s="39">
        <v>2736.5410660758353</v>
      </c>
    </row>
    <row r="191" spans="1:7" ht="11.25" customHeight="1" x14ac:dyDescent="0.2">
      <c r="A191" s="49">
        <v>44593</v>
      </c>
      <c r="B191" s="39">
        <v>2374.0500000000002</v>
      </c>
      <c r="C191" s="39">
        <v>0</v>
      </c>
      <c r="D191" s="39">
        <v>2736.5410660758353</v>
      </c>
      <c r="E191" s="39">
        <v>0</v>
      </c>
      <c r="F191" s="39">
        <v>2374.0500000000002</v>
      </c>
      <c r="G191" s="39">
        <v>2736.5410660758353</v>
      </c>
    </row>
    <row r="192" spans="1:7" ht="11.25" customHeight="1" x14ac:dyDescent="0.2">
      <c r="A192" s="49">
        <v>44621</v>
      </c>
      <c r="B192" s="39">
        <v>2374.0500000000002</v>
      </c>
      <c r="C192" s="39">
        <v>0</v>
      </c>
      <c r="D192" s="39">
        <v>2736.5410660758353</v>
      </c>
      <c r="E192" s="39">
        <v>0</v>
      </c>
      <c r="F192" s="39">
        <v>2374.0500000000002</v>
      </c>
      <c r="G192" s="39">
        <v>2736.5410660758353</v>
      </c>
    </row>
    <row r="193" spans="1:7" ht="11.25" customHeight="1" x14ac:dyDescent="0.2">
      <c r="A193" s="49">
        <v>44652</v>
      </c>
      <c r="B193" s="39">
        <v>2374.0500000000002</v>
      </c>
      <c r="C193" s="39">
        <v>0</v>
      </c>
      <c r="D193" s="39">
        <v>2736.5410660758353</v>
      </c>
      <c r="E193" s="39">
        <v>0</v>
      </c>
      <c r="F193" s="39">
        <v>2374.0500000000002</v>
      </c>
      <c r="G193" s="39">
        <v>2736.5410660758353</v>
      </c>
    </row>
    <row r="194" spans="1:7" ht="11.25" customHeight="1" x14ac:dyDescent="0.2">
      <c r="A194" s="49">
        <v>44682</v>
      </c>
      <c r="B194" s="39">
        <v>2374.0500000000002</v>
      </c>
      <c r="C194" s="39">
        <v>0</v>
      </c>
      <c r="D194" s="39">
        <v>2736.5410660758353</v>
      </c>
      <c r="E194" s="39">
        <v>0</v>
      </c>
      <c r="F194" s="39">
        <v>2374.0500000000002</v>
      </c>
      <c r="G194" s="39">
        <v>2736.5410660758353</v>
      </c>
    </row>
    <row r="195" spans="1:7" ht="11.25" customHeight="1" x14ac:dyDescent="0.2">
      <c r="A195" s="49">
        <v>44713</v>
      </c>
      <c r="B195" s="39">
        <v>2374.0500000000002</v>
      </c>
      <c r="C195" s="39">
        <v>0</v>
      </c>
      <c r="D195" s="39">
        <v>2736.5410660758353</v>
      </c>
      <c r="E195" s="39">
        <v>0</v>
      </c>
      <c r="F195" s="39">
        <v>2374.0500000000002</v>
      </c>
      <c r="G195" s="39">
        <v>2736.5410660758353</v>
      </c>
    </row>
    <row r="196" spans="1:7" ht="11.25" customHeight="1" x14ac:dyDescent="0.2">
      <c r="A196" s="49">
        <v>44743</v>
      </c>
      <c r="B196" s="39">
        <v>2374.0500000000002</v>
      </c>
      <c r="C196" s="39">
        <v>0</v>
      </c>
      <c r="D196" s="39">
        <v>2736.5410660758353</v>
      </c>
      <c r="E196" s="39">
        <v>0</v>
      </c>
      <c r="F196" s="39">
        <v>2374.0500000000002</v>
      </c>
      <c r="G196" s="39">
        <v>2736.5410660758353</v>
      </c>
    </row>
    <row r="197" spans="1:7" ht="11.25" customHeight="1" x14ac:dyDescent="0.2">
      <c r="A197" s="49">
        <v>44774</v>
      </c>
      <c r="B197" s="39">
        <v>2374.0500000000002</v>
      </c>
      <c r="C197" s="39">
        <v>0</v>
      </c>
      <c r="D197" s="39">
        <v>2736.5410660758353</v>
      </c>
      <c r="E197" s="39">
        <v>0</v>
      </c>
      <c r="F197" s="39">
        <v>2374.0500000000002</v>
      </c>
      <c r="G197" s="39">
        <v>2736.5410660758353</v>
      </c>
    </row>
    <row r="198" spans="1:7" ht="11.25" customHeight="1" x14ac:dyDescent="0.2">
      <c r="A198" s="47" t="s">
        <v>62</v>
      </c>
      <c r="B198" s="39">
        <v>17100</v>
      </c>
      <c r="C198" s="39">
        <v>0</v>
      </c>
      <c r="D198" s="39">
        <v>19710.980067773122</v>
      </c>
      <c r="E198" s="39">
        <v>0</v>
      </c>
      <c r="F198" s="39">
        <v>17100</v>
      </c>
      <c r="G198" s="39">
        <v>19710.980067773122</v>
      </c>
    </row>
    <row r="199" spans="1:7" ht="11.25" customHeight="1" x14ac:dyDescent="0.2">
      <c r="A199" s="48" t="s">
        <v>25</v>
      </c>
      <c r="B199" s="39">
        <v>17100</v>
      </c>
      <c r="C199" s="39">
        <v>0</v>
      </c>
      <c r="D199" s="39">
        <v>19710.980067773122</v>
      </c>
      <c r="E199" s="39">
        <v>0</v>
      </c>
      <c r="F199" s="39">
        <v>17100</v>
      </c>
      <c r="G199" s="39">
        <v>19710.980067773122</v>
      </c>
    </row>
    <row r="200" spans="1:7" ht="11.25" customHeight="1" x14ac:dyDescent="0.2">
      <c r="A200" s="49">
        <v>44440</v>
      </c>
      <c r="B200" s="39">
        <v>1425</v>
      </c>
      <c r="C200" s="39">
        <v>0</v>
      </c>
      <c r="D200" s="39">
        <v>1642.5816723144269</v>
      </c>
      <c r="E200" s="39">
        <v>0</v>
      </c>
      <c r="F200" s="39">
        <v>1425</v>
      </c>
      <c r="G200" s="39">
        <v>1642.5816723144269</v>
      </c>
    </row>
    <row r="201" spans="1:7" ht="11.25" customHeight="1" x14ac:dyDescent="0.2">
      <c r="A201" s="49">
        <v>44470</v>
      </c>
      <c r="B201" s="39">
        <v>1425</v>
      </c>
      <c r="C201" s="39">
        <v>0</v>
      </c>
      <c r="D201" s="39">
        <v>1642.5816723144269</v>
      </c>
      <c r="E201" s="39">
        <v>0</v>
      </c>
      <c r="F201" s="39">
        <v>1425</v>
      </c>
      <c r="G201" s="39">
        <v>1642.5816723144269</v>
      </c>
    </row>
    <row r="202" spans="1:7" ht="11.25" customHeight="1" x14ac:dyDescent="0.2">
      <c r="A202" s="49">
        <v>44501</v>
      </c>
      <c r="B202" s="39">
        <v>1425</v>
      </c>
      <c r="C202" s="39">
        <v>0</v>
      </c>
      <c r="D202" s="39">
        <v>1642.5816723144269</v>
      </c>
      <c r="E202" s="39">
        <v>0</v>
      </c>
      <c r="F202" s="39">
        <v>1425</v>
      </c>
      <c r="G202" s="39">
        <v>1642.5816723144269</v>
      </c>
    </row>
    <row r="203" spans="1:7" ht="11.25" customHeight="1" x14ac:dyDescent="0.2">
      <c r="A203" s="49">
        <v>44531</v>
      </c>
      <c r="B203" s="39">
        <v>1425</v>
      </c>
      <c r="C203" s="39">
        <v>0</v>
      </c>
      <c r="D203" s="39">
        <v>1642.5816723144269</v>
      </c>
      <c r="E203" s="39">
        <v>0</v>
      </c>
      <c r="F203" s="39">
        <v>1425</v>
      </c>
      <c r="G203" s="39">
        <v>1642.5816723144269</v>
      </c>
    </row>
    <row r="204" spans="1:7" ht="11.25" customHeight="1" x14ac:dyDescent="0.2">
      <c r="A204" s="49">
        <v>44562</v>
      </c>
      <c r="B204" s="39">
        <v>1425</v>
      </c>
      <c r="C204" s="39">
        <v>0</v>
      </c>
      <c r="D204" s="39">
        <v>1642.5816723144269</v>
      </c>
      <c r="E204" s="39">
        <v>0</v>
      </c>
      <c r="F204" s="39">
        <v>1425</v>
      </c>
      <c r="G204" s="39">
        <v>1642.5816723144269</v>
      </c>
    </row>
    <row r="205" spans="1:7" ht="11.25" customHeight="1" x14ac:dyDescent="0.2">
      <c r="A205" s="49">
        <v>44593</v>
      </c>
      <c r="B205" s="39">
        <v>1425</v>
      </c>
      <c r="C205" s="39">
        <v>0</v>
      </c>
      <c r="D205" s="39">
        <v>1642.5816723144269</v>
      </c>
      <c r="E205" s="39">
        <v>0</v>
      </c>
      <c r="F205" s="39">
        <v>1425</v>
      </c>
      <c r="G205" s="39">
        <v>1642.5816723144269</v>
      </c>
    </row>
    <row r="206" spans="1:7" ht="11.25" customHeight="1" x14ac:dyDescent="0.2">
      <c r="A206" s="49">
        <v>44621</v>
      </c>
      <c r="B206" s="39">
        <v>1425</v>
      </c>
      <c r="C206" s="39">
        <v>0</v>
      </c>
      <c r="D206" s="39">
        <v>1642.5816723144269</v>
      </c>
      <c r="E206" s="39">
        <v>0</v>
      </c>
      <c r="F206" s="39">
        <v>1425</v>
      </c>
      <c r="G206" s="39">
        <v>1642.5816723144269</v>
      </c>
    </row>
    <row r="207" spans="1:7" ht="11.25" customHeight="1" x14ac:dyDescent="0.2">
      <c r="A207" s="49">
        <v>44652</v>
      </c>
      <c r="B207" s="39">
        <v>1425</v>
      </c>
      <c r="C207" s="39">
        <v>0</v>
      </c>
      <c r="D207" s="39">
        <v>1642.5816723144269</v>
      </c>
      <c r="E207" s="39">
        <v>0</v>
      </c>
      <c r="F207" s="39">
        <v>1425</v>
      </c>
      <c r="G207" s="39">
        <v>1642.5816723144269</v>
      </c>
    </row>
    <row r="208" spans="1:7" ht="11.25" customHeight="1" x14ac:dyDescent="0.2">
      <c r="A208" s="49">
        <v>44682</v>
      </c>
      <c r="B208" s="39">
        <v>1425</v>
      </c>
      <c r="C208" s="39">
        <v>0</v>
      </c>
      <c r="D208" s="39">
        <v>1642.5816723144269</v>
      </c>
      <c r="E208" s="39">
        <v>0</v>
      </c>
      <c r="F208" s="39">
        <v>1425</v>
      </c>
      <c r="G208" s="39">
        <v>1642.5816723144269</v>
      </c>
    </row>
    <row r="209" spans="1:7" ht="11.25" customHeight="1" x14ac:dyDescent="0.2">
      <c r="A209" s="49">
        <v>44713</v>
      </c>
      <c r="B209" s="39">
        <v>1425</v>
      </c>
      <c r="C209" s="39">
        <v>0</v>
      </c>
      <c r="D209" s="39">
        <v>1642.5816723144269</v>
      </c>
      <c r="E209" s="39">
        <v>0</v>
      </c>
      <c r="F209" s="39">
        <v>1425</v>
      </c>
      <c r="G209" s="39">
        <v>1642.5816723144269</v>
      </c>
    </row>
    <row r="210" spans="1:7" ht="11.25" customHeight="1" x14ac:dyDescent="0.2">
      <c r="A210" s="49">
        <v>44743</v>
      </c>
      <c r="B210" s="39">
        <v>1425</v>
      </c>
      <c r="C210" s="39">
        <v>0</v>
      </c>
      <c r="D210" s="39">
        <v>1642.5816723144269</v>
      </c>
      <c r="E210" s="39">
        <v>0</v>
      </c>
      <c r="F210" s="39">
        <v>1425</v>
      </c>
      <c r="G210" s="39">
        <v>1642.5816723144269</v>
      </c>
    </row>
    <row r="211" spans="1:7" ht="11.25" customHeight="1" x14ac:dyDescent="0.2">
      <c r="A211" s="49">
        <v>44774</v>
      </c>
      <c r="B211" s="39">
        <v>1425</v>
      </c>
      <c r="C211" s="39">
        <v>0</v>
      </c>
      <c r="D211" s="39">
        <v>1642.5816723144269</v>
      </c>
      <c r="E211" s="39">
        <v>0</v>
      </c>
      <c r="F211" s="39">
        <v>1425</v>
      </c>
      <c r="G211" s="39">
        <v>1642.5816723144269</v>
      </c>
    </row>
    <row r="212" spans="1:7" ht="11.25" customHeight="1" x14ac:dyDescent="0.2">
      <c r="A212" s="41" t="s">
        <v>599</v>
      </c>
      <c r="B212" s="39">
        <v>0</v>
      </c>
      <c r="C212" s="39">
        <v>756721.19075599988</v>
      </c>
      <c r="D212" s="39">
        <v>0</v>
      </c>
      <c r="E212" s="39">
        <v>702893.73861709086</v>
      </c>
      <c r="F212" s="39">
        <v>756721.190756</v>
      </c>
      <c r="G212" s="39">
        <v>702893.73861709086</v>
      </c>
    </row>
    <row r="213" spans="1:7" ht="11.25" customHeight="1" x14ac:dyDescent="0.2">
      <c r="A213" s="42" t="s">
        <v>40</v>
      </c>
      <c r="B213" s="39">
        <v>0</v>
      </c>
      <c r="C213" s="39">
        <v>756721.19075599988</v>
      </c>
      <c r="D213" s="39">
        <v>0</v>
      </c>
      <c r="E213" s="39">
        <v>702893.73861709086</v>
      </c>
      <c r="F213" s="39">
        <v>756721.190756</v>
      </c>
      <c r="G213" s="39">
        <v>702893.73861709086</v>
      </c>
    </row>
    <row r="214" spans="1:7" ht="11.25" customHeight="1" x14ac:dyDescent="0.2">
      <c r="A214" s="43" t="s">
        <v>23</v>
      </c>
      <c r="B214" s="39">
        <v>0</v>
      </c>
      <c r="C214" s="39">
        <v>756721.19075599988</v>
      </c>
      <c r="D214" s="39">
        <v>0</v>
      </c>
      <c r="E214" s="39">
        <v>702893.73861709086</v>
      </c>
      <c r="F214" s="39">
        <v>756721.190756</v>
      </c>
      <c r="G214" s="39">
        <v>702893.73861709086</v>
      </c>
    </row>
    <row r="215" spans="1:7" ht="11.25" customHeight="1" x14ac:dyDescent="0.2">
      <c r="A215" s="44" t="s">
        <v>41</v>
      </c>
      <c r="B215" s="39">
        <v>0</v>
      </c>
      <c r="C215" s="39">
        <v>756721.19075599988</v>
      </c>
      <c r="D215" s="39">
        <v>0</v>
      </c>
      <c r="E215" s="39">
        <v>702893.73861709086</v>
      </c>
      <c r="F215" s="39">
        <v>756721.190756</v>
      </c>
      <c r="G215" s="39">
        <v>702893.73861709086</v>
      </c>
    </row>
    <row r="216" spans="1:7" ht="11.25" customHeight="1" x14ac:dyDescent="0.2">
      <c r="A216" s="45" t="s">
        <v>50</v>
      </c>
      <c r="B216" s="39">
        <v>0</v>
      </c>
      <c r="C216" s="39">
        <v>756721.19075599988</v>
      </c>
      <c r="D216" s="39">
        <v>0</v>
      </c>
      <c r="E216" s="39">
        <v>702893.73861709086</v>
      </c>
      <c r="F216" s="39">
        <v>756721.190756</v>
      </c>
      <c r="G216" s="39">
        <v>702893.73861709086</v>
      </c>
    </row>
    <row r="217" spans="1:7" ht="11.25" customHeight="1" x14ac:dyDescent="0.2">
      <c r="A217" s="46" t="s">
        <v>52</v>
      </c>
      <c r="B217" s="39">
        <v>0</v>
      </c>
      <c r="C217" s="39">
        <v>756721.19075599988</v>
      </c>
      <c r="D217" s="39">
        <v>0</v>
      </c>
      <c r="E217" s="39">
        <v>702893.73861709086</v>
      </c>
      <c r="F217" s="39">
        <v>756721.190756</v>
      </c>
      <c r="G217" s="39">
        <v>702893.73861709086</v>
      </c>
    </row>
    <row r="218" spans="1:7" ht="11.25" customHeight="1" x14ac:dyDescent="0.2">
      <c r="A218" s="47" t="s">
        <v>25</v>
      </c>
      <c r="B218" s="39">
        <v>0</v>
      </c>
      <c r="C218" s="39">
        <v>756721.19075599988</v>
      </c>
      <c r="D218" s="39">
        <v>0</v>
      </c>
      <c r="E218" s="39">
        <v>702893.73861709086</v>
      </c>
      <c r="F218" s="39">
        <v>756721.190756</v>
      </c>
      <c r="G218" s="39">
        <v>702893.73861709086</v>
      </c>
    </row>
    <row r="219" spans="1:7" ht="11.25" customHeight="1" x14ac:dyDescent="0.2">
      <c r="A219" s="48" t="s">
        <v>25</v>
      </c>
      <c r="B219" s="39">
        <v>0</v>
      </c>
      <c r="C219" s="39">
        <v>756721.19075599988</v>
      </c>
      <c r="D219" s="39">
        <v>0</v>
      </c>
      <c r="E219" s="39">
        <v>702893.73861709086</v>
      </c>
      <c r="F219" s="39">
        <v>756721.190756</v>
      </c>
      <c r="G219" s="39">
        <v>702893.73861709086</v>
      </c>
    </row>
    <row r="220" spans="1:7" ht="11.25" customHeight="1" x14ac:dyDescent="0.2">
      <c r="A220" s="49">
        <v>44440</v>
      </c>
      <c r="B220" s="39">
        <v>0</v>
      </c>
      <c r="C220" s="39">
        <v>60857.422217999992</v>
      </c>
      <c r="D220" s="39">
        <v>0</v>
      </c>
      <c r="E220" s="39">
        <v>56528.483076670942</v>
      </c>
      <c r="F220" s="39">
        <v>60857.422217999992</v>
      </c>
      <c r="G220" s="39">
        <v>56528.483076670942</v>
      </c>
    </row>
    <row r="221" spans="1:7" ht="11.25" customHeight="1" x14ac:dyDescent="0.2">
      <c r="A221" s="49">
        <v>44470</v>
      </c>
      <c r="B221" s="39">
        <v>0</v>
      </c>
      <c r="C221" s="39">
        <v>65617.522794000004</v>
      </c>
      <c r="D221" s="39">
        <v>0</v>
      </c>
      <c r="E221" s="39">
        <v>60949.985911440715</v>
      </c>
      <c r="F221" s="39">
        <v>65617.522794000004</v>
      </c>
      <c r="G221" s="39">
        <v>60949.985911440715</v>
      </c>
    </row>
    <row r="222" spans="1:7" ht="11.25" customHeight="1" x14ac:dyDescent="0.2">
      <c r="A222" s="49">
        <v>44501</v>
      </c>
      <c r="B222" s="39">
        <v>0</v>
      </c>
      <c r="C222" s="39">
        <v>69114.616885999989</v>
      </c>
      <c r="D222" s="39">
        <v>0</v>
      </c>
      <c r="E222" s="39">
        <v>64198.323040953204</v>
      </c>
      <c r="F222" s="39">
        <v>69114.616885999989</v>
      </c>
      <c r="G222" s="39">
        <v>64198.323040953204</v>
      </c>
    </row>
    <row r="223" spans="1:7" ht="11.25" customHeight="1" x14ac:dyDescent="0.2">
      <c r="A223" s="49">
        <v>44531</v>
      </c>
      <c r="B223" s="39">
        <v>0</v>
      </c>
      <c r="C223" s="39">
        <v>59253.979248000003</v>
      </c>
      <c r="D223" s="39">
        <v>0</v>
      </c>
      <c r="E223" s="39">
        <v>55039.096975673019</v>
      </c>
      <c r="F223" s="39">
        <v>59253.979248000003</v>
      </c>
      <c r="G223" s="39">
        <v>55039.096975673019</v>
      </c>
    </row>
    <row r="224" spans="1:7" ht="11.25" customHeight="1" x14ac:dyDescent="0.2">
      <c r="A224" s="49">
        <v>44562</v>
      </c>
      <c r="B224" s="39">
        <v>0</v>
      </c>
      <c r="C224" s="39">
        <v>61762.820135999995</v>
      </c>
      <c r="D224" s="39">
        <v>0</v>
      </c>
      <c r="E224" s="39">
        <v>57369.477798760534</v>
      </c>
      <c r="F224" s="39">
        <v>61762.820135999995</v>
      </c>
      <c r="G224" s="39">
        <v>57369.477798760534</v>
      </c>
    </row>
    <row r="225" spans="1:7" ht="11.25" customHeight="1" x14ac:dyDescent="0.2">
      <c r="A225" s="49">
        <v>44593</v>
      </c>
      <c r="B225" s="39">
        <v>0</v>
      </c>
      <c r="C225" s="39">
        <v>72312.916786000016</v>
      </c>
      <c r="D225" s="39">
        <v>0</v>
      </c>
      <c r="E225" s="39">
        <v>67169.119949235566</v>
      </c>
      <c r="F225" s="39">
        <v>72312.916786000016</v>
      </c>
      <c r="G225" s="39">
        <v>67169.119949235566</v>
      </c>
    </row>
    <row r="226" spans="1:7" ht="11.25" customHeight="1" x14ac:dyDescent="0.2">
      <c r="A226" s="49">
        <v>44621</v>
      </c>
      <c r="B226" s="39">
        <v>0</v>
      </c>
      <c r="C226" s="39">
        <v>69016.73603</v>
      </c>
      <c r="D226" s="39">
        <v>0</v>
      </c>
      <c r="E226" s="39">
        <v>64107.404692619188</v>
      </c>
      <c r="F226" s="39">
        <v>69016.73603</v>
      </c>
      <c r="G226" s="39">
        <v>64107.404692619188</v>
      </c>
    </row>
    <row r="227" spans="1:7" ht="11.25" customHeight="1" x14ac:dyDescent="0.2">
      <c r="A227" s="49">
        <v>44652</v>
      </c>
      <c r="B227" s="39">
        <v>0</v>
      </c>
      <c r="C227" s="39">
        <v>66651.711311999999</v>
      </c>
      <c r="D227" s="39">
        <v>0</v>
      </c>
      <c r="E227" s="39">
        <v>61910.610039232961</v>
      </c>
      <c r="F227" s="39">
        <v>66651.711311999999</v>
      </c>
      <c r="G227" s="39">
        <v>61910.610039232961</v>
      </c>
    </row>
    <row r="228" spans="1:7" ht="11.25" customHeight="1" x14ac:dyDescent="0.2">
      <c r="A228" s="49">
        <v>44682</v>
      </c>
      <c r="B228" s="39">
        <v>0</v>
      </c>
      <c r="C228" s="39">
        <v>71164.533936000007</v>
      </c>
      <c r="D228" s="39">
        <v>0</v>
      </c>
      <c r="E228" s="39">
        <v>66102.424415053654</v>
      </c>
      <c r="F228" s="39">
        <v>71164.533936000007</v>
      </c>
      <c r="G228" s="39">
        <v>66102.424415053654</v>
      </c>
    </row>
    <row r="229" spans="1:7" ht="11.25" customHeight="1" x14ac:dyDescent="0.2">
      <c r="A229" s="49">
        <v>44713</v>
      </c>
      <c r="B229" s="39">
        <v>0</v>
      </c>
      <c r="C229" s="39">
        <v>57408.409950000001</v>
      </c>
      <c r="D229" s="39">
        <v>0</v>
      </c>
      <c r="E229" s="39">
        <v>53324.807591954101</v>
      </c>
      <c r="F229" s="39">
        <v>57408.409950000001</v>
      </c>
      <c r="G229" s="39">
        <v>53324.807591954101</v>
      </c>
    </row>
    <row r="230" spans="1:7" ht="11.25" customHeight="1" x14ac:dyDescent="0.2">
      <c r="A230" s="49">
        <v>44743</v>
      </c>
      <c r="B230" s="39">
        <v>0</v>
      </c>
      <c r="C230" s="39">
        <v>51780.260729999995</v>
      </c>
      <c r="D230" s="39">
        <v>0</v>
      </c>
      <c r="E230" s="39">
        <v>48097.002562748508</v>
      </c>
      <c r="F230" s="39">
        <v>51780.260729999995</v>
      </c>
      <c r="G230" s="39">
        <v>48097.002562748508</v>
      </c>
    </row>
    <row r="231" spans="1:7" ht="11.25" customHeight="1" x14ac:dyDescent="0.2">
      <c r="A231" s="49">
        <v>44774</v>
      </c>
      <c r="B231" s="39">
        <v>0</v>
      </c>
      <c r="C231" s="39">
        <v>51780.260729999995</v>
      </c>
      <c r="D231" s="39">
        <v>0</v>
      </c>
      <c r="E231" s="39">
        <v>48097.002562748508</v>
      </c>
      <c r="F231" s="39">
        <v>51780.260729999995</v>
      </c>
      <c r="G231" s="39">
        <v>48097.002562748508</v>
      </c>
    </row>
    <row r="232" spans="1:7" ht="11.25" customHeight="1" x14ac:dyDescent="0.2">
      <c r="A232" s="41" t="s">
        <v>597</v>
      </c>
      <c r="B232" s="39">
        <v>415.7496000000001</v>
      </c>
      <c r="C232" s="39">
        <v>1063381.7175220002</v>
      </c>
      <c r="D232" s="39">
        <v>467.71687230992598</v>
      </c>
      <c r="E232" s="39">
        <v>513634.88066668785</v>
      </c>
      <c r="F232" s="39">
        <v>1063797.4671219999</v>
      </c>
      <c r="G232" s="39">
        <v>514102.59753899788</v>
      </c>
    </row>
    <row r="233" spans="1:7" ht="11.25" customHeight="1" x14ac:dyDescent="0.2">
      <c r="A233" s="42" t="s">
        <v>34</v>
      </c>
      <c r="B233" s="39">
        <v>415.7496000000001</v>
      </c>
      <c r="C233" s="39">
        <v>1679.1763120000007</v>
      </c>
      <c r="D233" s="39">
        <v>467.71687230992598</v>
      </c>
      <c r="E233" s="39">
        <v>1512.5525963111077</v>
      </c>
      <c r="F233" s="39">
        <v>2094.9259120000006</v>
      </c>
      <c r="G233" s="39">
        <v>1980.2694686210336</v>
      </c>
    </row>
    <row r="234" spans="1:7" ht="11.25" customHeight="1" x14ac:dyDescent="0.2">
      <c r="A234" s="43" t="s">
        <v>38</v>
      </c>
      <c r="B234" s="39">
        <v>415.7496000000001</v>
      </c>
      <c r="C234" s="39">
        <v>1679.1763120000007</v>
      </c>
      <c r="D234" s="39">
        <v>467.71687230992598</v>
      </c>
      <c r="E234" s="39">
        <v>1512.5525963111077</v>
      </c>
      <c r="F234" s="39">
        <v>2094.9259120000006</v>
      </c>
      <c r="G234" s="39">
        <v>1980.2694686210336</v>
      </c>
    </row>
    <row r="235" spans="1:7" ht="11.25" customHeight="1" x14ac:dyDescent="0.2">
      <c r="A235" s="44" t="s">
        <v>41</v>
      </c>
      <c r="B235" s="39">
        <v>415.7496000000001</v>
      </c>
      <c r="C235" s="39">
        <v>1679.1763120000007</v>
      </c>
      <c r="D235" s="39">
        <v>467.71687230992598</v>
      </c>
      <c r="E235" s="39">
        <v>1512.5525963111077</v>
      </c>
      <c r="F235" s="39">
        <v>2094.9259120000006</v>
      </c>
      <c r="G235" s="39">
        <v>1980.2694686210336</v>
      </c>
    </row>
    <row r="236" spans="1:7" ht="11.25" customHeight="1" x14ac:dyDescent="0.2">
      <c r="A236" s="45" t="s">
        <v>25</v>
      </c>
      <c r="B236" s="39">
        <v>415.7496000000001</v>
      </c>
      <c r="C236" s="39">
        <v>1679.1763120000007</v>
      </c>
      <c r="D236" s="39">
        <v>467.71687230992598</v>
      </c>
      <c r="E236" s="39">
        <v>1512.5525963111077</v>
      </c>
      <c r="F236" s="39">
        <v>2094.9259120000006</v>
      </c>
      <c r="G236" s="39">
        <v>1980.2694686210336</v>
      </c>
    </row>
    <row r="237" spans="1:7" ht="11.25" customHeight="1" x14ac:dyDescent="0.2">
      <c r="A237" s="46" t="s">
        <v>25</v>
      </c>
      <c r="B237" s="39">
        <v>415.7496000000001</v>
      </c>
      <c r="C237" s="39">
        <v>1679.1763120000007</v>
      </c>
      <c r="D237" s="39">
        <v>467.71687230992598</v>
      </c>
      <c r="E237" s="39">
        <v>1512.5525963111077</v>
      </c>
      <c r="F237" s="39">
        <v>2094.9259120000006</v>
      </c>
      <c r="G237" s="39">
        <v>1980.2694686210336</v>
      </c>
    </row>
    <row r="238" spans="1:7" ht="11.25" customHeight="1" x14ac:dyDescent="0.2">
      <c r="A238" s="47" t="s">
        <v>25</v>
      </c>
      <c r="B238" s="39">
        <v>415.7496000000001</v>
      </c>
      <c r="C238" s="39">
        <v>1679.1763120000007</v>
      </c>
      <c r="D238" s="39">
        <v>467.71687230992598</v>
      </c>
      <c r="E238" s="39">
        <v>1512.5525963111077</v>
      </c>
      <c r="F238" s="39">
        <v>2094.9259120000006</v>
      </c>
      <c r="G238" s="39">
        <v>1980.2694686210336</v>
      </c>
    </row>
    <row r="239" spans="1:7" ht="11.25" customHeight="1" x14ac:dyDescent="0.2">
      <c r="A239" s="48" t="s">
        <v>37</v>
      </c>
      <c r="B239" s="39">
        <v>0</v>
      </c>
      <c r="C239" s="39">
        <v>1244.4470064000006</v>
      </c>
      <c r="D239" s="39">
        <v>0</v>
      </c>
      <c r="E239" s="39">
        <v>1098.1298237496578</v>
      </c>
      <c r="F239" s="39">
        <v>1244.4470064000006</v>
      </c>
      <c r="G239" s="39">
        <v>1098.1298237496578</v>
      </c>
    </row>
    <row r="240" spans="1:7" ht="11.25" customHeight="1" x14ac:dyDescent="0.2">
      <c r="A240" s="49">
        <v>44501</v>
      </c>
      <c r="B240" s="39">
        <v>0</v>
      </c>
      <c r="C240" s="39">
        <v>34.366779199999954</v>
      </c>
      <c r="D240" s="39">
        <v>0</v>
      </c>
      <c r="E240" s="39">
        <v>30.326068520115761</v>
      </c>
      <c r="F240" s="39">
        <v>34.366779199999954</v>
      </c>
      <c r="G240" s="39">
        <v>30.326068520115761</v>
      </c>
    </row>
    <row r="241" spans="1:7" ht="11.25" customHeight="1" x14ac:dyDescent="0.2">
      <c r="A241" s="49">
        <v>44531</v>
      </c>
      <c r="B241" s="39">
        <v>0</v>
      </c>
      <c r="C241" s="39">
        <v>108.04820000000001</v>
      </c>
      <c r="D241" s="39">
        <v>0</v>
      </c>
      <c r="E241" s="39">
        <v>95.344317767059664</v>
      </c>
      <c r="F241" s="39">
        <v>108.04820000000001</v>
      </c>
      <c r="G241" s="39">
        <v>95.344317767059664</v>
      </c>
    </row>
    <row r="242" spans="1:7" ht="11.25" customHeight="1" x14ac:dyDescent="0.2">
      <c r="A242" s="49">
        <v>44562</v>
      </c>
      <c r="B242" s="39">
        <v>0</v>
      </c>
      <c r="C242" s="39">
        <v>186.15587120000046</v>
      </c>
      <c r="D242" s="39">
        <v>0</v>
      </c>
      <c r="E242" s="39">
        <v>164.26839630735793</v>
      </c>
      <c r="F242" s="39">
        <v>186.15587120000046</v>
      </c>
      <c r="G242" s="39">
        <v>164.26839630735793</v>
      </c>
    </row>
    <row r="243" spans="1:7" ht="11.25" customHeight="1" x14ac:dyDescent="0.2">
      <c r="A243" s="49">
        <v>44593</v>
      </c>
      <c r="B243" s="39">
        <v>0</v>
      </c>
      <c r="C243" s="39">
        <v>131.63996560000004</v>
      </c>
      <c r="D243" s="39">
        <v>0</v>
      </c>
      <c r="E243" s="39">
        <v>116.16225639123284</v>
      </c>
      <c r="F243" s="39">
        <v>131.63996560000004</v>
      </c>
      <c r="G243" s="39">
        <v>116.16225639123284</v>
      </c>
    </row>
    <row r="244" spans="1:7" ht="11.25" customHeight="1" x14ac:dyDescent="0.2">
      <c r="A244" s="49">
        <v>44621</v>
      </c>
      <c r="B244" s="39">
        <v>0</v>
      </c>
      <c r="C244" s="39">
        <v>180.82052559999991</v>
      </c>
      <c r="D244" s="39">
        <v>0</v>
      </c>
      <c r="E244" s="39">
        <v>159.56035965072195</v>
      </c>
      <c r="F244" s="39">
        <v>180.82052559999991</v>
      </c>
      <c r="G244" s="39">
        <v>159.56035965072195</v>
      </c>
    </row>
    <row r="245" spans="1:7" ht="11.25" customHeight="1" x14ac:dyDescent="0.2">
      <c r="A245" s="49">
        <v>44652</v>
      </c>
      <c r="B245" s="39">
        <v>0</v>
      </c>
      <c r="C245" s="39">
        <v>147.12439040000021</v>
      </c>
      <c r="D245" s="39">
        <v>0</v>
      </c>
      <c r="E245" s="39">
        <v>129.82608344778126</v>
      </c>
      <c r="F245" s="39">
        <v>147.12439040000021</v>
      </c>
      <c r="G245" s="39">
        <v>129.82608344778126</v>
      </c>
    </row>
    <row r="246" spans="1:7" ht="11.25" customHeight="1" x14ac:dyDescent="0.2">
      <c r="A246" s="49">
        <v>44682</v>
      </c>
      <c r="B246" s="39">
        <v>0</v>
      </c>
      <c r="C246" s="39">
        <v>106.72181519999994</v>
      </c>
      <c r="D246" s="39">
        <v>0</v>
      </c>
      <c r="E246" s="39">
        <v>94.173884073091543</v>
      </c>
      <c r="F246" s="39">
        <v>106.72181519999994</v>
      </c>
      <c r="G246" s="39">
        <v>94.173884073091543</v>
      </c>
    </row>
    <row r="247" spans="1:7" ht="11.25" customHeight="1" x14ac:dyDescent="0.2">
      <c r="A247" s="49">
        <v>44713</v>
      </c>
      <c r="B247" s="39">
        <v>0</v>
      </c>
      <c r="C247" s="39">
        <v>110.0452288000002</v>
      </c>
      <c r="D247" s="39">
        <v>0</v>
      </c>
      <c r="E247" s="39">
        <v>97.106543778202706</v>
      </c>
      <c r="F247" s="39">
        <v>110.0452288000002</v>
      </c>
      <c r="G247" s="39">
        <v>97.106543778202706</v>
      </c>
    </row>
    <row r="248" spans="1:7" ht="11.25" customHeight="1" x14ac:dyDescent="0.2">
      <c r="A248" s="49">
        <v>44743</v>
      </c>
      <c r="B248" s="39">
        <v>0</v>
      </c>
      <c r="C248" s="39">
        <v>119.7621152</v>
      </c>
      <c r="D248" s="39">
        <v>0</v>
      </c>
      <c r="E248" s="39">
        <v>105.68095690704706</v>
      </c>
      <c r="F248" s="39">
        <v>119.7621152</v>
      </c>
      <c r="G248" s="39">
        <v>105.68095690704706</v>
      </c>
    </row>
    <row r="249" spans="1:7" ht="11.25" customHeight="1" x14ac:dyDescent="0.2">
      <c r="A249" s="49">
        <v>44774</v>
      </c>
      <c r="B249" s="39">
        <v>0</v>
      </c>
      <c r="C249" s="39">
        <v>119.7621152</v>
      </c>
      <c r="D249" s="39">
        <v>0</v>
      </c>
      <c r="E249" s="39">
        <v>105.68095690704706</v>
      </c>
      <c r="F249" s="39">
        <v>119.7621152</v>
      </c>
      <c r="G249" s="39">
        <v>105.68095690704706</v>
      </c>
    </row>
    <row r="250" spans="1:7" ht="11.25" customHeight="1" x14ac:dyDescent="0.2">
      <c r="A250" s="48" t="s">
        <v>25</v>
      </c>
      <c r="B250" s="39">
        <v>415.7496000000001</v>
      </c>
      <c r="C250" s="39">
        <v>0</v>
      </c>
      <c r="D250" s="39">
        <v>467.71687230992598</v>
      </c>
      <c r="E250" s="39">
        <v>0</v>
      </c>
      <c r="F250" s="39">
        <v>415.7496000000001</v>
      </c>
      <c r="G250" s="39">
        <v>467.71687230992598</v>
      </c>
    </row>
    <row r="251" spans="1:7" ht="11.25" customHeight="1" x14ac:dyDescent="0.2">
      <c r="A251" s="49">
        <v>44501</v>
      </c>
      <c r="B251" s="39">
        <v>40.68</v>
      </c>
      <c r="C251" s="39">
        <v>0</v>
      </c>
      <c r="D251" s="39">
        <v>45.764860304298026</v>
      </c>
      <c r="E251" s="39">
        <v>0</v>
      </c>
      <c r="F251" s="39">
        <v>40.68</v>
      </c>
      <c r="G251" s="39">
        <v>45.764860304298026</v>
      </c>
    </row>
    <row r="252" spans="1:7" ht="11.25" customHeight="1" x14ac:dyDescent="0.2">
      <c r="A252" s="49">
        <v>44531</v>
      </c>
      <c r="B252" s="39">
        <v>40.68</v>
      </c>
      <c r="C252" s="39">
        <v>0</v>
      </c>
      <c r="D252" s="39">
        <v>45.764860304298026</v>
      </c>
      <c r="E252" s="39">
        <v>0</v>
      </c>
      <c r="F252" s="39">
        <v>40.68</v>
      </c>
      <c r="G252" s="39">
        <v>45.764860304298026</v>
      </c>
    </row>
    <row r="253" spans="1:7" ht="11.25" customHeight="1" x14ac:dyDescent="0.2">
      <c r="A253" s="49">
        <v>44562</v>
      </c>
      <c r="B253" s="39">
        <v>44.748000000000054</v>
      </c>
      <c r="C253" s="39">
        <v>0</v>
      </c>
      <c r="D253" s="39">
        <v>50.341346334727895</v>
      </c>
      <c r="E253" s="39">
        <v>0</v>
      </c>
      <c r="F253" s="39">
        <v>44.748000000000054</v>
      </c>
      <c r="G253" s="39">
        <v>50.341346334727895</v>
      </c>
    </row>
    <row r="254" spans="1:7" ht="11.25" customHeight="1" x14ac:dyDescent="0.2">
      <c r="A254" s="49">
        <v>44593</v>
      </c>
      <c r="B254" s="39">
        <v>40.68</v>
      </c>
      <c r="C254" s="39">
        <v>0</v>
      </c>
      <c r="D254" s="39">
        <v>45.764860304298026</v>
      </c>
      <c r="E254" s="39">
        <v>0</v>
      </c>
      <c r="F254" s="39">
        <v>40.68</v>
      </c>
      <c r="G254" s="39">
        <v>45.764860304298026</v>
      </c>
    </row>
    <row r="255" spans="1:7" ht="11.25" customHeight="1" x14ac:dyDescent="0.2">
      <c r="A255" s="49">
        <v>44621</v>
      </c>
      <c r="B255" s="39">
        <v>43.934400000000075</v>
      </c>
      <c r="C255" s="39">
        <v>0</v>
      </c>
      <c r="D255" s="39">
        <v>49.426049128641949</v>
      </c>
      <c r="E255" s="39">
        <v>0</v>
      </c>
      <c r="F255" s="39">
        <v>43.934400000000075</v>
      </c>
      <c r="G255" s="39">
        <v>49.426049128641949</v>
      </c>
    </row>
    <row r="256" spans="1:7" ht="11.25" customHeight="1" x14ac:dyDescent="0.2">
      <c r="A256" s="49">
        <v>44652</v>
      </c>
      <c r="B256" s="39">
        <v>42.307199999999966</v>
      </c>
      <c r="C256" s="39">
        <v>0</v>
      </c>
      <c r="D256" s="39">
        <v>47.595454716469909</v>
      </c>
      <c r="E256" s="39">
        <v>0</v>
      </c>
      <c r="F256" s="39">
        <v>42.307199999999966</v>
      </c>
      <c r="G256" s="39">
        <v>47.595454716469909</v>
      </c>
    </row>
    <row r="257" spans="1:7" ht="11.25" customHeight="1" x14ac:dyDescent="0.2">
      <c r="A257" s="49">
        <v>44682</v>
      </c>
      <c r="B257" s="39">
        <v>40.68</v>
      </c>
      <c r="C257" s="39">
        <v>0</v>
      </c>
      <c r="D257" s="39">
        <v>45.764860304298026</v>
      </c>
      <c r="E257" s="39">
        <v>0</v>
      </c>
      <c r="F257" s="39">
        <v>40.68</v>
      </c>
      <c r="G257" s="39">
        <v>45.764860304298026</v>
      </c>
    </row>
    <row r="258" spans="1:7" ht="11.25" customHeight="1" x14ac:dyDescent="0.2">
      <c r="A258" s="49">
        <v>44713</v>
      </c>
      <c r="B258" s="39">
        <v>40.68</v>
      </c>
      <c r="C258" s="39">
        <v>0</v>
      </c>
      <c r="D258" s="39">
        <v>45.764860304298026</v>
      </c>
      <c r="E258" s="39">
        <v>0</v>
      </c>
      <c r="F258" s="39">
        <v>40.68</v>
      </c>
      <c r="G258" s="39">
        <v>45.764860304298026</v>
      </c>
    </row>
    <row r="259" spans="1:7" ht="11.25" customHeight="1" x14ac:dyDescent="0.2">
      <c r="A259" s="49">
        <v>44743</v>
      </c>
      <c r="B259" s="39">
        <v>40.68</v>
      </c>
      <c r="C259" s="39">
        <v>0</v>
      </c>
      <c r="D259" s="39">
        <v>45.764860304298026</v>
      </c>
      <c r="E259" s="39">
        <v>0</v>
      </c>
      <c r="F259" s="39">
        <v>40.68</v>
      </c>
      <c r="G259" s="39">
        <v>45.764860304298026</v>
      </c>
    </row>
    <row r="260" spans="1:7" ht="11.25" customHeight="1" x14ac:dyDescent="0.2">
      <c r="A260" s="49">
        <v>44774</v>
      </c>
      <c r="B260" s="39">
        <v>40.68</v>
      </c>
      <c r="C260" s="39">
        <v>0</v>
      </c>
      <c r="D260" s="39">
        <v>45.764860304298026</v>
      </c>
      <c r="E260" s="39">
        <v>0</v>
      </c>
      <c r="F260" s="39">
        <v>40.68</v>
      </c>
      <c r="G260" s="39">
        <v>45.764860304298026</v>
      </c>
    </row>
    <row r="261" spans="1:7" ht="11.25" customHeight="1" x14ac:dyDescent="0.2">
      <c r="A261" s="48" t="s">
        <v>36</v>
      </c>
      <c r="B261" s="39">
        <v>0</v>
      </c>
      <c r="C261" s="39">
        <v>434.72930560000015</v>
      </c>
      <c r="D261" s="39">
        <v>0</v>
      </c>
      <c r="E261" s="39">
        <v>414.42277256145007</v>
      </c>
      <c r="F261" s="39">
        <v>434.72930560000015</v>
      </c>
      <c r="G261" s="39">
        <v>414.42277256145007</v>
      </c>
    </row>
    <row r="262" spans="1:7" ht="11.25" customHeight="1" x14ac:dyDescent="0.2">
      <c r="A262" s="49">
        <v>44501</v>
      </c>
      <c r="B262" s="39">
        <v>0</v>
      </c>
      <c r="C262" s="39">
        <v>53.804649599999991</v>
      </c>
      <c r="D262" s="39">
        <v>0</v>
      </c>
      <c r="E262" s="39">
        <v>51.291393924213295</v>
      </c>
      <c r="F262" s="39">
        <v>53.804649599999991</v>
      </c>
      <c r="G262" s="39">
        <v>51.291393924213295</v>
      </c>
    </row>
    <row r="263" spans="1:7" ht="11.25" customHeight="1" x14ac:dyDescent="0.2">
      <c r="A263" s="49">
        <v>44531</v>
      </c>
      <c r="B263" s="39">
        <v>0</v>
      </c>
      <c r="C263" s="39">
        <v>61.315840000000051</v>
      </c>
      <c r="D263" s="39">
        <v>0</v>
      </c>
      <c r="E263" s="39">
        <v>58.451730967764512</v>
      </c>
      <c r="F263" s="39">
        <v>61.315840000000051</v>
      </c>
      <c r="G263" s="39">
        <v>58.451730967764512</v>
      </c>
    </row>
    <row r="264" spans="1:7" ht="11.25" customHeight="1" x14ac:dyDescent="0.2">
      <c r="A264" s="49">
        <v>44562</v>
      </c>
      <c r="B264" s="39">
        <v>0</v>
      </c>
      <c r="C264" s="39">
        <v>66.75762079999997</v>
      </c>
      <c r="D264" s="39">
        <v>0</v>
      </c>
      <c r="E264" s="39">
        <v>63.639322091153517</v>
      </c>
      <c r="F264" s="39">
        <v>66.75762079999997</v>
      </c>
      <c r="G264" s="39">
        <v>63.639322091153517</v>
      </c>
    </row>
    <row r="265" spans="1:7" ht="11.25" customHeight="1" x14ac:dyDescent="0.2">
      <c r="A265" s="49">
        <v>44593</v>
      </c>
      <c r="B265" s="39">
        <v>0</v>
      </c>
      <c r="C265" s="39">
        <v>52.501687999999959</v>
      </c>
      <c r="D265" s="39">
        <v>0</v>
      </c>
      <c r="E265" s="39">
        <v>50.049294641148279</v>
      </c>
      <c r="F265" s="39">
        <v>52.501687999999959</v>
      </c>
      <c r="G265" s="39">
        <v>50.049294641148279</v>
      </c>
    </row>
    <row r="266" spans="1:7" ht="11.25" customHeight="1" x14ac:dyDescent="0.2">
      <c r="A266" s="49">
        <v>44621</v>
      </c>
      <c r="B266" s="39">
        <v>0</v>
      </c>
      <c r="C266" s="39">
        <v>37.019438400000006</v>
      </c>
      <c r="D266" s="39">
        <v>0</v>
      </c>
      <c r="E266" s="39">
        <v>35.290232571787797</v>
      </c>
      <c r="F266" s="39">
        <v>37.019438400000006</v>
      </c>
      <c r="G266" s="39">
        <v>35.290232571787797</v>
      </c>
    </row>
    <row r="267" spans="1:7" ht="11.25" customHeight="1" x14ac:dyDescent="0.2">
      <c r="A267" s="49">
        <v>44652</v>
      </c>
      <c r="B267" s="39">
        <v>0</v>
      </c>
      <c r="C267" s="39">
        <v>26.902324799999995</v>
      </c>
      <c r="D267" s="39">
        <v>0</v>
      </c>
      <c r="E267" s="39">
        <v>25.645696962106648</v>
      </c>
      <c r="F267" s="39">
        <v>26.902324799999995</v>
      </c>
      <c r="G267" s="39">
        <v>25.645696962106648</v>
      </c>
    </row>
    <row r="268" spans="1:7" ht="11.25" customHeight="1" x14ac:dyDescent="0.2">
      <c r="A268" s="49">
        <v>44682</v>
      </c>
      <c r="B268" s="39">
        <v>0</v>
      </c>
      <c r="C268" s="39">
        <v>30.811209600000076</v>
      </c>
      <c r="D268" s="39">
        <v>0</v>
      </c>
      <c r="E268" s="39">
        <v>29.371994811301708</v>
      </c>
      <c r="F268" s="39">
        <v>30.811209600000076</v>
      </c>
      <c r="G268" s="39">
        <v>29.371994811301708</v>
      </c>
    </row>
    <row r="269" spans="1:7" ht="11.25" customHeight="1" x14ac:dyDescent="0.2">
      <c r="A269" s="49">
        <v>44713</v>
      </c>
      <c r="B269" s="39">
        <v>0</v>
      </c>
      <c r="C269" s="39">
        <v>38.935558400000012</v>
      </c>
      <c r="D269" s="39">
        <v>0</v>
      </c>
      <c r="E269" s="39">
        <v>37.116849164530436</v>
      </c>
      <c r="F269" s="39">
        <v>38.935558400000012</v>
      </c>
      <c r="G269" s="39">
        <v>37.116849164530436</v>
      </c>
    </row>
    <row r="270" spans="1:7" ht="11.25" customHeight="1" x14ac:dyDescent="0.2">
      <c r="A270" s="49">
        <v>44743</v>
      </c>
      <c r="B270" s="39">
        <v>0</v>
      </c>
      <c r="C270" s="39">
        <v>33.34048800000005</v>
      </c>
      <c r="D270" s="39">
        <v>0</v>
      </c>
      <c r="E270" s="39">
        <v>31.783128713721972</v>
      </c>
      <c r="F270" s="39">
        <v>33.34048800000005</v>
      </c>
      <c r="G270" s="39">
        <v>31.783128713721972</v>
      </c>
    </row>
    <row r="271" spans="1:7" ht="11.25" customHeight="1" x14ac:dyDescent="0.2">
      <c r="A271" s="49">
        <v>44774</v>
      </c>
      <c r="B271" s="39">
        <v>0</v>
      </c>
      <c r="C271" s="39">
        <v>33.34048800000005</v>
      </c>
      <c r="D271" s="39">
        <v>0</v>
      </c>
      <c r="E271" s="39">
        <v>31.783128713721972</v>
      </c>
      <c r="F271" s="39">
        <v>33.34048800000005</v>
      </c>
      <c r="G271" s="39">
        <v>31.783128713721972</v>
      </c>
    </row>
    <row r="272" spans="1:7" ht="11.25" customHeight="1" x14ac:dyDescent="0.2">
      <c r="A272" s="42" t="s">
        <v>40</v>
      </c>
      <c r="B272" s="39">
        <v>0</v>
      </c>
      <c r="C272" s="39">
        <v>1061702.5412100002</v>
      </c>
      <c r="D272" s="39">
        <v>0</v>
      </c>
      <c r="E272" s="39">
        <v>512122.32807037677</v>
      </c>
      <c r="F272" s="39">
        <v>1061702.5412099999</v>
      </c>
      <c r="G272" s="39">
        <v>512122.32807037683</v>
      </c>
    </row>
    <row r="273" spans="1:7" ht="11.25" customHeight="1" x14ac:dyDescent="0.2">
      <c r="A273" s="43" t="s">
        <v>23</v>
      </c>
      <c r="B273" s="39">
        <v>0</v>
      </c>
      <c r="C273" s="39">
        <v>1061702.5412100002</v>
      </c>
      <c r="D273" s="39">
        <v>0</v>
      </c>
      <c r="E273" s="39">
        <v>512122.32807037677</v>
      </c>
      <c r="F273" s="39">
        <v>1061702.5412099999</v>
      </c>
      <c r="G273" s="39">
        <v>512122.32807037683</v>
      </c>
    </row>
    <row r="274" spans="1:7" ht="11.25" customHeight="1" x14ac:dyDescent="0.2">
      <c r="A274" s="44" t="s">
        <v>41</v>
      </c>
      <c r="B274" s="39">
        <v>0</v>
      </c>
      <c r="C274" s="39">
        <v>1061702.5412100002</v>
      </c>
      <c r="D274" s="39">
        <v>0</v>
      </c>
      <c r="E274" s="39">
        <v>512122.32807037677</v>
      </c>
      <c r="F274" s="39">
        <v>1061702.5412099999</v>
      </c>
      <c r="G274" s="39">
        <v>512122.32807037683</v>
      </c>
    </row>
    <row r="275" spans="1:7" ht="11.25" customHeight="1" x14ac:dyDescent="0.2">
      <c r="A275" s="45" t="s">
        <v>50</v>
      </c>
      <c r="B275" s="39">
        <v>0</v>
      </c>
      <c r="C275" s="39">
        <v>150059.87067000006</v>
      </c>
      <c r="D275" s="39">
        <v>0</v>
      </c>
      <c r="E275" s="39">
        <v>72382.807174857895</v>
      </c>
      <c r="F275" s="39">
        <v>150059.87067000006</v>
      </c>
      <c r="G275" s="39">
        <v>72382.807174857895</v>
      </c>
    </row>
    <row r="276" spans="1:7" ht="11.25" customHeight="1" x14ac:dyDescent="0.2">
      <c r="A276" s="46" t="s">
        <v>51</v>
      </c>
      <c r="B276" s="39">
        <v>0</v>
      </c>
      <c r="C276" s="39">
        <v>137005.06899000003</v>
      </c>
      <c r="D276" s="39">
        <v>0</v>
      </c>
      <c r="E276" s="39">
        <v>66085.699303910194</v>
      </c>
      <c r="F276" s="39">
        <v>137005.06899</v>
      </c>
      <c r="G276" s="39">
        <v>66085.699303910194</v>
      </c>
    </row>
    <row r="277" spans="1:7" ht="11.25" customHeight="1" x14ac:dyDescent="0.2">
      <c r="A277" s="47" t="s">
        <v>25</v>
      </c>
      <c r="B277" s="39">
        <v>0</v>
      </c>
      <c r="C277" s="39">
        <v>137005.06899000003</v>
      </c>
      <c r="D277" s="39">
        <v>0</v>
      </c>
      <c r="E277" s="39">
        <v>66085.699303910194</v>
      </c>
      <c r="F277" s="39">
        <v>137005.06899</v>
      </c>
      <c r="G277" s="39">
        <v>66085.699303910194</v>
      </c>
    </row>
    <row r="278" spans="1:7" ht="11.25" customHeight="1" x14ac:dyDescent="0.2">
      <c r="A278" s="48" t="s">
        <v>25</v>
      </c>
      <c r="B278" s="39">
        <v>0</v>
      </c>
      <c r="C278" s="39">
        <v>137005.06899000003</v>
      </c>
      <c r="D278" s="39">
        <v>0</v>
      </c>
      <c r="E278" s="39">
        <v>66085.699303910194</v>
      </c>
      <c r="F278" s="39">
        <v>137005.06899</v>
      </c>
      <c r="G278" s="39">
        <v>66085.699303910194</v>
      </c>
    </row>
    <row r="279" spans="1:7" ht="11.25" customHeight="1" x14ac:dyDescent="0.2">
      <c r="A279" s="49">
        <v>44440</v>
      </c>
      <c r="B279" s="39">
        <v>0</v>
      </c>
      <c r="C279" s="39">
        <v>10963.101820000002</v>
      </c>
      <c r="D279" s="39">
        <v>0</v>
      </c>
      <c r="E279" s="39">
        <v>5288.1565306722496</v>
      </c>
      <c r="F279" s="39">
        <v>10963.101820000002</v>
      </c>
      <c r="G279" s="39">
        <v>5288.1565306722496</v>
      </c>
    </row>
    <row r="280" spans="1:7" ht="11.25" customHeight="1" x14ac:dyDescent="0.2">
      <c r="A280" s="49">
        <v>44470</v>
      </c>
      <c r="B280" s="39">
        <v>0</v>
      </c>
      <c r="C280" s="39">
        <v>14589.038170000002</v>
      </c>
      <c r="D280" s="39">
        <v>0</v>
      </c>
      <c r="E280" s="39">
        <v>7037.1614476998648</v>
      </c>
      <c r="F280" s="39">
        <v>14589.038170000002</v>
      </c>
      <c r="G280" s="39">
        <v>7037.1614476998648</v>
      </c>
    </row>
    <row r="281" spans="1:7" ht="11.25" customHeight="1" x14ac:dyDescent="0.2">
      <c r="A281" s="49">
        <v>44501</v>
      </c>
      <c r="B281" s="39">
        <v>0</v>
      </c>
      <c r="C281" s="39">
        <v>10599.673540000002</v>
      </c>
      <c r="D281" s="39">
        <v>0</v>
      </c>
      <c r="E281" s="39">
        <v>5112.853440007988</v>
      </c>
      <c r="F281" s="39">
        <v>10599.673540000002</v>
      </c>
      <c r="G281" s="39">
        <v>5112.853440007988</v>
      </c>
    </row>
    <row r="282" spans="1:7" ht="11.25" customHeight="1" x14ac:dyDescent="0.2">
      <c r="A282" s="49">
        <v>44531</v>
      </c>
      <c r="B282" s="39">
        <v>0</v>
      </c>
      <c r="C282" s="39">
        <v>9380.9328600000008</v>
      </c>
      <c r="D282" s="39">
        <v>0</v>
      </c>
      <c r="E282" s="39">
        <v>4524.9822707025542</v>
      </c>
      <c r="F282" s="39">
        <v>9380.9328600000008</v>
      </c>
      <c r="G282" s="39">
        <v>4524.9822707025542</v>
      </c>
    </row>
    <row r="283" spans="1:7" ht="11.25" customHeight="1" x14ac:dyDescent="0.2">
      <c r="A283" s="49">
        <v>44562</v>
      </c>
      <c r="B283" s="39">
        <v>0</v>
      </c>
      <c r="C283" s="39">
        <v>10920.097730000001</v>
      </c>
      <c r="D283" s="39">
        <v>0</v>
      </c>
      <c r="E283" s="39">
        <v>5267.4130984654767</v>
      </c>
      <c r="F283" s="39">
        <v>10920.097730000001</v>
      </c>
      <c r="G283" s="39">
        <v>5267.4130984654767</v>
      </c>
    </row>
    <row r="284" spans="1:7" ht="11.25" customHeight="1" x14ac:dyDescent="0.2">
      <c r="A284" s="49">
        <v>44593</v>
      </c>
      <c r="B284" s="39">
        <v>0</v>
      </c>
      <c r="C284" s="39">
        <v>11951.957420000002</v>
      </c>
      <c r="D284" s="39">
        <v>0</v>
      </c>
      <c r="E284" s="39">
        <v>5765.1404431533092</v>
      </c>
      <c r="F284" s="39">
        <v>11951.957420000002</v>
      </c>
      <c r="G284" s="39">
        <v>5765.1404431533092</v>
      </c>
    </row>
    <row r="285" spans="1:7" ht="11.25" customHeight="1" x14ac:dyDescent="0.2">
      <c r="A285" s="49">
        <v>44621</v>
      </c>
      <c r="B285" s="39">
        <v>0</v>
      </c>
      <c r="C285" s="39">
        <v>14441.822690000003</v>
      </c>
      <c r="D285" s="39">
        <v>0</v>
      </c>
      <c r="E285" s="39">
        <v>6966.1506594430384</v>
      </c>
      <c r="F285" s="39">
        <v>14441.822690000003</v>
      </c>
      <c r="G285" s="39">
        <v>6966.1506594430384</v>
      </c>
    </row>
    <row r="286" spans="1:7" ht="11.25" customHeight="1" x14ac:dyDescent="0.2">
      <c r="A286" s="49">
        <v>44652</v>
      </c>
      <c r="B286" s="39">
        <v>0</v>
      </c>
      <c r="C286" s="39">
        <v>13213.861170000002</v>
      </c>
      <c r="D286" s="39">
        <v>0</v>
      </c>
      <c r="E286" s="39">
        <v>6373.8317301819934</v>
      </c>
      <c r="F286" s="39">
        <v>13213.861170000002</v>
      </c>
      <c r="G286" s="39">
        <v>6373.8317301819934</v>
      </c>
    </row>
    <row r="287" spans="1:7" ht="11.25" customHeight="1" x14ac:dyDescent="0.2">
      <c r="A287" s="49">
        <v>44682</v>
      </c>
      <c r="B287" s="39">
        <v>0</v>
      </c>
      <c r="C287" s="39">
        <v>11730.81624</v>
      </c>
      <c r="D287" s="39">
        <v>0</v>
      </c>
      <c r="E287" s="39">
        <v>5658.4708897351175</v>
      </c>
      <c r="F287" s="39">
        <v>11730.81624</v>
      </c>
      <c r="G287" s="39">
        <v>5658.4708897351175</v>
      </c>
    </row>
    <row r="288" spans="1:7" ht="11.25" customHeight="1" x14ac:dyDescent="0.2">
      <c r="A288" s="49">
        <v>44713</v>
      </c>
      <c r="B288" s="39">
        <v>0</v>
      </c>
      <c r="C288" s="39">
        <v>11243.781010000001</v>
      </c>
      <c r="D288" s="39">
        <v>0</v>
      </c>
      <c r="E288" s="39">
        <v>5423.5448100107233</v>
      </c>
      <c r="F288" s="39">
        <v>11243.781010000001</v>
      </c>
      <c r="G288" s="39">
        <v>5423.5448100107233</v>
      </c>
    </row>
    <row r="289" spans="1:7" ht="11.25" customHeight="1" x14ac:dyDescent="0.2">
      <c r="A289" s="49">
        <v>44743</v>
      </c>
      <c r="B289" s="39">
        <v>0</v>
      </c>
      <c r="C289" s="39">
        <v>8984.9931699999997</v>
      </c>
      <c r="D289" s="39">
        <v>0</v>
      </c>
      <c r="E289" s="39">
        <v>4333.9969919189398</v>
      </c>
      <c r="F289" s="39">
        <v>8984.9931699999997</v>
      </c>
      <c r="G289" s="39">
        <v>4333.9969919189398</v>
      </c>
    </row>
    <row r="290" spans="1:7" ht="11.25" customHeight="1" x14ac:dyDescent="0.2">
      <c r="A290" s="49">
        <v>44774</v>
      </c>
      <c r="B290" s="39">
        <v>0</v>
      </c>
      <c r="C290" s="39">
        <v>8984.9931699999997</v>
      </c>
      <c r="D290" s="39">
        <v>0</v>
      </c>
      <c r="E290" s="39">
        <v>4333.9969919189398</v>
      </c>
      <c r="F290" s="39">
        <v>8984.9931699999997</v>
      </c>
      <c r="G290" s="39">
        <v>4333.9969919189398</v>
      </c>
    </row>
    <row r="291" spans="1:7" ht="11.25" customHeight="1" x14ac:dyDescent="0.2">
      <c r="A291" s="46" t="s">
        <v>52</v>
      </c>
      <c r="B291" s="39">
        <v>0</v>
      </c>
      <c r="C291" s="39">
        <v>13054.80168</v>
      </c>
      <c r="D291" s="39">
        <v>0</v>
      </c>
      <c r="E291" s="39">
        <v>6297.1078709476997</v>
      </c>
      <c r="F291" s="39">
        <v>13054.80168</v>
      </c>
      <c r="G291" s="39">
        <v>6297.1078709476997</v>
      </c>
    </row>
    <row r="292" spans="1:7" ht="11.25" customHeight="1" x14ac:dyDescent="0.2">
      <c r="A292" s="47" t="s">
        <v>25</v>
      </c>
      <c r="B292" s="39">
        <v>0</v>
      </c>
      <c r="C292" s="39">
        <v>13054.80168</v>
      </c>
      <c r="D292" s="39">
        <v>0</v>
      </c>
      <c r="E292" s="39">
        <v>6297.1078709476997</v>
      </c>
      <c r="F292" s="39">
        <v>13054.80168</v>
      </c>
      <c r="G292" s="39">
        <v>6297.1078709476997</v>
      </c>
    </row>
    <row r="293" spans="1:7" ht="11.25" customHeight="1" x14ac:dyDescent="0.2">
      <c r="A293" s="48" t="s">
        <v>25</v>
      </c>
      <c r="B293" s="39">
        <v>0</v>
      </c>
      <c r="C293" s="39">
        <v>13054.80168</v>
      </c>
      <c r="D293" s="39">
        <v>0</v>
      </c>
      <c r="E293" s="39">
        <v>6297.1078709476997</v>
      </c>
      <c r="F293" s="39">
        <v>13054.80168</v>
      </c>
      <c r="G293" s="39">
        <v>6297.1078709476997</v>
      </c>
    </row>
    <row r="294" spans="1:7" ht="11.25" customHeight="1" x14ac:dyDescent="0.2">
      <c r="A294" s="49">
        <v>44440</v>
      </c>
      <c r="B294" s="39">
        <v>0</v>
      </c>
      <c r="C294" s="39">
        <v>459.61118000000005</v>
      </c>
      <c r="D294" s="39">
        <v>0</v>
      </c>
      <c r="E294" s="39">
        <v>221.69782813227386</v>
      </c>
      <c r="F294" s="39">
        <v>459.61118000000005</v>
      </c>
      <c r="G294" s="39">
        <v>221.69782813227386</v>
      </c>
    </row>
    <row r="295" spans="1:7" ht="11.25" customHeight="1" x14ac:dyDescent="0.2">
      <c r="A295" s="49">
        <v>44470</v>
      </c>
      <c r="B295" s="39">
        <v>0</v>
      </c>
      <c r="C295" s="39">
        <v>472.40907000000004</v>
      </c>
      <c r="D295" s="39">
        <v>0</v>
      </c>
      <c r="E295" s="39">
        <v>227.87101220859623</v>
      </c>
      <c r="F295" s="39">
        <v>472.40907000000004</v>
      </c>
      <c r="G295" s="39">
        <v>227.87101220859623</v>
      </c>
    </row>
    <row r="296" spans="1:7" ht="11.25" customHeight="1" x14ac:dyDescent="0.2">
      <c r="A296" s="49">
        <v>44501</v>
      </c>
      <c r="B296" s="39">
        <v>0</v>
      </c>
      <c r="C296" s="39">
        <v>498.64077000000003</v>
      </c>
      <c r="D296" s="39">
        <v>0</v>
      </c>
      <c r="E296" s="39">
        <v>240.52412242714524</v>
      </c>
      <c r="F296" s="39">
        <v>498.64077000000003</v>
      </c>
      <c r="G296" s="39">
        <v>240.52412242714524</v>
      </c>
    </row>
    <row r="297" spans="1:7" ht="11.25" customHeight="1" x14ac:dyDescent="0.2">
      <c r="A297" s="49">
        <v>44531</v>
      </c>
      <c r="B297" s="39">
        <v>0</v>
      </c>
      <c r="C297" s="39">
        <v>572.16902000000005</v>
      </c>
      <c r="D297" s="39">
        <v>0</v>
      </c>
      <c r="E297" s="39">
        <v>275.99117379732053</v>
      </c>
      <c r="F297" s="39">
        <v>572.16902000000005</v>
      </c>
      <c r="G297" s="39">
        <v>275.99117379732053</v>
      </c>
    </row>
    <row r="298" spans="1:7" ht="11.25" customHeight="1" x14ac:dyDescent="0.2">
      <c r="A298" s="49">
        <v>44562</v>
      </c>
      <c r="B298" s="39">
        <v>0</v>
      </c>
      <c r="C298" s="39">
        <v>521.77236000000005</v>
      </c>
      <c r="D298" s="39">
        <v>0</v>
      </c>
      <c r="E298" s="39">
        <v>251.68186507441121</v>
      </c>
      <c r="F298" s="39">
        <v>521.77236000000005</v>
      </c>
      <c r="G298" s="39">
        <v>251.68186507441121</v>
      </c>
    </row>
    <row r="299" spans="1:7" ht="11.25" customHeight="1" x14ac:dyDescent="0.2">
      <c r="A299" s="49">
        <v>44593</v>
      </c>
      <c r="B299" s="39">
        <v>0</v>
      </c>
      <c r="C299" s="39">
        <v>331.47330000000005</v>
      </c>
      <c r="D299" s="39">
        <v>0</v>
      </c>
      <c r="E299" s="39">
        <v>159.88930185257385</v>
      </c>
      <c r="F299" s="39">
        <v>331.47330000000005</v>
      </c>
      <c r="G299" s="39">
        <v>159.88930185257385</v>
      </c>
    </row>
    <row r="300" spans="1:7" ht="11.25" customHeight="1" x14ac:dyDescent="0.2">
      <c r="A300" s="49">
        <v>44621</v>
      </c>
      <c r="B300" s="39">
        <v>0</v>
      </c>
      <c r="C300" s="39">
        <v>840.84522000000004</v>
      </c>
      <c r="D300" s="39">
        <v>0</v>
      </c>
      <c r="E300" s="39">
        <v>405.58969664185275</v>
      </c>
      <c r="F300" s="39">
        <v>840.84522000000004</v>
      </c>
      <c r="G300" s="39">
        <v>405.58969664185275</v>
      </c>
    </row>
    <row r="301" spans="1:7" ht="11.25" customHeight="1" x14ac:dyDescent="0.2">
      <c r="A301" s="49">
        <v>44652</v>
      </c>
      <c r="B301" s="39">
        <v>0</v>
      </c>
      <c r="C301" s="39">
        <v>2694.7904900000003</v>
      </c>
      <c r="D301" s="39">
        <v>0</v>
      </c>
      <c r="E301" s="39">
        <v>1299.8578470273635</v>
      </c>
      <c r="F301" s="39">
        <v>2694.7904900000003</v>
      </c>
      <c r="G301" s="39">
        <v>1299.8578470273635</v>
      </c>
    </row>
    <row r="302" spans="1:7" ht="11.25" customHeight="1" x14ac:dyDescent="0.2">
      <c r="A302" s="49">
        <v>44682</v>
      </c>
      <c r="B302" s="39">
        <v>0</v>
      </c>
      <c r="C302" s="39">
        <v>2530.6436400000007</v>
      </c>
      <c r="D302" s="39">
        <v>0</v>
      </c>
      <c r="E302" s="39">
        <v>1220.6800512658372</v>
      </c>
      <c r="F302" s="39">
        <v>2530.6436400000007</v>
      </c>
      <c r="G302" s="39">
        <v>1220.6800512658372</v>
      </c>
    </row>
    <row r="303" spans="1:7" ht="11.25" customHeight="1" x14ac:dyDescent="0.2">
      <c r="A303" s="49">
        <v>44713</v>
      </c>
      <c r="B303" s="39">
        <v>0</v>
      </c>
      <c r="C303" s="39">
        <v>1071.44571</v>
      </c>
      <c r="D303" s="39">
        <v>0</v>
      </c>
      <c r="E303" s="39">
        <v>516.82203829036996</v>
      </c>
      <c r="F303" s="39">
        <v>1071.44571</v>
      </c>
      <c r="G303" s="39">
        <v>516.82203829036996</v>
      </c>
    </row>
    <row r="304" spans="1:7" ht="11.25" customHeight="1" x14ac:dyDescent="0.2">
      <c r="A304" s="49">
        <v>44743</v>
      </c>
      <c r="B304" s="39">
        <v>0</v>
      </c>
      <c r="C304" s="39">
        <v>1530.5004600000002</v>
      </c>
      <c r="D304" s="39">
        <v>0</v>
      </c>
      <c r="E304" s="39">
        <v>738.25146711497769</v>
      </c>
      <c r="F304" s="39">
        <v>1530.5004600000002</v>
      </c>
      <c r="G304" s="39">
        <v>738.25146711497769</v>
      </c>
    </row>
    <row r="305" spans="1:7" ht="11.25" customHeight="1" x14ac:dyDescent="0.2">
      <c r="A305" s="49">
        <v>44774</v>
      </c>
      <c r="B305" s="39">
        <v>0</v>
      </c>
      <c r="C305" s="39">
        <v>1530.5004600000002</v>
      </c>
      <c r="D305" s="39">
        <v>0</v>
      </c>
      <c r="E305" s="39">
        <v>738.25146711497769</v>
      </c>
      <c r="F305" s="39">
        <v>1530.5004600000002</v>
      </c>
      <c r="G305" s="39">
        <v>738.25146711497769</v>
      </c>
    </row>
    <row r="306" spans="1:7" ht="11.25" customHeight="1" x14ac:dyDescent="0.2">
      <c r="A306" s="45" t="s">
        <v>25</v>
      </c>
      <c r="B306" s="39">
        <v>0</v>
      </c>
      <c r="C306" s="39">
        <v>911642.67054000008</v>
      </c>
      <c r="D306" s="39">
        <v>0</v>
      </c>
      <c r="E306" s="39">
        <v>439739.52089551889</v>
      </c>
      <c r="F306" s="39">
        <v>911642.67053999996</v>
      </c>
      <c r="G306" s="39">
        <v>439739.52089551889</v>
      </c>
    </row>
    <row r="307" spans="1:7" ht="11.25" customHeight="1" x14ac:dyDescent="0.2">
      <c r="A307" s="46" t="s">
        <v>25</v>
      </c>
      <c r="B307" s="39">
        <v>0</v>
      </c>
      <c r="C307" s="39">
        <v>911642.67054000008</v>
      </c>
      <c r="D307" s="39">
        <v>0</v>
      </c>
      <c r="E307" s="39">
        <v>439739.52089551889</v>
      </c>
      <c r="F307" s="39">
        <v>911642.67053999996</v>
      </c>
      <c r="G307" s="39">
        <v>439739.52089551889</v>
      </c>
    </row>
    <row r="308" spans="1:7" ht="11.25" customHeight="1" x14ac:dyDescent="0.2">
      <c r="A308" s="47" t="s">
        <v>25</v>
      </c>
      <c r="B308" s="39">
        <v>0</v>
      </c>
      <c r="C308" s="39">
        <v>911642.67054000008</v>
      </c>
      <c r="D308" s="39">
        <v>0</v>
      </c>
      <c r="E308" s="39">
        <v>439739.52089551889</v>
      </c>
      <c r="F308" s="39">
        <v>911642.67053999996</v>
      </c>
      <c r="G308" s="39">
        <v>439739.52089551889</v>
      </c>
    </row>
    <row r="309" spans="1:7" ht="11.25" customHeight="1" x14ac:dyDescent="0.2">
      <c r="A309" s="48" t="s">
        <v>25</v>
      </c>
      <c r="B309" s="39">
        <v>0</v>
      </c>
      <c r="C309" s="39">
        <v>911642.67054000008</v>
      </c>
      <c r="D309" s="39">
        <v>0</v>
      </c>
      <c r="E309" s="39">
        <v>439739.52089551889</v>
      </c>
      <c r="F309" s="39">
        <v>911642.67053999996</v>
      </c>
      <c r="G309" s="39">
        <v>439739.52089551889</v>
      </c>
    </row>
    <row r="310" spans="1:7" ht="11.25" customHeight="1" x14ac:dyDescent="0.2">
      <c r="A310" s="49">
        <v>44440</v>
      </c>
      <c r="B310" s="39">
        <v>0</v>
      </c>
      <c r="C310" s="39">
        <v>79254.550620000009</v>
      </c>
      <c r="D310" s="39">
        <v>0</v>
      </c>
      <c r="E310" s="39">
        <v>38229.186988126261</v>
      </c>
      <c r="F310" s="39">
        <v>79254.550620000009</v>
      </c>
      <c r="G310" s="39">
        <v>38229.186988126261</v>
      </c>
    </row>
    <row r="311" spans="1:7" ht="11.25" customHeight="1" x14ac:dyDescent="0.2">
      <c r="A311" s="49">
        <v>44470</v>
      </c>
      <c r="B311" s="39">
        <v>0</v>
      </c>
      <c r="C311" s="39">
        <v>81730.107690000004</v>
      </c>
      <c r="D311" s="39">
        <v>0</v>
      </c>
      <c r="E311" s="39">
        <v>39423.295507933151</v>
      </c>
      <c r="F311" s="39">
        <v>81730.107690000004</v>
      </c>
      <c r="G311" s="39">
        <v>39423.295507933151</v>
      </c>
    </row>
    <row r="312" spans="1:7" ht="11.25" customHeight="1" x14ac:dyDescent="0.2">
      <c r="A312" s="49">
        <v>44501</v>
      </c>
      <c r="B312" s="39">
        <v>0</v>
      </c>
      <c r="C312" s="39">
        <v>83266.410920000024</v>
      </c>
      <c r="D312" s="39">
        <v>0</v>
      </c>
      <c r="E312" s="39">
        <v>40164.345996399505</v>
      </c>
      <c r="F312" s="39">
        <v>83266.410920000024</v>
      </c>
      <c r="G312" s="39">
        <v>40164.345996399505</v>
      </c>
    </row>
    <row r="313" spans="1:7" ht="11.25" customHeight="1" x14ac:dyDescent="0.2">
      <c r="A313" s="49">
        <v>44531</v>
      </c>
      <c r="B313" s="39">
        <v>0</v>
      </c>
      <c r="C313" s="39">
        <v>72256.727960000018</v>
      </c>
      <c r="D313" s="39">
        <v>0</v>
      </c>
      <c r="E313" s="39">
        <v>34853.720609399767</v>
      </c>
      <c r="F313" s="39">
        <v>72256.727960000018</v>
      </c>
      <c r="G313" s="39">
        <v>34853.720609399767</v>
      </c>
    </row>
    <row r="314" spans="1:7" ht="11.25" customHeight="1" x14ac:dyDescent="0.2">
      <c r="A314" s="49">
        <v>44562</v>
      </c>
      <c r="B314" s="39">
        <v>0</v>
      </c>
      <c r="C314" s="39">
        <v>78235.329840000006</v>
      </c>
      <c r="D314" s="39">
        <v>0</v>
      </c>
      <c r="E314" s="39">
        <v>37737.556141998277</v>
      </c>
      <c r="F314" s="39">
        <v>78235.329840000006</v>
      </c>
      <c r="G314" s="39">
        <v>37737.556141998277</v>
      </c>
    </row>
    <row r="315" spans="1:7" ht="11.25" customHeight="1" x14ac:dyDescent="0.2">
      <c r="A315" s="49">
        <v>44593</v>
      </c>
      <c r="B315" s="39">
        <v>0</v>
      </c>
      <c r="C315" s="39">
        <v>83740.807240000009</v>
      </c>
      <c r="D315" s="39">
        <v>0</v>
      </c>
      <c r="E315" s="39">
        <v>40393.175577564049</v>
      </c>
      <c r="F315" s="39">
        <v>83740.807240000009</v>
      </c>
      <c r="G315" s="39">
        <v>40393.175577564049</v>
      </c>
    </row>
    <row r="316" spans="1:7" ht="11.25" customHeight="1" x14ac:dyDescent="0.2">
      <c r="A316" s="49">
        <v>44621</v>
      </c>
      <c r="B316" s="39">
        <v>0</v>
      </c>
      <c r="C316" s="39">
        <v>76695.290580000001</v>
      </c>
      <c r="D316" s="39">
        <v>0</v>
      </c>
      <c r="E316" s="39">
        <v>36994.703543894735</v>
      </c>
      <c r="F316" s="39">
        <v>76695.290580000001</v>
      </c>
      <c r="G316" s="39">
        <v>36994.703543894735</v>
      </c>
    </row>
    <row r="317" spans="1:7" ht="11.25" customHeight="1" x14ac:dyDescent="0.2">
      <c r="A317" s="49">
        <v>44652</v>
      </c>
      <c r="B317" s="39">
        <v>0</v>
      </c>
      <c r="C317" s="39">
        <v>67342.815140000006</v>
      </c>
      <c r="D317" s="39">
        <v>0</v>
      </c>
      <c r="E317" s="39">
        <v>32483.447980641395</v>
      </c>
      <c r="F317" s="39">
        <v>67342.815140000006</v>
      </c>
      <c r="G317" s="39">
        <v>32483.447980641395</v>
      </c>
    </row>
    <row r="318" spans="1:7" ht="11.25" customHeight="1" x14ac:dyDescent="0.2">
      <c r="A318" s="49">
        <v>44682</v>
      </c>
      <c r="B318" s="39">
        <v>0</v>
      </c>
      <c r="C318" s="39">
        <v>68486.914709999997</v>
      </c>
      <c r="D318" s="39">
        <v>0</v>
      </c>
      <c r="E318" s="39">
        <v>33035.315299961323</v>
      </c>
      <c r="F318" s="39">
        <v>68486.914709999997</v>
      </c>
      <c r="G318" s="39">
        <v>33035.315299961323</v>
      </c>
    </row>
    <row r="319" spans="1:7" ht="11.25" customHeight="1" x14ac:dyDescent="0.2">
      <c r="A319" s="49">
        <v>44713</v>
      </c>
      <c r="B319" s="39">
        <v>0</v>
      </c>
      <c r="C319" s="39">
        <v>73957.337020000006</v>
      </c>
      <c r="D319" s="39">
        <v>0</v>
      </c>
      <c r="E319" s="39">
        <v>35674.025579144123</v>
      </c>
      <c r="F319" s="39">
        <v>73957.337020000006</v>
      </c>
      <c r="G319" s="39">
        <v>35674.025579144123</v>
      </c>
    </row>
    <row r="320" spans="1:7" ht="11.25" customHeight="1" x14ac:dyDescent="0.2">
      <c r="A320" s="49">
        <v>44743</v>
      </c>
      <c r="B320" s="39">
        <v>0</v>
      </c>
      <c r="C320" s="39">
        <v>73338.189410000021</v>
      </c>
      <c r="D320" s="39">
        <v>0</v>
      </c>
      <c r="E320" s="39">
        <v>35375.373835228129</v>
      </c>
      <c r="F320" s="39">
        <v>73338.189410000021</v>
      </c>
      <c r="G320" s="39">
        <v>35375.373835228129</v>
      </c>
    </row>
    <row r="321" spans="1:7" ht="11.25" customHeight="1" x14ac:dyDescent="0.2">
      <c r="A321" s="49">
        <v>44774</v>
      </c>
      <c r="B321" s="39">
        <v>0</v>
      </c>
      <c r="C321" s="39">
        <v>73338.189410000021</v>
      </c>
      <c r="D321" s="39">
        <v>0</v>
      </c>
      <c r="E321" s="39">
        <v>35375.373835228129</v>
      </c>
      <c r="F321" s="39">
        <v>73338.189410000021</v>
      </c>
      <c r="G321" s="39">
        <v>35375.373835228129</v>
      </c>
    </row>
    <row r="322" spans="1:7" ht="11.25" customHeight="1" x14ac:dyDescent="0.2">
      <c r="A322" s="41" t="s">
        <v>605</v>
      </c>
      <c r="B322" s="39">
        <v>0</v>
      </c>
      <c r="C322" s="39">
        <v>0</v>
      </c>
      <c r="D322" s="39">
        <v>0</v>
      </c>
      <c r="E322" s="39">
        <v>0</v>
      </c>
      <c r="F322" s="39">
        <v>0</v>
      </c>
      <c r="G322" s="39">
        <v>0</v>
      </c>
    </row>
    <row r="323" spans="1:7" ht="11.25" customHeight="1" x14ac:dyDescent="0.2">
      <c r="A323" s="42" t="s">
        <v>22</v>
      </c>
      <c r="B323" s="39">
        <v>0</v>
      </c>
      <c r="C323" s="39">
        <v>0</v>
      </c>
      <c r="D323" s="39">
        <v>0</v>
      </c>
      <c r="E323" s="39">
        <v>0</v>
      </c>
      <c r="F323" s="39">
        <v>0</v>
      </c>
      <c r="G323" s="39">
        <v>0</v>
      </c>
    </row>
    <row r="324" spans="1:7" ht="11.25" customHeight="1" x14ac:dyDescent="0.2">
      <c r="A324" s="43" t="s">
        <v>23</v>
      </c>
      <c r="B324" s="39">
        <v>0</v>
      </c>
      <c r="C324" s="39">
        <v>0</v>
      </c>
      <c r="D324" s="39">
        <v>0</v>
      </c>
      <c r="E324" s="39">
        <v>0</v>
      </c>
      <c r="F324" s="39">
        <v>0</v>
      </c>
      <c r="G324" s="39">
        <v>0</v>
      </c>
    </row>
    <row r="325" spans="1:7" ht="11.25" customHeight="1" x14ac:dyDescent="0.2">
      <c r="A325" s="44" t="s">
        <v>24</v>
      </c>
      <c r="B325" s="39">
        <v>0</v>
      </c>
      <c r="C325" s="39">
        <v>0</v>
      </c>
      <c r="D325" s="39">
        <v>0</v>
      </c>
      <c r="E325" s="39">
        <v>0</v>
      </c>
      <c r="F325" s="39">
        <v>0</v>
      </c>
      <c r="G325" s="39">
        <v>0</v>
      </c>
    </row>
    <row r="326" spans="1:7" ht="11.25" customHeight="1" x14ac:dyDescent="0.2">
      <c r="A326" s="45" t="s">
        <v>24</v>
      </c>
      <c r="B326" s="39">
        <v>0</v>
      </c>
      <c r="C326" s="39">
        <v>0</v>
      </c>
      <c r="D326" s="39">
        <v>0</v>
      </c>
      <c r="E326" s="39">
        <v>0</v>
      </c>
      <c r="F326" s="39">
        <v>0</v>
      </c>
      <c r="G326" s="39">
        <v>0</v>
      </c>
    </row>
    <row r="327" spans="1:7" ht="11.25" customHeight="1" x14ac:dyDescent="0.2">
      <c r="A327" s="46" t="s">
        <v>25</v>
      </c>
      <c r="B327" s="39">
        <v>0</v>
      </c>
      <c r="C327" s="39">
        <v>0</v>
      </c>
      <c r="D327" s="39">
        <v>0</v>
      </c>
      <c r="E327" s="39">
        <v>0</v>
      </c>
      <c r="F327" s="39">
        <v>0</v>
      </c>
      <c r="G327" s="39">
        <v>0</v>
      </c>
    </row>
    <row r="328" spans="1:7" ht="11.25" customHeight="1" x14ac:dyDescent="0.2">
      <c r="A328" s="47" t="s">
        <v>25</v>
      </c>
      <c r="B328" s="39">
        <v>0</v>
      </c>
      <c r="C328" s="39">
        <v>0</v>
      </c>
      <c r="D328" s="39">
        <v>0</v>
      </c>
      <c r="E328" s="39">
        <v>0</v>
      </c>
      <c r="F328" s="39">
        <v>0</v>
      </c>
      <c r="G328" s="39">
        <v>0</v>
      </c>
    </row>
    <row r="329" spans="1:7" ht="11.25" customHeight="1" x14ac:dyDescent="0.2">
      <c r="A329" s="48" t="s">
        <v>25</v>
      </c>
      <c r="B329" s="39">
        <v>0</v>
      </c>
      <c r="C329" s="39">
        <v>0</v>
      </c>
      <c r="D329" s="39">
        <v>0</v>
      </c>
      <c r="E329" s="39">
        <v>0</v>
      </c>
      <c r="F329" s="39">
        <v>0</v>
      </c>
      <c r="G329" s="39">
        <v>0</v>
      </c>
    </row>
    <row r="330" spans="1:7" ht="11.25" customHeight="1" x14ac:dyDescent="0.2">
      <c r="A330" s="49">
        <v>44440</v>
      </c>
      <c r="B330" s="39">
        <v>0</v>
      </c>
      <c r="C330" s="39">
        <v>0</v>
      </c>
      <c r="D330" s="39">
        <v>0</v>
      </c>
      <c r="E330" s="39">
        <v>0</v>
      </c>
      <c r="F330" s="39">
        <v>0</v>
      </c>
      <c r="G330" s="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F528-099E-4859-931A-175A84086FAA}">
  <dimension ref="A1:V35"/>
  <sheetViews>
    <sheetView showGridLines="0" workbookViewId="0">
      <selection sqref="A1:J1"/>
    </sheetView>
  </sheetViews>
  <sheetFormatPr defaultRowHeight="11.25" customHeight="1" x14ac:dyDescent="0.3"/>
  <cols>
    <col min="1" max="1" width="9" style="8" bestFit="1" customWidth="1"/>
    <col min="2" max="2" width="10.33203125" style="8" bestFit="1" customWidth="1"/>
    <col min="3" max="3" width="9.5546875" style="8" bestFit="1" customWidth="1"/>
    <col min="4" max="4" width="5.88671875" style="8" bestFit="1" customWidth="1"/>
    <col min="5" max="10" width="7.77734375" style="8" customWidth="1"/>
    <col min="11" max="12" width="8.88671875" style="8"/>
    <col min="13" max="13" width="14.33203125" style="8" customWidth="1"/>
    <col min="14" max="14" width="16.77734375" style="8" customWidth="1"/>
    <col min="15" max="15" width="31.77734375" style="8" customWidth="1"/>
    <col min="16" max="22" width="7.77734375" style="8" customWidth="1"/>
    <col min="23" max="16384" width="8.88671875" style="8"/>
  </cols>
  <sheetData>
    <row r="1" spans="1:22" ht="11.25" customHeight="1" x14ac:dyDescent="0.3">
      <c r="A1" s="84" t="s">
        <v>671</v>
      </c>
      <c r="B1" s="105"/>
      <c r="C1" s="105"/>
      <c r="D1" s="105"/>
      <c r="E1" s="105"/>
      <c r="F1" s="105"/>
      <c r="G1" s="105"/>
      <c r="H1" s="105"/>
      <c r="I1" s="105"/>
      <c r="J1" s="105"/>
      <c r="L1" s="84" t="s">
        <v>681</v>
      </c>
      <c r="M1" s="85"/>
      <c r="N1" s="85"/>
      <c r="O1" s="85"/>
      <c r="P1" s="85"/>
      <c r="Q1" s="85"/>
      <c r="R1" s="85"/>
      <c r="S1" s="85"/>
      <c r="T1" s="85"/>
      <c r="U1" s="85"/>
      <c r="V1" s="85"/>
    </row>
    <row r="2" spans="1:22" ht="11.25" customHeight="1" x14ac:dyDescent="0.3">
      <c r="A2" s="100" t="s">
        <v>69</v>
      </c>
      <c r="B2" s="100" t="s">
        <v>70</v>
      </c>
      <c r="C2" s="100" t="s">
        <v>672</v>
      </c>
      <c r="D2" s="100" t="s">
        <v>75</v>
      </c>
      <c r="E2" s="100" t="s">
        <v>673</v>
      </c>
      <c r="F2" s="104"/>
      <c r="G2" s="104"/>
      <c r="H2" s="100" t="s">
        <v>435</v>
      </c>
      <c r="I2" s="104"/>
      <c r="J2" s="104"/>
      <c r="L2" s="100" t="s">
        <v>69</v>
      </c>
      <c r="M2" s="100" t="s">
        <v>70</v>
      </c>
      <c r="N2" s="100" t="s">
        <v>71</v>
      </c>
      <c r="O2" s="100" t="s">
        <v>72</v>
      </c>
      <c r="P2" s="100" t="s">
        <v>75</v>
      </c>
      <c r="Q2" s="100" t="s">
        <v>673</v>
      </c>
      <c r="R2" s="106"/>
      <c r="S2" s="106"/>
      <c r="T2" s="100" t="s">
        <v>435</v>
      </c>
      <c r="U2" s="106"/>
      <c r="V2" s="106"/>
    </row>
    <row r="3" spans="1:22" ht="11.25" customHeight="1" x14ac:dyDescent="0.3">
      <c r="A3" s="104"/>
      <c r="B3" s="104"/>
      <c r="C3" s="104"/>
      <c r="D3" s="104"/>
      <c r="E3" s="100" t="s">
        <v>393</v>
      </c>
      <c r="F3" s="104"/>
      <c r="G3" s="30" t="s">
        <v>421</v>
      </c>
      <c r="H3" s="100" t="s">
        <v>393</v>
      </c>
      <c r="I3" s="104"/>
      <c r="J3" s="30" t="s">
        <v>421</v>
      </c>
      <c r="L3" s="106"/>
      <c r="M3" s="106"/>
      <c r="N3" s="106"/>
      <c r="O3" s="106"/>
      <c r="P3" s="106"/>
      <c r="Q3" s="100" t="s">
        <v>393</v>
      </c>
      <c r="R3" s="106"/>
      <c r="S3" s="30" t="s">
        <v>421</v>
      </c>
      <c r="T3" s="100" t="s">
        <v>393</v>
      </c>
      <c r="U3" s="106"/>
      <c r="V3" s="30" t="s">
        <v>421</v>
      </c>
    </row>
    <row r="4" spans="1:22" ht="11.25" customHeight="1" x14ac:dyDescent="0.3">
      <c r="A4" s="104"/>
      <c r="B4" s="104"/>
      <c r="C4" s="104"/>
      <c r="D4" s="104"/>
      <c r="E4" s="30" t="s">
        <v>674</v>
      </c>
      <c r="F4" s="30" t="s">
        <v>675</v>
      </c>
      <c r="G4" s="30" t="s">
        <v>675</v>
      </c>
      <c r="H4" s="30" t="s">
        <v>674</v>
      </c>
      <c r="I4" s="30" t="s">
        <v>675</v>
      </c>
      <c r="J4" s="30" t="s">
        <v>675</v>
      </c>
      <c r="L4" s="106"/>
      <c r="M4" s="106"/>
      <c r="N4" s="106"/>
      <c r="O4" s="106"/>
      <c r="P4" s="106"/>
      <c r="Q4" s="30" t="s">
        <v>674</v>
      </c>
      <c r="R4" s="30" t="s">
        <v>675</v>
      </c>
      <c r="S4" s="30" t="s">
        <v>675</v>
      </c>
      <c r="T4" s="30" t="s">
        <v>674</v>
      </c>
      <c r="U4" s="30" t="s">
        <v>675</v>
      </c>
      <c r="V4" s="30" t="s">
        <v>675</v>
      </c>
    </row>
    <row r="5" spans="1:22" ht="11.25" customHeight="1" x14ac:dyDescent="0.3">
      <c r="A5" s="103" t="s">
        <v>34</v>
      </c>
      <c r="B5" s="103" t="s">
        <v>35</v>
      </c>
      <c r="C5" s="103" t="s">
        <v>25</v>
      </c>
      <c r="D5" s="31" t="s">
        <v>676</v>
      </c>
      <c r="E5" s="29">
        <f ca="1">ROUND('TUSD BE'!$AM$5+'TUSD BF'!$AM$5+'TUSD CVA'!$AM$5,2)</f>
        <v>63.56</v>
      </c>
      <c r="F5" s="29">
        <f ca="1">ROUND('TUSD BE'!$AM$7+'TUSD BF'!$AM$7+'TUSD CVA'!$AM$7,2)</f>
        <v>111.75</v>
      </c>
      <c r="G5" s="29">
        <f>ROUND('TE BE'!$AB$5+'TE BF'!$AB$5+'TE CVA'!$AB$5,2)</f>
        <v>213.77</v>
      </c>
      <c r="H5" s="29">
        <f ca="1">ROUND('TUSD BE'!$AM$5,2)</f>
        <v>87.11</v>
      </c>
      <c r="I5" s="29">
        <f ca="1">ROUND('TUSD BE'!$AM$7,2)</f>
        <v>112.48</v>
      </c>
      <c r="J5" s="29">
        <f>ROUND('TE BE'!$AB$5,2)</f>
        <v>227.53</v>
      </c>
      <c r="L5" s="107" t="s">
        <v>22</v>
      </c>
      <c r="M5" s="107" t="s">
        <v>682</v>
      </c>
      <c r="N5" s="107" t="s">
        <v>683</v>
      </c>
      <c r="O5" s="107" t="s">
        <v>683</v>
      </c>
      <c r="P5" s="31" t="s">
        <v>676</v>
      </c>
      <c r="Q5" s="29">
        <v>0</v>
      </c>
      <c r="R5" s="29">
        <f ca="1">ROUND('TUSD BE'!$AM$17+'TUSD BF'!$AM$17+'TUSD CVA'!$AM$17,2)</f>
        <v>912.35</v>
      </c>
      <c r="S5" s="29">
        <f>ROUND('TE BE'!$AB$8+'TE BF'!$AB$8+'TE CVA'!$AB$8,2)</f>
        <v>213.77</v>
      </c>
      <c r="T5" s="29">
        <v>0</v>
      </c>
      <c r="U5" s="29">
        <f ca="1">ROUND('TUSD BE'!$AM$17,2)</f>
        <v>1226.54</v>
      </c>
      <c r="V5" s="29">
        <f>ROUND('TE BE'!$AB$8,2)</f>
        <v>227.53</v>
      </c>
    </row>
    <row r="6" spans="1:22" ht="11.25" customHeight="1" x14ac:dyDescent="0.3">
      <c r="A6" s="104"/>
      <c r="B6" s="104"/>
      <c r="C6" s="104"/>
      <c r="D6" s="31" t="s">
        <v>677</v>
      </c>
      <c r="E6" s="29">
        <f ca="1">ROUND('TUSD BE'!$AM$6+'TUSD BF'!$AM$6+'TUSD CVA'!$AM$6,2)</f>
        <v>23.24</v>
      </c>
      <c r="F6" s="29">
        <f ca="1">ROUND('TUSD BE'!$AM$7+'TUSD BF'!$AM$7+'TUSD CVA'!$AM$7,2)</f>
        <v>111.75</v>
      </c>
      <c r="G6" s="29">
        <f>ROUND('TE BE'!$AB$6+'TE BF'!$AB$6+'TE CVA'!$AB$6,2)</f>
        <v>213.77</v>
      </c>
      <c r="H6" s="29">
        <f ca="1">ROUND('TUSD BE'!$AM$6,2)</f>
        <v>29.68</v>
      </c>
      <c r="I6" s="29">
        <f ca="1">ROUND('TUSD BE'!$AM$7,2)</f>
        <v>112.48</v>
      </c>
      <c r="J6" s="29">
        <f>ROUND('TE BE'!$AB$6,2)</f>
        <v>227.53</v>
      </c>
      <c r="L6" s="108"/>
      <c r="M6" s="108"/>
      <c r="N6" s="108"/>
      <c r="O6" s="108"/>
      <c r="P6" s="31" t="s">
        <v>684</v>
      </c>
      <c r="Q6" s="29">
        <v>0</v>
      </c>
      <c r="R6" s="29">
        <f ca="1">ROUND('TUSD BE'!$AM$18+'TUSD BF'!$AM$18+'TUSD CVA'!$AM$18,2)</f>
        <v>605.41999999999996</v>
      </c>
      <c r="S6" s="29">
        <f>ROUND('TE BE'!$AB$9+'TE BF'!$AB$9+'TE CVA'!$AB$9,2)</f>
        <v>213.77</v>
      </c>
      <c r="T6" s="29">
        <v>0</v>
      </c>
      <c r="U6" s="29">
        <f ca="1">ROUND('TUSD BE'!$AM$18,2)</f>
        <v>794.69</v>
      </c>
      <c r="V6" s="29">
        <f>ROUND('TE BE'!$AB$9,2)</f>
        <v>227.53</v>
      </c>
    </row>
    <row r="7" spans="1:22" ht="11.25" customHeight="1" x14ac:dyDescent="0.3">
      <c r="A7" s="104"/>
      <c r="B7" s="103" t="s">
        <v>678</v>
      </c>
      <c r="C7" s="103" t="s">
        <v>25</v>
      </c>
      <c r="D7" s="31" t="s">
        <v>676</v>
      </c>
      <c r="E7" s="29">
        <f ca="1">ROUND('TUSD BE'!$AM$5+'TUSD BF'!$AM$5+'TUSD CVA'!$AM$5,2)</f>
        <v>63.56</v>
      </c>
      <c r="F7" s="29">
        <f ca="1">ROUND('TUSD BE'!$AM$8+'TUSD BF'!$AM$8+'TUSD CVA'!$AM$8,2)</f>
        <v>20.57</v>
      </c>
      <c r="G7" s="29">
        <v>0</v>
      </c>
      <c r="H7" s="29">
        <f ca="1">ROUND('TUSD BE'!$AM$5,2)</f>
        <v>87.11</v>
      </c>
      <c r="I7" s="29">
        <f ca="1">ROUND('TUSD BE'!$AM$8,2)</f>
        <v>21.94</v>
      </c>
      <c r="J7" s="29">
        <v>0</v>
      </c>
      <c r="L7" s="108"/>
      <c r="M7" s="109"/>
      <c r="N7" s="109"/>
      <c r="O7" s="109"/>
      <c r="P7" s="31" t="s">
        <v>677</v>
      </c>
      <c r="Q7" s="29">
        <v>0</v>
      </c>
      <c r="R7" s="29">
        <f ca="1">ROUND('TUSD BE'!$AM$19+'TUSD BF'!$AM$19+'TUSD CVA'!$AM$19,2)</f>
        <v>298.47000000000003</v>
      </c>
      <c r="S7" s="29">
        <f>ROUND('TE BE'!$AB$10+'TE BF'!$AB$10+'TE CVA'!$AB$10,2)</f>
        <v>213.77</v>
      </c>
      <c r="T7" s="29">
        <v>0</v>
      </c>
      <c r="U7" s="29">
        <f ca="1">ROUND('TUSD BE'!$AM$19,2)</f>
        <v>362.81</v>
      </c>
      <c r="V7" s="29">
        <f>ROUND('TE BE'!$AB$10,2)</f>
        <v>227.53</v>
      </c>
    </row>
    <row r="8" spans="1:22" ht="11.25" customHeight="1" x14ac:dyDescent="0.3">
      <c r="A8" s="104"/>
      <c r="B8" s="104"/>
      <c r="C8" s="104"/>
      <c r="D8" s="31" t="s">
        <v>677</v>
      </c>
      <c r="E8" s="29">
        <f ca="1">ROUND('TUSD BE'!$AM$6+'TUSD BF'!$AM$6+'TUSD CVA'!$AM$6,2)</f>
        <v>23.24</v>
      </c>
      <c r="F8" s="29">
        <f ca="1">ROUND('TUSD BE'!$AM$8+'TUSD BF'!$AM$8+'TUSD CVA'!$AM$8,2)</f>
        <v>20.57</v>
      </c>
      <c r="G8" s="29">
        <v>0</v>
      </c>
      <c r="H8" s="29">
        <f ca="1">ROUND('TUSD BE'!$AM$6,2)</f>
        <v>29.68</v>
      </c>
      <c r="I8" s="29">
        <f ca="1">ROUND('TUSD BE'!$AM$8,2)</f>
        <v>21.94</v>
      </c>
      <c r="J8" s="29">
        <v>0</v>
      </c>
      <c r="L8" s="108"/>
      <c r="M8" s="31" t="s">
        <v>685</v>
      </c>
      <c r="N8" s="31" t="s">
        <v>683</v>
      </c>
      <c r="O8" s="31" t="s">
        <v>683</v>
      </c>
      <c r="P8" s="31" t="s">
        <v>679</v>
      </c>
      <c r="Q8" s="29">
        <v>0</v>
      </c>
      <c r="R8" s="29">
        <f ca="1">ROUND('TUSD BE'!$AM$25+'TUSD BF'!$AM$25+'TUSD CVA'!$AM$25,2)</f>
        <v>429.21</v>
      </c>
      <c r="S8" s="29">
        <f>ROUND('TE BE'!$AB$16+'TE BF'!$AB$16+'TE CVA'!$AB$16,2)</f>
        <v>213.77</v>
      </c>
      <c r="T8" s="29">
        <v>0</v>
      </c>
      <c r="U8" s="29">
        <f ca="1">ROUND('TUSD BE'!$AM$25,2)</f>
        <v>546.76</v>
      </c>
      <c r="V8" s="29">
        <f>ROUND('TE BE'!$AB$16,2)</f>
        <v>227.53</v>
      </c>
    </row>
    <row r="9" spans="1:22" ht="11.25" customHeight="1" x14ac:dyDescent="0.3">
      <c r="A9" s="104"/>
      <c r="B9" s="103" t="s">
        <v>38</v>
      </c>
      <c r="C9" s="103" t="s">
        <v>25</v>
      </c>
      <c r="D9" s="31" t="s">
        <v>679</v>
      </c>
      <c r="E9" s="29">
        <f ca="1">ROUND('TUSD BE'!$AM$10+'TUSD BF'!$AM$10+'TUSD CVA'!$AM$10,2)</f>
        <v>23.24</v>
      </c>
      <c r="F9" s="29">
        <v>0</v>
      </c>
      <c r="G9" s="29">
        <v>0</v>
      </c>
      <c r="H9" s="29">
        <f ca="1">ROUND('TUSD BE'!$AM$10,2)</f>
        <v>29.68</v>
      </c>
      <c r="I9" s="29">
        <v>0</v>
      </c>
      <c r="J9" s="29">
        <v>0</v>
      </c>
      <c r="L9" s="108"/>
      <c r="M9" s="31" t="s">
        <v>687</v>
      </c>
      <c r="N9" s="31" t="s">
        <v>683</v>
      </c>
      <c r="O9" s="31" t="s">
        <v>683</v>
      </c>
      <c r="P9" s="31" t="s">
        <v>679</v>
      </c>
      <c r="Q9" s="29">
        <v>0</v>
      </c>
      <c r="R9" s="29">
        <f ca="1">ROUND('TUSD BE'!$AM$20+'TUSD BF'!$AM$20+'TUSD CVA'!$AM$20,2)</f>
        <v>429.21</v>
      </c>
      <c r="S9" s="29">
        <f>ROUND('TE BE'!$AB$11+'TE BF'!$AB$11+'TE CVA'!$AB$11,2)</f>
        <v>213.77</v>
      </c>
      <c r="T9" s="29">
        <v>0</v>
      </c>
      <c r="U9" s="29">
        <f ca="1">ROUND('TUSD BE'!$AM$20,2)</f>
        <v>546.76</v>
      </c>
      <c r="V9" s="29">
        <f>ROUND('TE BE'!$AB$11,2)</f>
        <v>227.53</v>
      </c>
    </row>
    <row r="10" spans="1:22" ht="11.25" customHeight="1" x14ac:dyDescent="0.3">
      <c r="A10" s="104"/>
      <c r="B10" s="104"/>
      <c r="C10" s="104"/>
      <c r="D10" s="31" t="s">
        <v>676</v>
      </c>
      <c r="E10" s="29">
        <v>0</v>
      </c>
      <c r="F10" s="29">
        <f ca="1">ROUND('TUSD BE'!$AM$11+'TUSD BF'!$AM$11+'TUSD CVA'!$AM$11,2)</f>
        <v>1640.71</v>
      </c>
      <c r="G10" s="29">
        <f>ROUND('TE BE'!$AB$5+'TE BF'!$AB$5+'TE CVA'!$AB$5,2)</f>
        <v>213.77</v>
      </c>
      <c r="H10" s="29">
        <v>0</v>
      </c>
      <c r="I10" s="29">
        <f ca="1">ROUND('TUSD BE'!$AM$11,2)</f>
        <v>2207.64</v>
      </c>
      <c r="J10" s="29">
        <f>ROUND('TE BE'!$AB$5,2)</f>
        <v>227.53</v>
      </c>
      <c r="L10" s="108"/>
      <c r="M10" s="31" t="s">
        <v>685</v>
      </c>
      <c r="N10" s="31" t="s">
        <v>683</v>
      </c>
      <c r="O10" s="31" t="s">
        <v>686</v>
      </c>
      <c r="P10" s="31" t="s">
        <v>679</v>
      </c>
      <c r="Q10" s="29">
        <v>0</v>
      </c>
      <c r="R10" s="29">
        <f ca="1">ROUND('TUSD BE'!$AM$26+'TUSD BF'!$AM$26+'TUSD CVA'!$AM$26,2)</f>
        <v>323.42</v>
      </c>
      <c r="S10" s="29">
        <f>ROUND('TE BE'!$AB$17+'TE BF'!$AB$17+'TE CVA'!$AB$17,2)</f>
        <v>213.77</v>
      </c>
      <c r="T10" s="29">
        <v>0</v>
      </c>
      <c r="U10" s="29">
        <f ca="1">ROUND('TUSD BE'!$AM$26,2)</f>
        <v>441.7</v>
      </c>
      <c r="V10" s="29">
        <f>ROUND('TE BE'!$AB$17,2)</f>
        <v>227.53</v>
      </c>
    </row>
    <row r="11" spans="1:22" ht="11.25" customHeight="1" x14ac:dyDescent="0.3">
      <c r="A11" s="104"/>
      <c r="B11" s="104"/>
      <c r="C11" s="104"/>
      <c r="D11" s="31" t="s">
        <v>677</v>
      </c>
      <c r="E11" s="29">
        <v>0</v>
      </c>
      <c r="F11" s="29">
        <f ca="1">ROUND('TUSD BE'!$AM$12+'TUSD BF'!$AM$12+'TUSD CVA'!$AM$12,2)</f>
        <v>111.75</v>
      </c>
      <c r="G11" s="29">
        <f>ROUND('TE BE'!$AB$6+'TE BF'!$AB$6+'TE CVA'!$AB$6,2)</f>
        <v>213.77</v>
      </c>
      <c r="H11" s="29">
        <v>0</v>
      </c>
      <c r="I11" s="29">
        <f ca="1">ROUND('TUSD BE'!$AM$12,2)</f>
        <v>112.48</v>
      </c>
      <c r="J11" s="29">
        <f>ROUND('TE BE'!$AB$6,2)</f>
        <v>227.53</v>
      </c>
      <c r="L11" s="109"/>
      <c r="M11" s="31" t="s">
        <v>687</v>
      </c>
      <c r="N11" s="31" t="s">
        <v>683</v>
      </c>
      <c r="O11" s="31" t="s">
        <v>686</v>
      </c>
      <c r="P11" s="31" t="s">
        <v>679</v>
      </c>
      <c r="Q11" s="29">
        <v>0</v>
      </c>
      <c r="R11" s="29">
        <f ca="1">ROUND('TUSD BE'!$AM$21+'TUSD BF'!$AM$21+'TUSD CVA'!$AM$21,2)</f>
        <v>323.42</v>
      </c>
      <c r="S11" s="29">
        <f>ROUND('TE BE'!$AB$12+'TE BF'!$AB$12+'TE CVA'!$AB$12,2)</f>
        <v>213.77</v>
      </c>
      <c r="T11" s="29">
        <v>0</v>
      </c>
      <c r="U11" s="29">
        <f ca="1">ROUND('TUSD BE'!$AM$21,2)</f>
        <v>441.7</v>
      </c>
      <c r="V11" s="29">
        <f>ROUND('TE BE'!$AB$12,2)</f>
        <v>227.53</v>
      </c>
    </row>
    <row r="12" spans="1:22" ht="11.25" customHeight="1" x14ac:dyDescent="0.3">
      <c r="A12" s="104"/>
      <c r="B12" s="103" t="s">
        <v>680</v>
      </c>
      <c r="C12" s="103" t="s">
        <v>25</v>
      </c>
      <c r="D12" s="31" t="s">
        <v>679</v>
      </c>
      <c r="E12" s="29">
        <f ca="1">ROUND('TUSD BE'!$AM$10+'TUSD BF'!$AM$10+'TUSD CVA'!$AM$10,2)</f>
        <v>23.24</v>
      </c>
      <c r="F12" s="29">
        <v>0</v>
      </c>
      <c r="G12" s="29">
        <v>0</v>
      </c>
      <c r="H12" s="29">
        <f ca="1">ROUND('TUSD BE'!$AM$10,2)</f>
        <v>29.68</v>
      </c>
      <c r="I12" s="29">
        <v>0</v>
      </c>
      <c r="J12" s="29">
        <v>0</v>
      </c>
      <c r="L12" s="107" t="s">
        <v>40</v>
      </c>
      <c r="M12" s="107" t="s">
        <v>682</v>
      </c>
      <c r="N12" s="107" t="s">
        <v>688</v>
      </c>
      <c r="O12" s="107" t="s">
        <v>689</v>
      </c>
      <c r="P12" s="31" t="s">
        <v>676</v>
      </c>
      <c r="Q12" s="29">
        <v>0</v>
      </c>
      <c r="R12" s="29">
        <f ca="1">ROUND(('TUSD BE'!$AM$30+'TUSD BF'!$AM$30+'TUSD CVA'!$AM$30)*(1-CUSTOS!$M$38),2)</f>
        <v>924.42</v>
      </c>
      <c r="S12" s="29">
        <f>ROUND(('TE BE'!$AB$21+'TE BF'!$AB$21+'TE CVA'!$AB$21)*(1-CUSTOS!$M$38),2)</f>
        <v>200.95</v>
      </c>
      <c r="T12" s="29">
        <v>0</v>
      </c>
      <c r="U12" s="29">
        <f ca="1">ROUND('TUSD BE'!$AM$30*(1-CUSTOS!$M$38),2)</f>
        <v>1246.95</v>
      </c>
      <c r="V12" s="29">
        <f>ROUND('TE BE'!$AB$21*(1-CUSTOS!$M$38),2)</f>
        <v>213.87</v>
      </c>
    </row>
    <row r="13" spans="1:22" ht="11.25" customHeight="1" x14ac:dyDescent="0.3">
      <c r="A13" s="104"/>
      <c r="B13" s="104"/>
      <c r="C13" s="104"/>
      <c r="D13" s="31" t="s">
        <v>676</v>
      </c>
      <c r="E13" s="29">
        <v>0</v>
      </c>
      <c r="F13" s="29">
        <f ca="1">ROUND('TUSD BE'!$AM$13+'TUSD BF'!$AM$13+'TUSD CVA'!$AM$13,2)</f>
        <v>1549.54</v>
      </c>
      <c r="G13" s="29">
        <v>0</v>
      </c>
      <c r="H13" s="29">
        <v>0</v>
      </c>
      <c r="I13" s="29">
        <f ca="1">ROUND('TUSD BE'!$AM$13,2)</f>
        <v>2117.1</v>
      </c>
      <c r="J13" s="29">
        <v>0</v>
      </c>
      <c r="L13" s="108"/>
      <c r="M13" s="108"/>
      <c r="N13" s="108"/>
      <c r="O13" s="108"/>
      <c r="P13" s="31" t="s">
        <v>684</v>
      </c>
      <c r="Q13" s="29">
        <v>0</v>
      </c>
      <c r="R13" s="29">
        <f ca="1">ROUND(('TUSD BE'!$AM$31+'TUSD BF'!$AM$31+'TUSD CVA'!$AM$31)*(1-CUSTOS!$M$38),2)</f>
        <v>609.13</v>
      </c>
      <c r="S13" s="29">
        <f>ROUND(('TE BE'!$AB$22+'TE BF'!$AB$22+'TE CVA'!$AB$22)*(1-CUSTOS!$M$38),2)</f>
        <v>200.95</v>
      </c>
      <c r="T13" s="29">
        <v>0</v>
      </c>
      <c r="U13" s="29">
        <f ca="1">ROUND('TUSD BE'!$AM$31*(1-CUSTOS!$M$38),2)</f>
        <v>803.36</v>
      </c>
      <c r="V13" s="29">
        <f>ROUND('TE BE'!$AB$22*(1-CUSTOS!$M$38),2)</f>
        <v>213.87</v>
      </c>
    </row>
    <row r="14" spans="1:22" ht="11.25" customHeight="1" x14ac:dyDescent="0.3">
      <c r="A14" s="104"/>
      <c r="B14" s="104"/>
      <c r="C14" s="104"/>
      <c r="D14" s="31" t="s">
        <v>677</v>
      </c>
      <c r="E14" s="29">
        <v>0</v>
      </c>
      <c r="F14" s="29">
        <f ca="1">ROUND('TUSD BE'!$AM$14+'TUSD BF'!$AM$14+'TUSD CVA'!$AM$14,2)</f>
        <v>20.57</v>
      </c>
      <c r="G14" s="29">
        <v>0</v>
      </c>
      <c r="H14" s="29">
        <v>0</v>
      </c>
      <c r="I14" s="29">
        <f ca="1">ROUND('TUSD BE'!$AM$14,2)</f>
        <v>21.94</v>
      </c>
      <c r="J14" s="29">
        <v>0</v>
      </c>
      <c r="L14" s="108"/>
      <c r="M14" s="109"/>
      <c r="N14" s="109"/>
      <c r="O14" s="109"/>
      <c r="P14" s="31" t="s">
        <v>677</v>
      </c>
      <c r="Q14" s="29">
        <v>0</v>
      </c>
      <c r="R14" s="29">
        <f ca="1">ROUND(('TUSD BE'!$AM$32+'TUSD BF'!$AM$32+'TUSD CVA'!$AM$32)*(1-CUSTOS!$M$38),2)</f>
        <v>293.93</v>
      </c>
      <c r="S14" s="29">
        <f>ROUND(('TE BE'!$AB$23+'TE BF'!$AB$23+'TE CVA'!$AB$23)*(1-CUSTOS!$M$38),2)</f>
        <v>200.95</v>
      </c>
      <c r="T14" s="29">
        <v>0</v>
      </c>
      <c r="U14" s="29">
        <f ca="1">ROUND('TUSD BE'!$AM$32*(1-CUSTOS!$M$38),2)</f>
        <v>359.84</v>
      </c>
      <c r="V14" s="29">
        <f>ROUND('TE BE'!$AB$23*(1-CUSTOS!$M$38),2)</f>
        <v>213.87</v>
      </c>
    </row>
    <row r="15" spans="1:22" ht="11.25" customHeight="1" x14ac:dyDescent="0.3">
      <c r="A15" s="104"/>
      <c r="B15" s="31" t="s">
        <v>56</v>
      </c>
      <c r="C15" s="31" t="s">
        <v>25</v>
      </c>
      <c r="D15" s="31" t="s">
        <v>679</v>
      </c>
      <c r="E15" s="29">
        <f ca="1">ROUND('TUSD BE'!$AM$9+'TUSD BF'!$AM$9+'TUSD CVA'!$AM$9,2)</f>
        <v>6.77</v>
      </c>
      <c r="F15" s="29">
        <v>0</v>
      </c>
      <c r="G15" s="29">
        <v>0</v>
      </c>
      <c r="H15" s="29">
        <f ca="1">ROUND('TUSD BE'!$AM$9,2)</f>
        <v>10.36</v>
      </c>
      <c r="I15" s="29">
        <v>0</v>
      </c>
      <c r="J15" s="29">
        <v>0</v>
      </c>
      <c r="L15" s="108"/>
      <c r="M15" s="31" t="s">
        <v>685</v>
      </c>
      <c r="N15" s="31" t="s">
        <v>688</v>
      </c>
      <c r="O15" s="31" t="s">
        <v>689</v>
      </c>
      <c r="P15" s="31" t="s">
        <v>679</v>
      </c>
      <c r="Q15" s="29">
        <v>0</v>
      </c>
      <c r="R15" s="29">
        <f ca="1">ROUND(('TUSD BE'!$AM$42+'TUSD BF'!$AM$42+'TUSD CVA'!$AM$42)*(1-CUSTOS!$M$38),2)</f>
        <v>403.46</v>
      </c>
      <c r="S15" s="29">
        <f>ROUND(('TE BE'!$AB$33+'TE BF'!$AB$33+'TE CVA'!$AB$33)*(1-CUSTOS!$M$38),2)</f>
        <v>200.95</v>
      </c>
      <c r="T15" s="29">
        <v>0</v>
      </c>
      <c r="U15" s="29">
        <f ca="1">ROUND(('TUSD BE'!$AM$42)*(1-CUSTOS!$M$38),2)</f>
        <v>513.96</v>
      </c>
      <c r="V15" s="29">
        <f>ROUND(('TE BE'!$AB$33)*(1-CUSTOS!$M$38),2)</f>
        <v>213.87</v>
      </c>
    </row>
    <row r="16" spans="1:22" ht="11.25" customHeight="1" x14ac:dyDescent="0.3">
      <c r="L16" s="108"/>
      <c r="M16" s="31" t="s">
        <v>687</v>
      </c>
      <c r="N16" s="31" t="s">
        <v>688</v>
      </c>
      <c r="O16" s="31" t="s">
        <v>689</v>
      </c>
      <c r="P16" s="31" t="s">
        <v>679</v>
      </c>
      <c r="Q16" s="29">
        <v>0</v>
      </c>
      <c r="R16" s="29">
        <f ca="1">ROUND(('TUSD BE'!$AM$33+'TUSD BF'!$AM$33+'TUSD CVA'!$AM$33)*(1-CUSTOS!$M$38),2)</f>
        <v>403.46</v>
      </c>
      <c r="S16" s="29">
        <f>ROUND(('TE BE'!$AB$24+'TE BF'!$AB$24+'TE CVA'!$AB$24)*(1-CUSTOS!$M$38),2)</f>
        <v>200.95</v>
      </c>
      <c r="T16" s="29">
        <v>0</v>
      </c>
      <c r="U16" s="29">
        <f ca="1">ROUND(('TUSD BE'!$AM$33)*(1-CUSTOS!$M$38),2)</f>
        <v>513.96</v>
      </c>
      <c r="V16" s="29">
        <f>ROUND(('TE BE'!$AB$24)*(1-CUSTOS!$M$38),2)</f>
        <v>213.87</v>
      </c>
    </row>
    <row r="17" spans="12:22" ht="11.25" customHeight="1" x14ac:dyDescent="0.3">
      <c r="L17" s="108"/>
      <c r="M17" s="107" t="s">
        <v>682</v>
      </c>
      <c r="N17" s="107" t="s">
        <v>688</v>
      </c>
      <c r="O17" s="107" t="s">
        <v>690</v>
      </c>
      <c r="P17" s="31" t="s">
        <v>676</v>
      </c>
      <c r="Q17" s="29">
        <v>0</v>
      </c>
      <c r="R17" s="29">
        <f ca="1">ROUND(('TUSD BE'!$AM$34+'TUSD BF'!$AM$34+'TUSD CVA'!$AM$34)*(1-CUSTOS!$M$39),2)</f>
        <v>924.42</v>
      </c>
      <c r="S17" s="29">
        <f>ROUND(('TE BE'!$AB$25+'TE BF'!$AB$25+'TE CVA'!$AB$25)*(1-CUSTOS!$M$39),2)</f>
        <v>200.95</v>
      </c>
      <c r="T17" s="29">
        <v>0</v>
      </c>
      <c r="U17" s="29">
        <f ca="1">ROUND('TUSD BE'!$AM$34*(1-CUSTOS!$M$39),2)</f>
        <v>1246.95</v>
      </c>
      <c r="V17" s="29">
        <f>ROUND('TE BE'!$AB$25*(1-CUSTOS!$M$39),2)</f>
        <v>213.87</v>
      </c>
    </row>
    <row r="18" spans="12:22" ht="11.25" customHeight="1" x14ac:dyDescent="0.3">
      <c r="L18" s="108"/>
      <c r="M18" s="108"/>
      <c r="N18" s="108"/>
      <c r="O18" s="108"/>
      <c r="P18" s="31" t="s">
        <v>684</v>
      </c>
      <c r="Q18" s="29">
        <v>0</v>
      </c>
      <c r="R18" s="29">
        <f ca="1">ROUND(('TUSD BE'!$AM$35+'TUSD BF'!$AM$35+'TUSD CVA'!$AM$35)*(1-CUSTOS!$M$39),2)</f>
        <v>609.13</v>
      </c>
      <c r="S18" s="29">
        <f>ROUND(('TE BE'!$AB$26+'TE BF'!$AB$26+'TE CVA'!$AB$26)*(1-CUSTOS!$M$39),2)</f>
        <v>200.95</v>
      </c>
      <c r="T18" s="29">
        <v>0</v>
      </c>
      <c r="U18" s="29">
        <f ca="1">ROUND('TUSD BE'!$AM$35*(1-CUSTOS!$M$39),2)</f>
        <v>803.36</v>
      </c>
      <c r="V18" s="29">
        <f>ROUND('TE BE'!$AB$26*(1-CUSTOS!$M$39),2)</f>
        <v>213.87</v>
      </c>
    </row>
    <row r="19" spans="12:22" ht="11.25" customHeight="1" x14ac:dyDescent="0.3">
      <c r="L19" s="108"/>
      <c r="M19" s="109"/>
      <c r="N19" s="109"/>
      <c r="O19" s="109"/>
      <c r="P19" s="31" t="s">
        <v>677</v>
      </c>
      <c r="Q19" s="29">
        <v>0</v>
      </c>
      <c r="R19" s="29">
        <f ca="1">ROUND(('TUSD BE'!$AM$36+'TUSD BF'!$AM$36+'TUSD CVA'!$AM$36)*(1-CUSTOS!$M$39),2)</f>
        <v>293.93</v>
      </c>
      <c r="S19" s="29">
        <f>ROUND(('TE BE'!$AB$27+'TE BF'!$AB$27+'TE CVA'!$AB$27)*(1-CUSTOS!$M$39),2)</f>
        <v>200.95</v>
      </c>
      <c r="T19" s="29">
        <v>0</v>
      </c>
      <c r="U19" s="29">
        <f ca="1">ROUND('TUSD BE'!$AM$36*(1-CUSTOS!$M$39),2)</f>
        <v>359.84</v>
      </c>
      <c r="V19" s="29">
        <f>ROUND('TE BE'!$AB$27*(1-CUSTOS!$M$39),2)</f>
        <v>213.87</v>
      </c>
    </row>
    <row r="20" spans="12:22" ht="11.25" customHeight="1" x14ac:dyDescent="0.3">
      <c r="L20" s="108"/>
      <c r="M20" s="31" t="s">
        <v>685</v>
      </c>
      <c r="N20" s="31" t="s">
        <v>688</v>
      </c>
      <c r="O20" s="31" t="s">
        <v>690</v>
      </c>
      <c r="P20" s="31" t="s">
        <v>679</v>
      </c>
      <c r="Q20" s="29">
        <v>0</v>
      </c>
      <c r="R20" s="29">
        <f ca="1">ROUND(('TUSD BE'!$AM$42+'TUSD BF'!$AM$42+'TUSD CVA'!$AM$42)*(1-CUSTOS!$M$39),2)</f>
        <v>403.46</v>
      </c>
      <c r="S20" s="29">
        <f>ROUND(('TE BE'!$AB$33+'TE BF'!$AB$33+'TE CVA'!$AB$33)*(1-CUSTOS!$M$39),2)</f>
        <v>200.95</v>
      </c>
      <c r="T20" s="29">
        <v>0</v>
      </c>
      <c r="U20" s="29">
        <f ca="1">ROUND(('TUSD BE'!$AM$42)*(1-CUSTOS!$M$39),2)</f>
        <v>513.96</v>
      </c>
      <c r="V20" s="29">
        <f>ROUND(('TE BE'!$AB$33)*(1-CUSTOS!$M$39),2)</f>
        <v>213.87</v>
      </c>
    </row>
    <row r="21" spans="12:22" ht="11.25" customHeight="1" x14ac:dyDescent="0.3">
      <c r="L21" s="108"/>
      <c r="M21" s="31" t="s">
        <v>687</v>
      </c>
      <c r="N21" s="31" t="s">
        <v>688</v>
      </c>
      <c r="O21" s="31" t="s">
        <v>690</v>
      </c>
      <c r="P21" s="31" t="s">
        <v>679</v>
      </c>
      <c r="Q21" s="29">
        <v>0</v>
      </c>
      <c r="R21" s="29">
        <f ca="1">ROUND(('TUSD BE'!$AM$33+'TUSD BF'!$AM$33+'TUSD CVA'!$AM$33)*(1-CUSTOS!$M$39),2)</f>
        <v>403.46</v>
      </c>
      <c r="S21" s="29">
        <f>ROUND(('TE BE'!$AB$24+'TE BF'!$AB$24+'TE CVA'!$AB$24)*(1-CUSTOS!$M$39),2)</f>
        <v>200.95</v>
      </c>
      <c r="T21" s="29">
        <v>0</v>
      </c>
      <c r="U21" s="29">
        <f ca="1">ROUND(('TUSD BE'!$AM$33)*(1-CUSTOS!$M$39),2)</f>
        <v>513.96</v>
      </c>
      <c r="V21" s="29">
        <f>ROUND(('TE BE'!$AB$24)*(1-CUSTOS!$M$39),2)</f>
        <v>213.87</v>
      </c>
    </row>
    <row r="22" spans="12:22" ht="11.25" customHeight="1" x14ac:dyDescent="0.3">
      <c r="L22" s="108"/>
      <c r="M22" s="107" t="s">
        <v>682</v>
      </c>
      <c r="N22" s="107" t="s">
        <v>688</v>
      </c>
      <c r="O22" s="107" t="s">
        <v>691</v>
      </c>
      <c r="P22" s="31" t="s">
        <v>676</v>
      </c>
      <c r="Q22" s="29">
        <v>0</v>
      </c>
      <c r="R22" s="29">
        <f ca="1">ROUND(('TUSD BE'!$AM$38+'TUSD BF'!$AM$38+'TUSD CVA'!$AM$38)*(1-CUSTOS!$M$40),2)</f>
        <v>904.75</v>
      </c>
      <c r="S22" s="29">
        <f>ROUND(('TE BE'!$AB$29+'TE BF'!$AB$29+'TE CVA'!$AB$29)*(1-CUSTOS!$M$40),2)</f>
        <v>196.67</v>
      </c>
      <c r="T22" s="29">
        <v>0</v>
      </c>
      <c r="U22" s="29">
        <f ca="1">ROUND('TUSD BE'!$AM$38*(1-CUSTOS!$M$40),2)</f>
        <v>1220.42</v>
      </c>
      <c r="V22" s="29">
        <f>ROUND('TE BE'!$AB$29*(1-CUSTOS!$M$40),2)</f>
        <v>209.32</v>
      </c>
    </row>
    <row r="23" spans="12:22" ht="11.25" customHeight="1" x14ac:dyDescent="0.3">
      <c r="L23" s="108"/>
      <c r="M23" s="108"/>
      <c r="N23" s="108"/>
      <c r="O23" s="108"/>
      <c r="P23" s="31" t="s">
        <v>684</v>
      </c>
      <c r="Q23" s="29">
        <v>0</v>
      </c>
      <c r="R23" s="29">
        <f ca="1">ROUND(('TUSD BE'!$AM$39+'TUSD BF'!$AM$39+'TUSD CVA'!$AM$39)*(1-CUSTOS!$M$40),2)</f>
        <v>596.16999999999996</v>
      </c>
      <c r="S23" s="29">
        <f>ROUND(('TE BE'!$AB$30+'TE BF'!$AB$30+'TE CVA'!$AB$30)*(1-CUSTOS!$M$40),2)</f>
        <v>196.67</v>
      </c>
      <c r="T23" s="29">
        <v>0</v>
      </c>
      <c r="U23" s="29">
        <f ca="1">ROUND('TUSD BE'!$AM$39*(1-CUSTOS!$M$40),2)</f>
        <v>786.26</v>
      </c>
      <c r="V23" s="29">
        <f>ROUND('TE BE'!$AB$30*(1-CUSTOS!$M$40),2)</f>
        <v>209.32</v>
      </c>
    </row>
    <row r="24" spans="12:22" ht="11.25" customHeight="1" x14ac:dyDescent="0.3">
      <c r="L24" s="108"/>
      <c r="M24" s="109"/>
      <c r="N24" s="109"/>
      <c r="O24" s="109"/>
      <c r="P24" s="31" t="s">
        <v>677</v>
      </c>
      <c r="Q24" s="29">
        <v>0</v>
      </c>
      <c r="R24" s="29">
        <f ca="1">ROUND(('TUSD BE'!$AM$40+'TUSD BF'!$AM$40+'TUSD CVA'!$AM$40)*(1-CUSTOS!$M$40),2)</f>
        <v>287.67</v>
      </c>
      <c r="S24" s="29">
        <f>ROUND(('TE BE'!$AB$31+'TE BF'!$AB$31+'TE CVA'!$AB$31)*(1-CUSTOS!$M$40),2)</f>
        <v>196.67</v>
      </c>
      <c r="T24" s="29">
        <v>0</v>
      </c>
      <c r="U24" s="29">
        <f ca="1">ROUND('TUSD BE'!$AM$40*(1-CUSTOS!$M$40),2)</f>
        <v>352.19</v>
      </c>
      <c r="V24" s="29">
        <f>ROUND('TE BE'!$AB$31*(1-CUSTOS!$M$40),2)</f>
        <v>209.32</v>
      </c>
    </row>
    <row r="25" spans="12:22" ht="11.25" customHeight="1" x14ac:dyDescent="0.3">
      <c r="L25" s="108"/>
      <c r="M25" s="31" t="s">
        <v>685</v>
      </c>
      <c r="N25" s="31" t="s">
        <v>688</v>
      </c>
      <c r="O25" s="31" t="s">
        <v>691</v>
      </c>
      <c r="P25" s="31" t="s">
        <v>679</v>
      </c>
      <c r="Q25" s="29">
        <v>0</v>
      </c>
      <c r="R25" s="29">
        <f ca="1">ROUND(('TUSD BE'!$AM$42+'TUSD BF'!$AM$42+'TUSD CVA'!$AM$42)*(1-CUSTOS!$M$40),2)</f>
        <v>394.87</v>
      </c>
      <c r="S25" s="29">
        <f>ROUND(('TE BE'!$AB$33+'TE BF'!$AB$33+'TE CVA'!$AB$33)*(1-CUSTOS!$M$40),2)</f>
        <v>196.67</v>
      </c>
      <c r="T25" s="29">
        <v>0</v>
      </c>
      <c r="U25" s="29">
        <f ca="1">ROUND(('TUSD BE'!$AM$42)*(1-CUSTOS!$M$40),2)</f>
        <v>503.02</v>
      </c>
      <c r="V25" s="29">
        <f>ROUND(('TE BE'!$AB$33)*(1-CUSTOS!$M$40),2)</f>
        <v>209.32</v>
      </c>
    </row>
    <row r="26" spans="12:22" ht="11.25" customHeight="1" x14ac:dyDescent="0.3">
      <c r="L26" s="109"/>
      <c r="M26" s="31" t="s">
        <v>687</v>
      </c>
      <c r="N26" s="31" t="s">
        <v>688</v>
      </c>
      <c r="O26" s="31" t="s">
        <v>691</v>
      </c>
      <c r="P26" s="31" t="s">
        <v>679</v>
      </c>
      <c r="Q26" s="29">
        <v>0</v>
      </c>
      <c r="R26" s="29">
        <f ca="1">ROUND(('TUSD BE'!$AM$33+'TUSD BF'!$AM$33+'TUSD CVA'!$AM$33)*(1-CUSTOS!$M$40),2)</f>
        <v>394.87</v>
      </c>
      <c r="S26" s="29">
        <f>ROUND(('TE BE'!$AB$24+'TE BF'!$AB$24+'TE CVA'!$AB$24)*(1-CUSTOS!$M$40),2)</f>
        <v>196.67</v>
      </c>
      <c r="T26" s="29">
        <v>0</v>
      </c>
      <c r="U26" s="29">
        <f ca="1">ROUND(('TUSD BE'!$AM$33)*(1-CUSTOS!$M$40),2)</f>
        <v>503.02</v>
      </c>
      <c r="V26" s="29">
        <f>ROUND(('TE BE'!$AB$24)*(1-CUSTOS!$M$40),2)</f>
        <v>209.32</v>
      </c>
    </row>
    <row r="27" spans="12:22" ht="11.25" customHeight="1" x14ac:dyDescent="0.3">
      <c r="L27" s="107" t="s">
        <v>32</v>
      </c>
      <c r="M27" s="107" t="s">
        <v>682</v>
      </c>
      <c r="N27" s="107" t="s">
        <v>679</v>
      </c>
      <c r="O27" s="107" t="s">
        <v>679</v>
      </c>
      <c r="P27" s="31" t="s">
        <v>676</v>
      </c>
      <c r="Q27" s="29">
        <v>0</v>
      </c>
      <c r="R27" s="29">
        <f ca="1">ROUND(('TUSD BE'!$AM$45+'TUSD BF'!$AM$45+'TUSD CVA'!$AM$45)*(1-CUSTOS!$M$31),2)</f>
        <v>1111.31</v>
      </c>
      <c r="S27" s="29">
        <f>ROUND(('TE BE'!$AB$36+'TE BF'!$AB$36+'TE CVA'!$AB$36)*(1-CUSTOS!$M$31),2)</f>
        <v>213.77</v>
      </c>
      <c r="T27" s="29">
        <v>0</v>
      </c>
      <c r="U27" s="29">
        <f ca="1">ROUND('TUSD BE'!$AM$45*(1-CUSTOS!$M$31),2)</f>
        <v>1506.48</v>
      </c>
      <c r="V27" s="29">
        <f>ROUND('TE BE'!$AB$36*(1-CUSTOS!$M$31),2)</f>
        <v>227.53</v>
      </c>
    </row>
    <row r="28" spans="12:22" ht="11.25" customHeight="1" x14ac:dyDescent="0.3">
      <c r="L28" s="108"/>
      <c r="M28" s="108"/>
      <c r="N28" s="108"/>
      <c r="O28" s="108"/>
      <c r="P28" s="31" t="s">
        <v>684</v>
      </c>
      <c r="Q28" s="29">
        <v>0</v>
      </c>
      <c r="R28" s="29">
        <f ca="1">ROUND(('TUSD BE'!$AM$46+'TUSD BF'!$AM$46+'TUSD CVA'!$AM$46)*(1-CUSTOS!$M$31),2)</f>
        <v>724.77</v>
      </c>
      <c r="S28" s="29">
        <f>ROUND(('TE BE'!$AB$37+'TE BF'!$AB$37+'TE CVA'!$AB$37)*(1-CUSTOS!$M$31),2)</f>
        <v>213.77</v>
      </c>
      <c r="T28" s="29">
        <v>0</v>
      </c>
      <c r="U28" s="29">
        <f ca="1">ROUND('TUSD BE'!$AM$46*(1-CUSTOS!$M$31),2)</f>
        <v>962.62</v>
      </c>
      <c r="V28" s="29">
        <f>ROUND('TE BE'!$AB$37*(1-CUSTOS!$M$31),2)</f>
        <v>227.53</v>
      </c>
    </row>
    <row r="29" spans="12:22" ht="11.25" customHeight="1" x14ac:dyDescent="0.3">
      <c r="L29" s="108"/>
      <c r="M29" s="109"/>
      <c r="N29" s="109"/>
      <c r="O29" s="109"/>
      <c r="P29" s="31" t="s">
        <v>677</v>
      </c>
      <c r="Q29" s="29">
        <v>0</v>
      </c>
      <c r="R29" s="29">
        <f ca="1">ROUND(('TUSD BE'!$AM$47+'TUSD BF'!$AM$47+'TUSD CVA'!$AM$47)*(1-CUSTOS!$M$31),2)</f>
        <v>338.26</v>
      </c>
      <c r="S29" s="29">
        <f>ROUND(('TE BE'!$AB$38+'TE BF'!$AB$38+'TE CVA'!$AB$38)*(1-CUSTOS!$M$31),2)</f>
        <v>213.77</v>
      </c>
      <c r="T29" s="29">
        <v>0</v>
      </c>
      <c r="U29" s="29">
        <f ca="1">ROUND('TUSD BE'!$AM$47*(1-CUSTOS!$M$31),2)</f>
        <v>418.8</v>
      </c>
      <c r="V29" s="29">
        <f>ROUND('TE BE'!$AB$38*(1-CUSTOS!$M$31),2)</f>
        <v>227.53</v>
      </c>
    </row>
    <row r="30" spans="12:22" ht="11.25" customHeight="1" x14ac:dyDescent="0.3">
      <c r="L30" s="108"/>
      <c r="M30" s="31" t="s">
        <v>685</v>
      </c>
      <c r="N30" s="31" t="s">
        <v>679</v>
      </c>
      <c r="O30" s="31" t="s">
        <v>679</v>
      </c>
      <c r="P30" s="31" t="s">
        <v>679</v>
      </c>
      <c r="Q30" s="29">
        <v>0</v>
      </c>
      <c r="R30" s="29">
        <f ca="1">ROUND(('TUSD BE'!$AM$49+'TUSD BF'!$AM$49+'TUSD CVA'!$AM$49)*(1-CUSTOS!$M$31),2)</f>
        <v>429.21</v>
      </c>
      <c r="S30" s="29">
        <f>ROUND(('TE BE'!$AB$40+'TE BF'!$AB$40+'TE CVA'!$AB$40)*(1-CUSTOS!$M$31),2)</f>
        <v>213.77</v>
      </c>
      <c r="T30" s="29">
        <v>0</v>
      </c>
      <c r="U30" s="29">
        <f ca="1">ROUND(('TUSD BE'!$AM$49)*(1-CUSTOS!$M$31),2)</f>
        <v>546.76</v>
      </c>
      <c r="V30" s="29">
        <f>ROUND(('TE BE'!$AB$40)*(1-CUSTOS!$M$31),2)</f>
        <v>227.53</v>
      </c>
    </row>
    <row r="31" spans="12:22" ht="11.25" customHeight="1" x14ac:dyDescent="0.3">
      <c r="L31" s="109"/>
      <c r="M31" s="31" t="s">
        <v>687</v>
      </c>
      <c r="N31" s="31" t="s">
        <v>679</v>
      </c>
      <c r="O31" s="31" t="s">
        <v>679</v>
      </c>
      <c r="P31" s="31" t="s">
        <v>679</v>
      </c>
      <c r="Q31" s="29">
        <v>0</v>
      </c>
      <c r="R31" s="29">
        <f ca="1">ROUND(('TUSD BE'!$AM$48+'TUSD BF'!$AM$48+'TUSD CVA'!$AM$48)*(1-CUSTOS!$M$31),2)</f>
        <v>429.21</v>
      </c>
      <c r="S31" s="29">
        <f>ROUND(('TE BE'!$AB$39+'TE BF'!$AB$39+'TE CVA'!$AB$39)*(1-CUSTOS!$M$31),2)</f>
        <v>213.77</v>
      </c>
      <c r="T31" s="29">
        <v>0</v>
      </c>
      <c r="U31" s="29">
        <f ca="1">ROUND(('TUSD BE'!$AM$48)*(1-CUSTOS!$M$31),2)</f>
        <v>546.76</v>
      </c>
      <c r="V31" s="29">
        <f>ROUND(('TE BE'!$AB$39)*(1-CUSTOS!$M$31),2)</f>
        <v>227.53</v>
      </c>
    </row>
    <row r="32" spans="12:22" ht="11.25" customHeight="1" x14ac:dyDescent="0.3">
      <c r="L32" s="107" t="s">
        <v>43</v>
      </c>
      <c r="M32" s="107" t="s">
        <v>687</v>
      </c>
      <c r="N32" s="107" t="s">
        <v>692</v>
      </c>
      <c r="O32" s="31" t="s">
        <v>693</v>
      </c>
      <c r="P32" s="31" t="s">
        <v>679</v>
      </c>
      <c r="Q32" s="29">
        <v>0</v>
      </c>
      <c r="R32" s="29">
        <f ca="1">ROUND(('TUSD BE'!$AM$50+'TUSD BF'!$AM$50+'TUSD CVA'!$AM$50),2)</f>
        <v>236.07</v>
      </c>
      <c r="S32" s="29">
        <f>ROUND(('TE BE'!$AB$41+'TE BF'!$AB$41+'TE CVA'!$AB$41),2)</f>
        <v>117.58</v>
      </c>
      <c r="T32" s="29">
        <v>0</v>
      </c>
      <c r="U32" s="29">
        <f ca="1">ROUND(('TUSD BE'!$AM$50),2)</f>
        <v>300.72000000000003</v>
      </c>
      <c r="V32" s="29">
        <f>ROUND(('TE BE'!$AB$41),2)</f>
        <v>125.14</v>
      </c>
    </row>
    <row r="33" spans="12:22" ht="11.25" customHeight="1" x14ac:dyDescent="0.3">
      <c r="L33" s="109"/>
      <c r="M33" s="109"/>
      <c r="N33" s="109"/>
      <c r="O33" s="31" t="s">
        <v>694</v>
      </c>
      <c r="P33" s="31" t="s">
        <v>679</v>
      </c>
      <c r="Q33" s="29">
        <v>0</v>
      </c>
      <c r="R33" s="29">
        <f ca="1">ROUND(('TUSD BE'!$AM$51+'TUSD BF'!$AM$51+'TUSD CVA'!$AM$51),2)</f>
        <v>257.52999999999997</v>
      </c>
      <c r="S33" s="29">
        <f>ROUND(('TE BE'!$AB$42+'TE BF'!$AB$42+'TE CVA'!$AB$42),2)</f>
        <v>128.26</v>
      </c>
      <c r="T33" s="29">
        <v>0</v>
      </c>
      <c r="U33" s="29">
        <f ca="1">ROUND(('TUSD BE'!$AM$51),2)</f>
        <v>328.06</v>
      </c>
      <c r="V33" s="29">
        <f>ROUND(('TE BE'!$AB$42),2)</f>
        <v>136.52000000000001</v>
      </c>
    </row>
    <row r="34" spans="12:22" ht="11.25" customHeight="1" x14ac:dyDescent="0.3">
      <c r="L34" s="107" t="s">
        <v>88</v>
      </c>
      <c r="M34" s="107" t="s">
        <v>58</v>
      </c>
      <c r="N34" s="31" t="s">
        <v>89</v>
      </c>
      <c r="O34" s="31" t="s">
        <v>679</v>
      </c>
      <c r="P34" s="31" t="s">
        <v>679</v>
      </c>
      <c r="Q34" s="29">
        <f ca="1">ROUND(('TUSD BE'!$AM$15+'TUSD BF'!$AM$15+'TUSD CVA'!$AM$15),2)</f>
        <v>3.89</v>
      </c>
      <c r="R34" s="29">
        <v>0</v>
      </c>
      <c r="S34" s="29">
        <v>0</v>
      </c>
      <c r="T34" s="29">
        <f ca="1">ROUND(('TUSD BE'!$AM$15),2)</f>
        <v>5.95</v>
      </c>
      <c r="U34" s="29">
        <v>0</v>
      </c>
      <c r="V34" s="29">
        <v>0</v>
      </c>
    </row>
    <row r="35" spans="12:22" ht="11.25" customHeight="1" x14ac:dyDescent="0.3">
      <c r="L35" s="109"/>
      <c r="M35" s="109"/>
      <c r="N35" s="31" t="s">
        <v>90</v>
      </c>
      <c r="O35" s="31" t="s">
        <v>679</v>
      </c>
      <c r="P35" s="31" t="s">
        <v>679</v>
      </c>
      <c r="Q35" s="29">
        <f ca="1">ROUND(('TUSD BE'!$AM$16+'TUSD BF'!$AM$16+'TUSD CVA'!$AM$16),2)</f>
        <v>11.56</v>
      </c>
      <c r="R35" s="29">
        <v>0</v>
      </c>
      <c r="S35" s="29">
        <v>0</v>
      </c>
      <c r="T35" s="29">
        <f ca="1">ROUND(('TUSD BE'!$AM$16),2)</f>
        <v>17.71</v>
      </c>
      <c r="U35" s="29">
        <v>0</v>
      </c>
      <c r="V35" s="29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BE3D-2DA4-44E1-AE13-FE77B6E60A06}">
  <dimension ref="A1:AN483"/>
  <sheetViews>
    <sheetView showGridLines="0" workbookViewId="0">
      <selection sqref="A1:O483 Q1:AJ13"/>
    </sheetView>
  </sheetViews>
  <sheetFormatPr defaultRowHeight="11.25" customHeight="1" x14ac:dyDescent="0.3"/>
  <cols>
    <col min="1" max="1" width="18" style="3" bestFit="1" customWidth="1"/>
    <col min="2" max="2" width="7.6640625" style="3" bestFit="1" customWidth="1"/>
    <col min="3" max="3" width="9.21875" style="3" bestFit="1" customWidth="1"/>
    <col min="4" max="4" width="12.6640625" style="3" bestFit="1" customWidth="1"/>
    <col min="5" max="5" width="23.109375" style="3" bestFit="1" customWidth="1"/>
    <col min="6" max="6" width="12.88671875" style="3" bestFit="1" customWidth="1"/>
    <col min="7" max="7" width="15.6640625" style="3" bestFit="1" customWidth="1"/>
    <col min="8" max="8" width="9.5546875" style="3" bestFit="1" customWidth="1"/>
    <col min="9" max="9" width="7.88671875" style="6" bestFit="1" customWidth="1"/>
    <col min="10" max="10" width="9.5546875" style="4" bestFit="1" customWidth="1"/>
    <col min="11" max="11" width="10" style="4" bestFit="1" customWidth="1"/>
    <col min="12" max="12" width="8.77734375" style="4" bestFit="1" customWidth="1"/>
    <col min="13" max="13" width="13.109375" style="4" bestFit="1" customWidth="1"/>
    <col min="14" max="14" width="13.5546875" style="4" bestFit="1" customWidth="1"/>
    <col min="15" max="15" width="12.21875" style="4" bestFit="1" customWidth="1"/>
    <col min="16" max="16" width="6.33203125" style="4" bestFit="1" customWidth="1"/>
    <col min="17" max="17" width="9" style="3" bestFit="1" customWidth="1"/>
    <col min="18" max="18" width="17.88671875" style="3" bestFit="1" customWidth="1"/>
    <col min="19" max="19" width="19.21875" style="3" bestFit="1" customWidth="1"/>
    <col min="20" max="20" width="17.109375" style="3" bestFit="1" customWidth="1"/>
    <col min="21" max="21" width="16.44140625" style="3" bestFit="1" customWidth="1"/>
    <col min="22" max="22" width="17.88671875" style="3" bestFit="1" customWidth="1"/>
    <col min="23" max="23" width="15.6640625" style="3" bestFit="1" customWidth="1"/>
    <col min="24" max="24" width="16.109375" style="3" bestFit="1" customWidth="1"/>
    <col min="25" max="25" width="17.5546875" style="3" bestFit="1" customWidth="1"/>
    <col min="26" max="26" width="15.33203125" style="3" bestFit="1" customWidth="1"/>
    <col min="27" max="27" width="16.109375" style="3" bestFit="1" customWidth="1"/>
    <col min="28" max="28" width="17.5546875" style="3" bestFit="1" customWidth="1"/>
    <col min="29" max="29" width="15.33203125" style="3" bestFit="1" customWidth="1"/>
    <col min="30" max="30" width="16.44140625" style="3" bestFit="1" customWidth="1"/>
    <col min="31" max="31" width="20.5546875" style="3" bestFit="1" customWidth="1"/>
    <col min="32" max="32" width="10.88671875" style="3" bestFit="1" customWidth="1"/>
    <col min="33" max="33" width="12.21875" style="3" bestFit="1" customWidth="1"/>
    <col min="34" max="34" width="10.109375" style="3" bestFit="1" customWidth="1"/>
    <col min="35" max="35" width="11.21875" style="3" bestFit="1" customWidth="1"/>
    <col min="36" max="36" width="15.33203125" style="3" bestFit="1" customWidth="1"/>
    <col min="37" max="37" width="8.88671875" style="3"/>
    <col min="38" max="38" width="8" style="3" bestFit="1" customWidth="1"/>
    <col min="39" max="39" width="5.109375" style="3" bestFit="1" customWidth="1"/>
    <col min="40" max="40" width="14" style="3" bestFit="1" customWidth="1"/>
    <col min="41" max="16384" width="8.88671875" style="3"/>
  </cols>
  <sheetData>
    <row r="1" spans="1:40" s="1" customFormat="1" ht="11.25" customHeight="1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53" t="s">
        <v>8</v>
      </c>
      <c r="J1" s="30" t="s">
        <v>642</v>
      </c>
      <c r="K1" s="30" t="s">
        <v>643</v>
      </c>
      <c r="L1" s="30" t="s">
        <v>644</v>
      </c>
      <c r="M1" s="30" t="s">
        <v>645</v>
      </c>
      <c r="N1" s="30" t="s">
        <v>646</v>
      </c>
      <c r="O1" s="30" t="s">
        <v>647</v>
      </c>
      <c r="P1" s="7"/>
      <c r="Q1" s="100" t="s">
        <v>648</v>
      </c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L1" s="34" t="s">
        <v>669</v>
      </c>
      <c r="AM1" s="34" t="s">
        <v>66</v>
      </c>
      <c r="AN1" s="34" t="s">
        <v>670</v>
      </c>
    </row>
    <row r="2" spans="1:40" ht="11.25" customHeight="1" x14ac:dyDescent="0.2">
      <c r="A2" s="35" t="s">
        <v>21</v>
      </c>
      <c r="B2" s="35" t="s">
        <v>34</v>
      </c>
      <c r="C2" s="35" t="s">
        <v>35</v>
      </c>
      <c r="D2" s="35" t="s">
        <v>33</v>
      </c>
      <c r="E2" s="35" t="s">
        <v>25</v>
      </c>
      <c r="F2" s="35" t="s">
        <v>25</v>
      </c>
      <c r="G2" s="35" t="s">
        <v>25</v>
      </c>
      <c r="H2" s="35" t="s">
        <v>37</v>
      </c>
      <c r="I2" s="54">
        <v>44440</v>
      </c>
      <c r="J2" s="55">
        <f ca="1">EFEITO!$J$2*EFEITO!$Y$2</f>
        <v>882.9902970173498</v>
      </c>
      <c r="K2" s="55">
        <f ca="1">EFEITO!$L$2*EFEITO!$Z$2</f>
        <v>1422.5210860761608</v>
      </c>
      <c r="L2" s="55">
        <f>EFEITO!$N$2*EFEITO!$AA$2</f>
        <v>2721.3340060229393</v>
      </c>
      <c r="M2" s="55">
        <f ca="1">$J$2-EFEITO!$K$2*EFEITO!$Y$2</f>
        <v>0</v>
      </c>
      <c r="N2" s="55">
        <f ca="1">$K$2-EFEITO!$M$2*EFEITO!$Z$2</f>
        <v>0</v>
      </c>
      <c r="O2" s="55">
        <f>$L$2-EFEITO!$O$2*EFEITO!$AA$2</f>
        <v>0</v>
      </c>
      <c r="P2" s="39"/>
      <c r="Q2" s="28" t="s">
        <v>69</v>
      </c>
      <c r="R2" s="28" t="s">
        <v>650</v>
      </c>
      <c r="S2" s="28" t="s">
        <v>651</v>
      </c>
      <c r="T2" s="28" t="s">
        <v>652</v>
      </c>
      <c r="U2" s="28" t="s">
        <v>653</v>
      </c>
      <c r="V2" s="28" t="s">
        <v>654</v>
      </c>
      <c r="W2" s="28" t="s">
        <v>655</v>
      </c>
      <c r="X2" s="56" t="s">
        <v>656</v>
      </c>
      <c r="Y2" s="56" t="s">
        <v>657</v>
      </c>
      <c r="Z2" s="56" t="s">
        <v>658</v>
      </c>
      <c r="AA2" s="56" t="s">
        <v>659</v>
      </c>
      <c r="AB2" s="56" t="s">
        <v>660</v>
      </c>
      <c r="AC2" s="56" t="s">
        <v>661</v>
      </c>
      <c r="AD2" s="56" t="s">
        <v>662</v>
      </c>
      <c r="AE2" s="56" t="s">
        <v>663</v>
      </c>
      <c r="AF2" s="56" t="s">
        <v>664</v>
      </c>
      <c r="AG2" s="56" t="s">
        <v>665</v>
      </c>
      <c r="AH2" s="56" t="s">
        <v>666</v>
      </c>
      <c r="AI2" s="56" t="s">
        <v>667</v>
      </c>
      <c r="AJ2" s="56" t="s">
        <v>668</v>
      </c>
      <c r="AL2" s="35"/>
      <c r="AM2" s="35"/>
      <c r="AN2" s="35"/>
    </row>
    <row r="3" spans="1:40" ht="11.25" customHeight="1" x14ac:dyDescent="0.2">
      <c r="A3" s="35" t="s">
        <v>21</v>
      </c>
      <c r="B3" s="35" t="s">
        <v>34</v>
      </c>
      <c r="C3" s="35" t="s">
        <v>35</v>
      </c>
      <c r="D3" s="35" t="s">
        <v>33</v>
      </c>
      <c r="E3" s="35" t="s">
        <v>25</v>
      </c>
      <c r="F3" s="35" t="s">
        <v>25</v>
      </c>
      <c r="G3" s="35" t="s">
        <v>25</v>
      </c>
      <c r="H3" s="35" t="s">
        <v>37</v>
      </c>
      <c r="I3" s="54">
        <v>44470</v>
      </c>
      <c r="J3" s="55">
        <f ca="1">EFEITO!$J$3*EFEITO!$Y$3</f>
        <v>882.9902970173498</v>
      </c>
      <c r="K3" s="55">
        <f ca="1">EFEITO!$L$3*EFEITO!$Z$3</f>
        <v>1414.9223874231225</v>
      </c>
      <c r="L3" s="55">
        <f>EFEITO!$N$3*EFEITO!$AA$3</f>
        <v>2706.7974221730133</v>
      </c>
      <c r="M3" s="55">
        <f ca="1">$J$3-EFEITO!$K$3*EFEITO!$Y$3</f>
        <v>0</v>
      </c>
      <c r="N3" s="55">
        <f ca="1">$K$3-EFEITO!$M$3*EFEITO!$Z$3</f>
        <v>0</v>
      </c>
      <c r="O3" s="55">
        <f>$L$3-EFEITO!$O$3*EFEITO!$AA$3</f>
        <v>0</v>
      </c>
      <c r="P3" s="39"/>
      <c r="Q3" s="55" t="s">
        <v>649</v>
      </c>
      <c r="R3" s="55">
        <f>SUMIF($B$2:$B$483,$Q$3,$J$2:$J$483)</f>
        <v>0</v>
      </c>
      <c r="S3" s="55">
        <f>SUMIF($B$2:$B$483,$Q$3,$K$2:$K$483)</f>
        <v>0</v>
      </c>
      <c r="T3" s="55">
        <f>SUMIF($B$2:$B$483,$Q$3,$L$2:$L$483)</f>
        <v>0</v>
      </c>
      <c r="U3" s="55">
        <f>SUMIF($B$2:$B$483,$Q$3,$M$2:$M$483)</f>
        <v>0</v>
      </c>
      <c r="V3" s="55">
        <f>SUMIF($B$2:$B$483,$Q$3,$N$2:$N$483)</f>
        <v>0</v>
      </c>
      <c r="W3" s="55">
        <f>SUMIF($B$2:$B$483,$Q$3,$O$2:$O$483)</f>
        <v>0</v>
      </c>
      <c r="X3" s="36">
        <f>$R$3-$U$3</f>
        <v>0</v>
      </c>
      <c r="Y3" s="36">
        <f>$S$3-$V$3</f>
        <v>0</v>
      </c>
      <c r="Z3" s="36">
        <f>$T$3-$W$3</f>
        <v>0</v>
      </c>
      <c r="AA3" s="36">
        <f>SUMIF(EFEITO!$B$2:$B$483,$Q$3,EFEITO!$AE$2:$AE$483)</f>
        <v>0</v>
      </c>
      <c r="AB3" s="36">
        <f>SUMIF(EFEITO!$B$2:$B$483,$Q$3,EFEITO!$AF$2:$AF$483)</f>
        <v>0</v>
      </c>
      <c r="AC3" s="36">
        <f>SUMIF(EFEITO!$B$2:$B$483,$Q$3,EFEITO!$AG$2:$AH$483)</f>
        <v>0</v>
      </c>
      <c r="AD3" s="36">
        <f>SUMIF(SUBSIDIO!$B$2:$B$483,$Q$3,SUBSIDIO!$AD$2:$AD$483)</f>
        <v>0</v>
      </c>
      <c r="AE3" s="36">
        <f>SUMIF(SUBSIDIO!$B$2:$B$483,$Q$3,SUBSIDIO!$AE$2:$AE$483)</f>
        <v>0</v>
      </c>
      <c r="AF3" s="36" t="str">
        <f>IF(ABS($X$3-$AA$3)&lt;0.01,"OK","ERRO")</f>
        <v>OK</v>
      </c>
      <c r="AG3" s="36" t="str">
        <f>IF(ABS($Y$3-$AB$3)&lt;0.01,"OK","ERRO")</f>
        <v>OK</v>
      </c>
      <c r="AH3" s="36" t="str">
        <f>IF(ABS($Z$3-$AC$3)&lt;0.01,"OK","ERRO")</f>
        <v>OK</v>
      </c>
      <c r="AI3" s="36" t="str">
        <f>IF(ABS($U$3-$AD$3)&lt;0.01,"OK","ERRO")</f>
        <v>OK</v>
      </c>
      <c r="AJ3" s="36" t="str">
        <f>IF(ABS(($V$3+$W$3)-$AE$3)&lt;0.01,"OK","ERRO")</f>
        <v>OK</v>
      </c>
    </row>
    <row r="4" spans="1:40" ht="11.25" customHeight="1" x14ac:dyDescent="0.2">
      <c r="A4" s="35" t="s">
        <v>21</v>
      </c>
      <c r="B4" s="35" t="s">
        <v>34</v>
      </c>
      <c r="C4" s="35" t="s">
        <v>35</v>
      </c>
      <c r="D4" s="35" t="s">
        <v>33</v>
      </c>
      <c r="E4" s="35" t="s">
        <v>25</v>
      </c>
      <c r="F4" s="35" t="s">
        <v>25</v>
      </c>
      <c r="G4" s="35" t="s">
        <v>25</v>
      </c>
      <c r="H4" s="35" t="s">
        <v>37</v>
      </c>
      <c r="I4" s="54">
        <v>44501</v>
      </c>
      <c r="J4" s="55">
        <f ca="1">EFEITO!$J$4*EFEITO!$Y$4</f>
        <v>882.9902970173498</v>
      </c>
      <c r="K4" s="55">
        <f ca="1">EFEITO!$L$4*EFEITO!$Z$4</f>
        <v>1427.2143999500963</v>
      </c>
      <c r="L4" s="55">
        <f>EFEITO!$N$4*EFEITO!$AA$4</f>
        <v>2730.3124842831876</v>
      </c>
      <c r="M4" s="55">
        <f ca="1">$J$4-EFEITO!$K$4*EFEITO!$Y$4</f>
        <v>0</v>
      </c>
      <c r="N4" s="55">
        <f ca="1">$K$4-EFEITO!$M$4*EFEITO!$Z$4</f>
        <v>0</v>
      </c>
      <c r="O4" s="55">
        <f>$L$4-EFEITO!$O$4*EFEITO!$AA$4</f>
        <v>0</v>
      </c>
      <c r="P4" s="39"/>
      <c r="Q4" s="55" t="s">
        <v>526</v>
      </c>
      <c r="R4" s="55">
        <f>SUMIF($B$2:$B$483,$Q$4,$J$2:$J$483)</f>
        <v>0</v>
      </c>
      <c r="S4" s="55">
        <f>SUMIF($B$2:$B$483,$Q$4,$K$2:$K$483)</f>
        <v>0</v>
      </c>
      <c r="T4" s="55">
        <f>SUMIF($B$2:$B$483,$Q$4,$L$2:$L$483)</f>
        <v>0</v>
      </c>
      <c r="U4" s="55">
        <f>SUMIF($B$2:$B$483,$Q$4,$M$2:$M$483)</f>
        <v>0</v>
      </c>
      <c r="V4" s="55">
        <f>SUMIF($B$2:$B$483,$Q$4,$N$2:$N$483)</f>
        <v>0</v>
      </c>
      <c r="W4" s="55">
        <f>SUMIF($B$2:$B$483,$Q$4,$O$2:$O$483)</f>
        <v>0</v>
      </c>
      <c r="X4" s="36">
        <f>$R$4-$U$4</f>
        <v>0</v>
      </c>
      <c r="Y4" s="36">
        <f>$S$4-$V$4</f>
        <v>0</v>
      </c>
      <c r="Z4" s="36">
        <f>$T$4-$W$4</f>
        <v>0</v>
      </c>
      <c r="AA4" s="36">
        <f>SUMIF(EFEITO!$B$2:$B$483,$Q$4,EFEITO!$AE$2:$AE$483)</f>
        <v>0</v>
      </c>
      <c r="AB4" s="36">
        <f>SUMIF(EFEITO!$B$2:$B$483,$Q$4,EFEITO!$AF$2:$AF$483)</f>
        <v>0</v>
      </c>
      <c r="AC4" s="36">
        <f>SUMIF(EFEITO!$B$2:$B$483,$Q$4,EFEITO!$AG$2:$AH$483)</f>
        <v>0</v>
      </c>
      <c r="AD4" s="36">
        <f>SUMIF(SUBSIDIO!$B$2:$B$483,$Q$4,SUBSIDIO!$AD$2:$AD$483)</f>
        <v>0</v>
      </c>
      <c r="AE4" s="36">
        <f>SUMIF(SUBSIDIO!$B$2:$B$483,$Q$4,SUBSIDIO!$AE$2:$AE$483)</f>
        <v>0</v>
      </c>
      <c r="AF4" s="36" t="str">
        <f>IF(ABS($X$4-$AA$4)&lt;0.01,"OK","ERRO")</f>
        <v>OK</v>
      </c>
      <c r="AG4" s="36" t="str">
        <f>IF(ABS($Y$4-$AB$4)&lt;0.01,"OK","ERRO")</f>
        <v>OK</v>
      </c>
      <c r="AH4" s="36" t="str">
        <f>IF(ABS($Z$4-$AC$4)&lt;0.01,"OK","ERRO")</f>
        <v>OK</v>
      </c>
      <c r="AI4" s="36" t="str">
        <f>IF(ABS($U$4-$AD$4)&lt;0.01,"OK","ERRO")</f>
        <v>OK</v>
      </c>
      <c r="AJ4" s="36" t="str">
        <f>IF(ABS(($V$4+$W$4)-$AE$4)&lt;0.01,"OK","ERRO")</f>
        <v>OK</v>
      </c>
    </row>
    <row r="5" spans="1:40" ht="11.25" customHeight="1" x14ac:dyDescent="0.2">
      <c r="A5" s="35" t="s">
        <v>21</v>
      </c>
      <c r="B5" s="35" t="s">
        <v>34</v>
      </c>
      <c r="C5" s="35" t="s">
        <v>35</v>
      </c>
      <c r="D5" s="35" t="s">
        <v>33</v>
      </c>
      <c r="E5" s="35" t="s">
        <v>25</v>
      </c>
      <c r="F5" s="35" t="s">
        <v>25</v>
      </c>
      <c r="G5" s="35" t="s">
        <v>25</v>
      </c>
      <c r="H5" s="35" t="s">
        <v>37</v>
      </c>
      <c r="I5" s="54">
        <v>44531</v>
      </c>
      <c r="J5" s="55">
        <f ca="1">EFEITO!$J$5*EFEITO!$Y$5</f>
        <v>882.9902970173498</v>
      </c>
      <c r="K5" s="55">
        <f ca="1">EFEITO!$L$5*EFEITO!$Z$5</f>
        <v>1591.3686399694111</v>
      </c>
      <c r="L5" s="55">
        <f>EFEITO!$N$5*EFEITO!$AA$5</f>
        <v>3044.3454500999742</v>
      </c>
      <c r="M5" s="55">
        <f ca="1">$J$5-EFEITO!$K$5*EFEITO!$Y$5</f>
        <v>0</v>
      </c>
      <c r="N5" s="55">
        <f ca="1">$K$5-EFEITO!$M$5*EFEITO!$Z$5</f>
        <v>0</v>
      </c>
      <c r="O5" s="55">
        <f>$L$5-EFEITO!$O$5*EFEITO!$AA$5</f>
        <v>0</v>
      </c>
      <c r="P5" s="39"/>
      <c r="Q5" s="55" t="s">
        <v>527</v>
      </c>
      <c r="R5" s="55">
        <f>SUMIF($B$2:$B$483,$Q$5,$J$2:$J$483)</f>
        <v>0</v>
      </c>
      <c r="S5" s="55">
        <f>SUMIF($B$2:$B$483,$Q$5,$K$2:$K$483)</f>
        <v>0</v>
      </c>
      <c r="T5" s="55">
        <f>SUMIF($B$2:$B$483,$Q$5,$L$2:$L$483)</f>
        <v>0</v>
      </c>
      <c r="U5" s="55">
        <f>SUMIF($B$2:$B$483,$Q$5,$M$2:$M$483)</f>
        <v>0</v>
      </c>
      <c r="V5" s="55">
        <f>SUMIF($B$2:$B$483,$Q$5,$N$2:$N$483)</f>
        <v>0</v>
      </c>
      <c r="W5" s="55">
        <f>SUMIF($B$2:$B$483,$Q$5,$O$2:$O$483)</f>
        <v>0</v>
      </c>
      <c r="X5" s="36">
        <f>$R$5-$U$5</f>
        <v>0</v>
      </c>
      <c r="Y5" s="36">
        <f>$S$5-$V$5</f>
        <v>0</v>
      </c>
      <c r="Z5" s="36">
        <f>$T$5-$W$5</f>
        <v>0</v>
      </c>
      <c r="AA5" s="36">
        <f>SUMIF(EFEITO!$B$2:$B$483,$Q$5,EFEITO!$AE$2:$AE$483)</f>
        <v>0</v>
      </c>
      <c r="AB5" s="36">
        <f>SUMIF(EFEITO!$B$2:$B$483,$Q$5,EFEITO!$AF$2:$AF$483)</f>
        <v>0</v>
      </c>
      <c r="AC5" s="36">
        <f>SUMIF(EFEITO!$B$2:$B$483,$Q$5,EFEITO!$AG$2:$AH$483)</f>
        <v>0</v>
      </c>
      <c r="AD5" s="36">
        <f>SUMIF(SUBSIDIO!$B$2:$B$483,$Q$5,SUBSIDIO!$AD$2:$AD$483)</f>
        <v>0</v>
      </c>
      <c r="AE5" s="36">
        <f>SUMIF(SUBSIDIO!$B$2:$B$483,$Q$5,SUBSIDIO!$AE$2:$AE$483)</f>
        <v>0</v>
      </c>
      <c r="AF5" s="36" t="str">
        <f>IF(ABS($X$5-$AA$5)&lt;0.01,"OK","ERRO")</f>
        <v>OK</v>
      </c>
      <c r="AG5" s="36" t="str">
        <f>IF(ABS($Y$5-$AB$5)&lt;0.01,"OK","ERRO")</f>
        <v>OK</v>
      </c>
      <c r="AH5" s="36" t="str">
        <f>IF(ABS($Z$5-$AC$5)&lt;0.01,"OK","ERRO")</f>
        <v>OK</v>
      </c>
      <c r="AI5" s="36" t="str">
        <f>IF(ABS($U$5-$AD$5)&lt;0.01,"OK","ERRO")</f>
        <v>OK</v>
      </c>
      <c r="AJ5" s="36" t="str">
        <f>IF(ABS(($V$5+$W$5)-$AE$5)&lt;0.01,"OK","ERRO")</f>
        <v>OK</v>
      </c>
    </row>
    <row r="6" spans="1:40" ht="11.25" customHeight="1" x14ac:dyDescent="0.2">
      <c r="A6" s="35" t="s">
        <v>21</v>
      </c>
      <c r="B6" s="35" t="s">
        <v>34</v>
      </c>
      <c r="C6" s="35" t="s">
        <v>35</v>
      </c>
      <c r="D6" s="35" t="s">
        <v>33</v>
      </c>
      <c r="E6" s="35" t="s">
        <v>25</v>
      </c>
      <c r="F6" s="35" t="s">
        <v>25</v>
      </c>
      <c r="G6" s="35" t="s">
        <v>25</v>
      </c>
      <c r="H6" s="35" t="s">
        <v>37</v>
      </c>
      <c r="I6" s="54">
        <v>44562</v>
      </c>
      <c r="J6" s="55">
        <f ca="1">EFEITO!$J$6*EFEITO!$Y$6</f>
        <v>906.22688378096427</v>
      </c>
      <c r="K6" s="55">
        <f ca="1">EFEITO!$L$6*EFEITO!$Z$6</f>
        <v>1583.3229590426647</v>
      </c>
      <c r="L6" s="55">
        <f>EFEITO!$N$6*EFEITO!$AA$6</f>
        <v>3028.9537730824059</v>
      </c>
      <c r="M6" s="55">
        <f ca="1">$J$6-EFEITO!$K$6*EFEITO!$Y$6</f>
        <v>0</v>
      </c>
      <c r="N6" s="55">
        <f ca="1">$K$6-EFEITO!$M$6*EFEITO!$Z$6</f>
        <v>0</v>
      </c>
      <c r="O6" s="55">
        <f>$L$6-EFEITO!$O$6*EFEITO!$AA$6</f>
        <v>0</v>
      </c>
      <c r="P6" s="39"/>
      <c r="Q6" s="55" t="s">
        <v>528</v>
      </c>
      <c r="R6" s="55">
        <f>SUMIF($B$2:$B$483,$Q$6,$J$2:$J$483)</f>
        <v>0</v>
      </c>
      <c r="S6" s="55">
        <f>SUMIF($B$2:$B$483,$Q$6,$K$2:$K$483)</f>
        <v>0</v>
      </c>
      <c r="T6" s="55">
        <f>SUMIF($B$2:$B$483,$Q$6,$L$2:$L$483)</f>
        <v>0</v>
      </c>
      <c r="U6" s="55">
        <f>SUMIF($B$2:$B$483,$Q$6,$M$2:$M$483)</f>
        <v>0</v>
      </c>
      <c r="V6" s="55">
        <f>SUMIF($B$2:$B$483,$Q$6,$N$2:$N$483)</f>
        <v>0</v>
      </c>
      <c r="W6" s="55">
        <f>SUMIF($B$2:$B$483,$Q$6,$O$2:$O$483)</f>
        <v>0</v>
      </c>
      <c r="X6" s="36">
        <f>$R$6-$U$6</f>
        <v>0</v>
      </c>
      <c r="Y6" s="36">
        <f>$S$6-$V$6</f>
        <v>0</v>
      </c>
      <c r="Z6" s="36">
        <f>$T$6-$W$6</f>
        <v>0</v>
      </c>
      <c r="AA6" s="36">
        <f>SUMIF(EFEITO!$B$2:$B$483,$Q$6,EFEITO!$AE$2:$AE$483)</f>
        <v>0</v>
      </c>
      <c r="AB6" s="36">
        <f>SUMIF(EFEITO!$B$2:$B$483,$Q$6,EFEITO!$AF$2:$AF$483)</f>
        <v>0</v>
      </c>
      <c r="AC6" s="36">
        <f>SUMIF(EFEITO!$B$2:$B$483,$Q$6,EFEITO!$AG$2:$AH$483)</f>
        <v>0</v>
      </c>
      <c r="AD6" s="36">
        <f>SUMIF(SUBSIDIO!$B$2:$B$483,$Q$6,SUBSIDIO!$AD$2:$AD$483)</f>
        <v>0</v>
      </c>
      <c r="AE6" s="36">
        <f>SUMIF(SUBSIDIO!$B$2:$B$483,$Q$6,SUBSIDIO!$AE$2:$AE$483)</f>
        <v>0</v>
      </c>
      <c r="AF6" s="36" t="str">
        <f>IF(ABS($X$6-$AA$6)&lt;0.01,"OK","ERRO")</f>
        <v>OK</v>
      </c>
      <c r="AG6" s="36" t="str">
        <f>IF(ABS($Y$6-$AB$6)&lt;0.01,"OK","ERRO")</f>
        <v>OK</v>
      </c>
      <c r="AH6" s="36" t="str">
        <f>IF(ABS($Z$6-$AC$6)&lt;0.01,"OK","ERRO")</f>
        <v>OK</v>
      </c>
      <c r="AI6" s="36" t="str">
        <f>IF(ABS($U$6-$AD$6)&lt;0.01,"OK","ERRO")</f>
        <v>OK</v>
      </c>
      <c r="AJ6" s="36" t="str">
        <f>IF(ABS(($V$6+$W$6)-$AE$6)&lt;0.01,"OK","ERRO")</f>
        <v>OK</v>
      </c>
    </row>
    <row r="7" spans="1:40" ht="11.25" customHeight="1" x14ac:dyDescent="0.2">
      <c r="A7" s="35" t="s">
        <v>21</v>
      </c>
      <c r="B7" s="35" t="s">
        <v>34</v>
      </c>
      <c r="C7" s="35" t="s">
        <v>35</v>
      </c>
      <c r="D7" s="35" t="s">
        <v>33</v>
      </c>
      <c r="E7" s="35" t="s">
        <v>25</v>
      </c>
      <c r="F7" s="35" t="s">
        <v>25</v>
      </c>
      <c r="G7" s="35" t="s">
        <v>25</v>
      </c>
      <c r="H7" s="35" t="s">
        <v>37</v>
      </c>
      <c r="I7" s="54">
        <v>44593</v>
      </c>
      <c r="J7" s="55">
        <f ca="1">EFEITO!$J$7*EFEITO!$Y$7</f>
        <v>882.9902970173498</v>
      </c>
      <c r="K7" s="55">
        <f ca="1">EFEITO!$L$7*EFEITO!$Z$7</f>
        <v>1457.60919456225</v>
      </c>
      <c r="L7" s="55">
        <f>EFEITO!$N$7*EFEITO!$AA$7</f>
        <v>2788.4588196828922</v>
      </c>
      <c r="M7" s="55">
        <f ca="1">$J$7-EFEITO!$K$7*EFEITO!$Y$7</f>
        <v>0</v>
      </c>
      <c r="N7" s="55">
        <f ca="1">$K$7-EFEITO!$M$7*EFEITO!$Z$7</f>
        <v>0</v>
      </c>
      <c r="O7" s="55">
        <f>$L$7-EFEITO!$O$7*EFEITO!$AA$7</f>
        <v>0</v>
      </c>
      <c r="P7" s="39"/>
      <c r="Q7" s="55" t="s">
        <v>34</v>
      </c>
      <c r="R7" s="55">
        <f ca="1">SUMIF($B$2:$B$483,$Q$7,$J$2:$J$483)</f>
        <v>2432792.5885937307</v>
      </c>
      <c r="S7" s="55">
        <f ca="1">SUMIF($B$2:$B$483,$Q$7,$K$2:$K$483)</f>
        <v>2720758.3296294976</v>
      </c>
      <c r="T7" s="55">
        <f>SUMIF($B$2:$B$483,$Q$7,$L$2:$L$483)</f>
        <v>1656840.706702163</v>
      </c>
      <c r="U7" s="55">
        <f ca="1">SUMIF($B$2:$B$483,$Q$7,$M$2:$M$483)</f>
        <v>733868.87151489593</v>
      </c>
      <c r="V7" s="55">
        <f ca="1">SUMIF($B$2:$B$483,$Q$7,$N$2:$N$483)</f>
        <v>1020473.8117728438</v>
      </c>
      <c r="W7" s="55">
        <f>SUMIF($B$2:$B$483,$Q$7,$O$2:$O$483)</f>
        <v>381.26039065685586</v>
      </c>
      <c r="X7" s="36">
        <f ca="1">$R$7-$U$7</f>
        <v>1698923.7170788348</v>
      </c>
      <c r="Y7" s="36">
        <f ca="1">$S$7-$V$7</f>
        <v>1700284.5178566538</v>
      </c>
      <c r="Z7" s="36">
        <f>$T$7-$W$7</f>
        <v>1656459.4463115062</v>
      </c>
      <c r="AA7" s="36">
        <f ca="1">SUMIF(EFEITO!$B$2:$B$483,$Q$7,EFEITO!$AE$2:$AE$483)</f>
        <v>1698923.7170788345</v>
      </c>
      <c r="AB7" s="36">
        <f ca="1">SUMIF(EFEITO!$B$2:$B$483,$Q$7,EFEITO!$AF$2:$AF$483)</f>
        <v>1700284.5178566531</v>
      </c>
      <c r="AC7" s="36">
        <f>SUMIF(EFEITO!$B$2:$B$483,$Q$7,EFEITO!$AG$2:$AH$483)</f>
        <v>1656459.4463115055</v>
      </c>
      <c r="AD7" s="36">
        <f ca="1">SUMIF(SUBSIDIO!$B$2:$B$483,$Q$7,SUBSIDIO!$AD$2:$AD$483)</f>
        <v>733868.87151489593</v>
      </c>
      <c r="AE7" s="36">
        <f ca="1">SUMIF(SUBSIDIO!$B$2:$B$483,$Q$7,SUBSIDIO!$AE$2:$AE$483)</f>
        <v>1020855.0721635009</v>
      </c>
      <c r="AF7" s="36" t="str">
        <f ca="1">IF(ABS($X$7-$AA$7)&lt;0.01,"OK","ERRO")</f>
        <v>OK</v>
      </c>
      <c r="AG7" s="36" t="str">
        <f ca="1">IF(ABS($Y$7-$AB$7)&lt;0.01,"OK","ERRO")</f>
        <v>OK</v>
      </c>
      <c r="AH7" s="36" t="str">
        <f>IF(ABS($Z$7-$AC$7)&lt;0.01,"OK","ERRO")</f>
        <v>OK</v>
      </c>
      <c r="AI7" s="36" t="str">
        <f ca="1">IF(ABS($U$7-$AD$7)&lt;0.01,"OK","ERRO")</f>
        <v>OK</v>
      </c>
      <c r="AJ7" s="36" t="str">
        <f ca="1">IF(ABS(($V$7+$W$7)-$AE$7)&lt;0.01,"OK","ERRO")</f>
        <v>OK</v>
      </c>
    </row>
    <row r="8" spans="1:40" ht="11.25" customHeight="1" x14ac:dyDescent="0.2">
      <c r="A8" s="35" t="s">
        <v>21</v>
      </c>
      <c r="B8" s="35" t="s">
        <v>34</v>
      </c>
      <c r="C8" s="35" t="s">
        <v>35</v>
      </c>
      <c r="D8" s="35" t="s">
        <v>33</v>
      </c>
      <c r="E8" s="35" t="s">
        <v>25</v>
      </c>
      <c r="F8" s="35" t="s">
        <v>25</v>
      </c>
      <c r="G8" s="35" t="s">
        <v>25</v>
      </c>
      <c r="H8" s="35" t="s">
        <v>37</v>
      </c>
      <c r="I8" s="54">
        <v>44621</v>
      </c>
      <c r="J8" s="55">
        <f ca="1">EFEITO!$J$8*EFEITO!$Y$8</f>
        <v>882.9902970173498</v>
      </c>
      <c r="K8" s="55">
        <f ca="1">EFEITO!$L$8*EFEITO!$Z$8</f>
        <v>1461.4085438887689</v>
      </c>
      <c r="L8" s="55">
        <f>EFEITO!$N$8*EFEITO!$AA$8</f>
        <v>2795.727111607855</v>
      </c>
      <c r="M8" s="55">
        <f ca="1">$J$8-EFEITO!$K$8*EFEITO!$Y$8</f>
        <v>0</v>
      </c>
      <c r="N8" s="55">
        <f ca="1">$K$8-EFEITO!$M$8*EFEITO!$Z$8</f>
        <v>0</v>
      </c>
      <c r="O8" s="55">
        <f>$L$8-EFEITO!$O$8*EFEITO!$AA$8</f>
        <v>0</v>
      </c>
      <c r="P8" s="39"/>
      <c r="Q8" s="55" t="s">
        <v>529</v>
      </c>
      <c r="R8" s="55">
        <f>SUMIF($B$2:$B$483,$Q$8,$J$2:$J$483)</f>
        <v>0</v>
      </c>
      <c r="S8" s="55">
        <f>SUMIF($B$2:$B$483,$Q$8,$K$2:$K$483)</f>
        <v>0</v>
      </c>
      <c r="T8" s="55">
        <f>SUMIF($B$2:$B$483,$Q$8,$L$2:$L$483)</f>
        <v>0</v>
      </c>
      <c r="U8" s="55">
        <f>SUMIF($B$2:$B$483,$Q$8,$M$2:$M$483)</f>
        <v>0</v>
      </c>
      <c r="V8" s="55">
        <f>SUMIF($B$2:$B$483,$Q$8,$N$2:$N$483)</f>
        <v>0</v>
      </c>
      <c r="W8" s="55">
        <f>SUMIF($B$2:$B$483,$Q$8,$O$2:$O$483)</f>
        <v>0</v>
      </c>
      <c r="X8" s="36">
        <f>$R$8-$U$8</f>
        <v>0</v>
      </c>
      <c r="Y8" s="36">
        <f>$S$8-$V$8</f>
        <v>0</v>
      </c>
      <c r="Z8" s="36">
        <f>$T$8-$W$8</f>
        <v>0</v>
      </c>
      <c r="AA8" s="36">
        <f>SUMIF(EFEITO!$B$2:$B$483,$Q$8,EFEITO!$AE$2:$AE$483)</f>
        <v>0</v>
      </c>
      <c r="AB8" s="36">
        <f>SUMIF(EFEITO!$B$2:$B$483,$Q$8,EFEITO!$AF$2:$AF$483)</f>
        <v>0</v>
      </c>
      <c r="AC8" s="36">
        <f>SUMIF(EFEITO!$B$2:$B$483,$Q$8,EFEITO!$AG$2:$AH$483)</f>
        <v>0</v>
      </c>
      <c r="AD8" s="36">
        <f>SUMIF(SUBSIDIO!$B$2:$B$483,$Q$8,SUBSIDIO!$AD$2:$AD$483)</f>
        <v>0</v>
      </c>
      <c r="AE8" s="36">
        <f>SUMIF(SUBSIDIO!$B$2:$B$483,$Q$8,SUBSIDIO!$AE$2:$AE$483)</f>
        <v>0</v>
      </c>
      <c r="AF8" s="36" t="str">
        <f>IF(ABS($X$8-$AA$8)&lt;0.01,"OK","ERRO")</f>
        <v>OK</v>
      </c>
      <c r="AG8" s="36" t="str">
        <f>IF(ABS($Y$8-$AB$8)&lt;0.01,"OK","ERRO")</f>
        <v>OK</v>
      </c>
      <c r="AH8" s="36" t="str">
        <f>IF(ABS($Z$8-$AC$8)&lt;0.01,"OK","ERRO")</f>
        <v>OK</v>
      </c>
      <c r="AI8" s="36" t="str">
        <f>IF(ABS($U$8-$AD$8)&lt;0.01,"OK","ERRO")</f>
        <v>OK</v>
      </c>
      <c r="AJ8" s="36" t="str">
        <f>IF(ABS(($V$8+$W$8)-$AE$8)&lt;0.01,"OK","ERRO")</f>
        <v>OK</v>
      </c>
    </row>
    <row r="9" spans="1:40" ht="11.25" customHeight="1" x14ac:dyDescent="0.2">
      <c r="A9" s="35" t="s">
        <v>21</v>
      </c>
      <c r="B9" s="35" t="s">
        <v>34</v>
      </c>
      <c r="C9" s="35" t="s">
        <v>35</v>
      </c>
      <c r="D9" s="35" t="s">
        <v>33</v>
      </c>
      <c r="E9" s="35" t="s">
        <v>25</v>
      </c>
      <c r="F9" s="35" t="s">
        <v>25</v>
      </c>
      <c r="G9" s="35" t="s">
        <v>25</v>
      </c>
      <c r="H9" s="35" t="s">
        <v>37</v>
      </c>
      <c r="I9" s="54">
        <v>44652</v>
      </c>
      <c r="J9" s="55">
        <f ca="1">EFEITO!$J$9*EFEITO!$Y$9</f>
        <v>882.9902970173498</v>
      </c>
      <c r="K9" s="55">
        <f ca="1">EFEITO!$L$9*EFEITO!$Z$9</f>
        <v>1367.6540119784866</v>
      </c>
      <c r="L9" s="55">
        <f>EFEITO!$N$9*EFEITO!$AA$9</f>
        <v>2616.3713196947961</v>
      </c>
      <c r="M9" s="55">
        <f ca="1">$J$9-EFEITO!$K$9*EFEITO!$Y$9</f>
        <v>0</v>
      </c>
      <c r="N9" s="55">
        <f ca="1">$K$9-EFEITO!$M$9*EFEITO!$Z$9</f>
        <v>0</v>
      </c>
      <c r="O9" s="55">
        <f>$L$9-EFEITO!$O$9*EFEITO!$AA$9</f>
        <v>0</v>
      </c>
      <c r="P9" s="39"/>
      <c r="Q9" s="55" t="s">
        <v>22</v>
      </c>
      <c r="R9" s="55">
        <f>SUMIF($B$2:$B$483,$Q$9,$J$2:$J$483)</f>
        <v>0</v>
      </c>
      <c r="S9" s="55">
        <f ca="1">SUMIF($B$2:$B$483,$Q$9,$K$2:$K$483)</f>
        <v>4886893.5858119205</v>
      </c>
      <c r="T9" s="55">
        <f>SUMIF($B$2:$B$483,$Q$9,$L$2:$L$483)</f>
        <v>2463046.4877644079</v>
      </c>
      <c r="U9" s="55">
        <f>SUMIF($B$2:$B$483,$Q$9,$M$2:$M$483)</f>
        <v>0</v>
      </c>
      <c r="V9" s="55">
        <f ca="1">SUMIF($B$2:$B$483,$Q$9,$N$2:$N$483)</f>
        <v>48525.778990226929</v>
      </c>
      <c r="W9" s="55">
        <f>SUMIF($B$2:$B$483,$Q$9,$O$2:$O$483)</f>
        <v>32074.555406942829</v>
      </c>
      <c r="X9" s="36">
        <f>$R$9-$U$9</f>
        <v>0</v>
      </c>
      <c r="Y9" s="36">
        <f ca="1">$S$9-$V$9</f>
        <v>4838367.8068216937</v>
      </c>
      <c r="Z9" s="36">
        <f>$T$9-$W$9</f>
        <v>2430971.9323574649</v>
      </c>
      <c r="AA9" s="36">
        <f>SUMIF(EFEITO!$B$2:$B$483,$Q$9,EFEITO!$AE$2:$AE$483)</f>
        <v>0</v>
      </c>
      <c r="AB9" s="36">
        <f ca="1">SUMIF(EFEITO!$B$2:$B$483,$Q$9,EFEITO!$AF$2:$AF$483)</f>
        <v>4838367.8068216909</v>
      </c>
      <c r="AC9" s="36">
        <f>SUMIF(EFEITO!$B$2:$B$483,$Q$9,EFEITO!$AG$2:$AH$483)</f>
        <v>2430971.9323574663</v>
      </c>
      <c r="AD9" s="36">
        <f>SUMIF(SUBSIDIO!$B$2:$B$483,$Q$9,SUBSIDIO!$AD$2:$AD$483)</f>
        <v>0</v>
      </c>
      <c r="AE9" s="36">
        <f ca="1">SUMIF(SUBSIDIO!$B$2:$B$483,$Q$9,SUBSIDIO!$AE$2:$AE$483)</f>
        <v>80600.334397169761</v>
      </c>
      <c r="AF9" s="36" t="str">
        <f>IF(ABS($X$9-$AA$9)&lt;0.01,"OK","ERRO")</f>
        <v>OK</v>
      </c>
      <c r="AG9" s="36" t="str">
        <f ca="1">IF(ABS($Y$9-$AB$9)&lt;0.01,"OK","ERRO")</f>
        <v>OK</v>
      </c>
      <c r="AH9" s="36" t="str">
        <f>IF(ABS($Z$9-$AC$9)&lt;0.01,"OK","ERRO")</f>
        <v>OK</v>
      </c>
      <c r="AI9" s="36" t="str">
        <f>IF(ABS($U$9-$AD$9)&lt;0.01,"OK","ERRO")</f>
        <v>OK</v>
      </c>
      <c r="AJ9" s="36" t="str">
        <f ca="1">IF(ABS(($V$9+$W$9)-$AE$9)&lt;0.01,"OK","ERRO")</f>
        <v>OK</v>
      </c>
    </row>
    <row r="10" spans="1:40" ht="11.25" customHeight="1" x14ac:dyDescent="0.2">
      <c r="A10" s="35" t="s">
        <v>21</v>
      </c>
      <c r="B10" s="35" t="s">
        <v>34</v>
      </c>
      <c r="C10" s="35" t="s">
        <v>35</v>
      </c>
      <c r="D10" s="35" t="s">
        <v>33</v>
      </c>
      <c r="E10" s="35" t="s">
        <v>25</v>
      </c>
      <c r="F10" s="35" t="s">
        <v>25</v>
      </c>
      <c r="G10" s="35" t="s">
        <v>25</v>
      </c>
      <c r="H10" s="35" t="s">
        <v>37</v>
      </c>
      <c r="I10" s="54">
        <v>44682</v>
      </c>
      <c r="J10" s="55">
        <f ca="1">EFEITO!$J$10*EFEITO!$Y$10</f>
        <v>882.9902970173498</v>
      </c>
      <c r="K10" s="55">
        <f ca="1">EFEITO!$L$10*EFEITO!$Z$10</f>
        <v>1358.2673842306153</v>
      </c>
      <c r="L10" s="55">
        <f>EFEITO!$N$10*EFEITO!$AA$10</f>
        <v>2598.4143631742986</v>
      </c>
      <c r="M10" s="55">
        <f ca="1">$J$10-EFEITO!$K$10*EFEITO!$Y$10</f>
        <v>0</v>
      </c>
      <c r="N10" s="55">
        <f ca="1">$K$10-EFEITO!$M$10*EFEITO!$Z$10</f>
        <v>0</v>
      </c>
      <c r="O10" s="55">
        <f>$L$10-EFEITO!$O$10*EFEITO!$AA$10</f>
        <v>0</v>
      </c>
      <c r="P10" s="39"/>
      <c r="Q10" s="55" t="s">
        <v>40</v>
      </c>
      <c r="R10" s="55">
        <f>SUMIF($B$2:$B$483,$Q$10,$J$2:$J$483)</f>
        <v>0</v>
      </c>
      <c r="S10" s="55">
        <f ca="1">SUMIF($B$2:$B$483,$Q$10,$K$2:$K$483)</f>
        <v>6489284.8786098845</v>
      </c>
      <c r="T10" s="55">
        <f>SUMIF($B$2:$B$483,$Q$10,$L$2:$L$483)</f>
        <v>3232061.2741397852</v>
      </c>
      <c r="U10" s="55">
        <f>SUMIF($B$2:$B$483,$Q$10,$M$2:$M$483)</f>
        <v>0</v>
      </c>
      <c r="V10" s="55">
        <f ca="1">SUMIF($B$2:$B$483,$Q$10,$N$2:$N$483)</f>
        <v>816057.23485261283</v>
      </c>
      <c r="W10" s="55">
        <f>SUMIF($B$2:$B$483,$Q$10,$O$2:$O$483)</f>
        <v>406446.47840051888</v>
      </c>
      <c r="X10" s="36">
        <f>$R$10-$U$10</f>
        <v>0</v>
      </c>
      <c r="Y10" s="36">
        <f ca="1">$S$10-$V$10</f>
        <v>5673227.6437572716</v>
      </c>
      <c r="Z10" s="36">
        <f>$T$10-$W$10</f>
        <v>2825614.7957392661</v>
      </c>
      <c r="AA10" s="36">
        <f>SUMIF(EFEITO!$B$2:$B$483,$Q$10,EFEITO!$AE$2:$AE$483)</f>
        <v>0</v>
      </c>
      <c r="AB10" s="36">
        <f ca="1">SUMIF(EFEITO!$B$2:$B$483,$Q$10,EFEITO!$AF$2:$AF$483)</f>
        <v>5673227.6437572716</v>
      </c>
      <c r="AC10" s="36">
        <f>SUMIF(EFEITO!$B$2:$B$483,$Q$10,EFEITO!$AG$2:$AH$483)</f>
        <v>2825614.7957392661</v>
      </c>
      <c r="AD10" s="36">
        <f>SUMIF(SUBSIDIO!$B$2:$B$483,$Q$10,SUBSIDIO!$AD$2:$AD$483)</f>
        <v>0</v>
      </c>
      <c r="AE10" s="36">
        <f ca="1">SUMIF(SUBSIDIO!$B$2:$B$483,$Q$10,SUBSIDIO!$AE$2:$AE$483)</f>
        <v>1222503.7132531309</v>
      </c>
      <c r="AF10" s="36" t="str">
        <f>IF(ABS($X$10-$AA$10)&lt;0.01,"OK","ERRO")</f>
        <v>OK</v>
      </c>
      <c r="AG10" s="36" t="str">
        <f ca="1">IF(ABS($Y$10-$AB$10)&lt;0.01,"OK","ERRO")</f>
        <v>OK</v>
      </c>
      <c r="AH10" s="36" t="str">
        <f>IF(ABS($Z$10-$AC$10)&lt;0.01,"OK","ERRO")</f>
        <v>OK</v>
      </c>
      <c r="AI10" s="36" t="str">
        <f>IF(ABS($U$10-$AD$10)&lt;0.01,"OK","ERRO")</f>
        <v>OK</v>
      </c>
      <c r="AJ10" s="36" t="str">
        <f ca="1">IF(ABS(($V$10+$W$10)-$AE$10)&lt;0.01,"OK","ERRO")</f>
        <v>OK</v>
      </c>
    </row>
    <row r="11" spans="1:40" ht="11.25" customHeight="1" x14ac:dyDescent="0.2">
      <c r="A11" s="35" t="s">
        <v>21</v>
      </c>
      <c r="B11" s="35" t="s">
        <v>34</v>
      </c>
      <c r="C11" s="35" t="s">
        <v>35</v>
      </c>
      <c r="D11" s="35" t="s">
        <v>33</v>
      </c>
      <c r="E11" s="35" t="s">
        <v>25</v>
      </c>
      <c r="F11" s="35" t="s">
        <v>25</v>
      </c>
      <c r="G11" s="35" t="s">
        <v>25</v>
      </c>
      <c r="H11" s="35" t="s">
        <v>37</v>
      </c>
      <c r="I11" s="54">
        <v>44713</v>
      </c>
      <c r="J11" s="55">
        <f ca="1">EFEITO!$J$11*EFEITO!$Y$11</f>
        <v>882.9902970173498</v>
      </c>
      <c r="K11" s="55">
        <f ca="1">EFEITO!$L$11*EFEITO!$Z$11</f>
        <v>1265.5185624361759</v>
      </c>
      <c r="L11" s="55">
        <f>EFEITO!$N$11*EFEITO!$AA$11</f>
        <v>2420.9825308884356</v>
      </c>
      <c r="M11" s="55">
        <f ca="1">$J$11-EFEITO!$K$11*EFEITO!$Y$11</f>
        <v>0</v>
      </c>
      <c r="N11" s="55">
        <f ca="1">$K$11-EFEITO!$M$11*EFEITO!$Z$11</f>
        <v>0</v>
      </c>
      <c r="O11" s="55">
        <f>$L$11-EFEITO!$O$11*EFEITO!$AA$11</f>
        <v>0</v>
      </c>
      <c r="P11" s="39"/>
      <c r="Q11" s="55" t="s">
        <v>32</v>
      </c>
      <c r="R11" s="55">
        <f>SUMIF($B$2:$B$483,$Q$11,$J$2:$J$483)</f>
        <v>0</v>
      </c>
      <c r="S11" s="55">
        <f ca="1">SUMIF($B$2:$B$483,$Q$11,$K$2:$K$483)</f>
        <v>3326464.8365001823</v>
      </c>
      <c r="T11" s="55">
        <f>SUMIF($B$2:$B$483,$Q$11,$L$2:$L$483)</f>
        <v>1656783.2016866393</v>
      </c>
      <c r="U11" s="55">
        <f>SUMIF($B$2:$B$483,$Q$11,$M$2:$M$483)</f>
        <v>0</v>
      </c>
      <c r="V11" s="55">
        <f ca="1">SUMIF($B$2:$B$483,$Q$11,$N$2:$N$483)</f>
        <v>2198.2076982886215</v>
      </c>
      <c r="W11" s="55">
        <f>SUMIF($B$2:$B$483,$Q$11,$O$2:$O$483)</f>
        <v>1094.842052253463</v>
      </c>
      <c r="X11" s="36">
        <f>$R$11-$U$11</f>
        <v>0</v>
      </c>
      <c r="Y11" s="36">
        <f ca="1">$S$11-$V$11</f>
        <v>3324266.6288018934</v>
      </c>
      <c r="Z11" s="36">
        <f>$T$11-$W$11</f>
        <v>1655688.3596343859</v>
      </c>
      <c r="AA11" s="36">
        <f>SUMIF(EFEITO!$B$2:$B$483,$Q$11,EFEITO!$AE$2:$AE$483)</f>
        <v>0</v>
      </c>
      <c r="AB11" s="36">
        <f ca="1">SUMIF(EFEITO!$B$2:$B$483,$Q$11,EFEITO!$AF$2:$AF$483)</f>
        <v>3324266.6288018934</v>
      </c>
      <c r="AC11" s="36">
        <f>SUMIF(EFEITO!$B$2:$B$483,$Q$11,EFEITO!$AG$2:$AH$483)</f>
        <v>1655688.3596343857</v>
      </c>
      <c r="AD11" s="36">
        <f>SUMIF(SUBSIDIO!$B$2:$B$483,$Q$11,SUBSIDIO!$AD$2:$AD$483)</f>
        <v>0</v>
      </c>
      <c r="AE11" s="36">
        <f ca="1">SUMIF(SUBSIDIO!$B$2:$B$483,$Q$11,SUBSIDIO!$AE$2:$AE$483)</f>
        <v>3293.0497505420758</v>
      </c>
      <c r="AF11" s="36" t="str">
        <f>IF(ABS($X$11-$AA$11)&lt;0.01,"OK","ERRO")</f>
        <v>OK</v>
      </c>
      <c r="AG11" s="36" t="str">
        <f ca="1">IF(ABS($Y$11-$AB$11)&lt;0.01,"OK","ERRO")</f>
        <v>OK</v>
      </c>
      <c r="AH11" s="36" t="str">
        <f>IF(ABS($Z$11-$AC$11)&lt;0.01,"OK","ERRO")</f>
        <v>OK</v>
      </c>
      <c r="AI11" s="36" t="str">
        <f>IF(ABS($U$11-$AD$11)&lt;0.01,"OK","ERRO")</f>
        <v>OK</v>
      </c>
      <c r="AJ11" s="36" t="str">
        <f ca="1">IF(ABS(($V$11+$W$11)-$AE$11)&lt;0.01,"OK","ERRO")</f>
        <v>OK</v>
      </c>
    </row>
    <row r="12" spans="1:40" ht="11.25" customHeight="1" x14ac:dyDescent="0.2">
      <c r="A12" s="35" t="s">
        <v>21</v>
      </c>
      <c r="B12" s="35" t="s">
        <v>34</v>
      </c>
      <c r="C12" s="35" t="s">
        <v>35</v>
      </c>
      <c r="D12" s="35" t="s">
        <v>33</v>
      </c>
      <c r="E12" s="35" t="s">
        <v>25</v>
      </c>
      <c r="F12" s="35" t="s">
        <v>25</v>
      </c>
      <c r="G12" s="35" t="s">
        <v>25</v>
      </c>
      <c r="H12" s="35" t="s">
        <v>37</v>
      </c>
      <c r="I12" s="54">
        <v>44743</v>
      </c>
      <c r="J12" s="55">
        <f ca="1">EFEITO!$J$12*EFEITO!$Y$12</f>
        <v>882.9902970173498</v>
      </c>
      <c r="K12" s="55">
        <f ca="1">EFEITO!$L$12*EFEITO!$Z$12</f>
        <v>1383.6336282635523</v>
      </c>
      <c r="L12" s="55">
        <f>EFEITO!$N$12*EFEITO!$AA$12</f>
        <v>2646.9409004380227</v>
      </c>
      <c r="M12" s="55">
        <f ca="1">$J$12-EFEITO!$K$12*EFEITO!$Y$12</f>
        <v>0</v>
      </c>
      <c r="N12" s="55">
        <f ca="1">$K$12-EFEITO!$M$12*EFEITO!$Z$12</f>
        <v>0</v>
      </c>
      <c r="O12" s="55">
        <f>$L$12-EFEITO!$O$12*EFEITO!$AA$12</f>
        <v>0</v>
      </c>
      <c r="P12" s="39"/>
      <c r="Q12" s="55" t="s">
        <v>43</v>
      </c>
      <c r="R12" s="55">
        <f>SUMIF($B$2:$B$483,$Q$12,$J$2:$J$483)</f>
        <v>0</v>
      </c>
      <c r="S12" s="55">
        <f ca="1">SUMIF($B$2:$B$483,$Q$12,$K$2:$K$483)</f>
        <v>457554.31142267463</v>
      </c>
      <c r="T12" s="55">
        <f>SUMIF($B$2:$B$483,$Q$12,$L$2:$L$483)</f>
        <v>227890.0677699506</v>
      </c>
      <c r="U12" s="55">
        <f>SUMIF($B$2:$B$483,$Q$12,$M$2:$M$483)</f>
        <v>0</v>
      </c>
      <c r="V12" s="55">
        <f ca="1">SUMIF($B$2:$B$483,$Q$12,$N$2:$N$483)</f>
        <v>0</v>
      </c>
      <c r="W12" s="55">
        <f>SUMIF($B$2:$B$483,$Q$12,$O$2:$O$483)</f>
        <v>0</v>
      </c>
      <c r="X12" s="36">
        <f>$R$12-$U$12</f>
        <v>0</v>
      </c>
      <c r="Y12" s="36">
        <f ca="1">$S$12-$V$12</f>
        <v>457554.31142267463</v>
      </c>
      <c r="Z12" s="36">
        <f>$T$12-$W$12</f>
        <v>227890.0677699506</v>
      </c>
      <c r="AA12" s="36">
        <f>SUMIF(EFEITO!$B$2:$B$483,$Q$12,EFEITO!$AE$2:$AE$483)</f>
        <v>0</v>
      </c>
      <c r="AB12" s="36">
        <f ca="1">SUMIF(EFEITO!$B$2:$B$483,$Q$12,EFEITO!$AF$2:$AF$483)</f>
        <v>457554.31142267463</v>
      </c>
      <c r="AC12" s="36">
        <f>SUMIF(EFEITO!$B$2:$B$483,$Q$12,EFEITO!$AG$2:$AH$483)</f>
        <v>227890.0677699506</v>
      </c>
      <c r="AD12" s="36">
        <f>SUMIF(SUBSIDIO!$B$2:$B$483,$Q$12,SUBSIDIO!$AD$2:$AD$483)</f>
        <v>0</v>
      </c>
      <c r="AE12" s="36">
        <f>SUMIF(SUBSIDIO!$B$2:$B$483,$Q$12,SUBSIDIO!$AE$2:$AE$483)</f>
        <v>0</v>
      </c>
      <c r="AF12" s="36" t="str">
        <f>IF(ABS($X$12-$AA$12)&lt;0.01,"OK","ERRO")</f>
        <v>OK</v>
      </c>
      <c r="AG12" s="36" t="str">
        <f ca="1">IF(ABS($Y$12-$AB$12)&lt;0.01,"OK","ERRO")</f>
        <v>OK</v>
      </c>
      <c r="AH12" s="36" t="str">
        <f>IF(ABS($Z$12-$AC$12)&lt;0.01,"OK","ERRO")</f>
        <v>OK</v>
      </c>
      <c r="AI12" s="36" t="str">
        <f>IF(ABS($U$12-$AD$12)&lt;0.01,"OK","ERRO")</f>
        <v>OK</v>
      </c>
      <c r="AJ12" s="36" t="str">
        <f ca="1">IF(ABS(($V$12+$W$12)-$AE$12)&lt;0.01,"OK","ERRO")</f>
        <v>OK</v>
      </c>
    </row>
    <row r="13" spans="1:40" ht="11.25" customHeight="1" x14ac:dyDescent="0.2">
      <c r="A13" s="35" t="s">
        <v>53</v>
      </c>
      <c r="B13" s="35" t="s">
        <v>34</v>
      </c>
      <c r="C13" s="35" t="s">
        <v>35</v>
      </c>
      <c r="D13" s="35" t="s">
        <v>33</v>
      </c>
      <c r="E13" s="35" t="s">
        <v>25</v>
      </c>
      <c r="F13" s="35" t="s">
        <v>25</v>
      </c>
      <c r="G13" s="35" t="s">
        <v>25</v>
      </c>
      <c r="H13" s="35" t="s">
        <v>37</v>
      </c>
      <c r="I13" s="54">
        <v>44774</v>
      </c>
      <c r="J13" s="55">
        <f ca="1">EFEITO!$J$13*EFEITO!$Y$13</f>
        <v>882.9902970173498</v>
      </c>
      <c r="K13" s="55">
        <f ca="1">EFEITO!$L$13*EFEITO!$Z$13</f>
        <v>1383.6336282635523</v>
      </c>
      <c r="L13" s="55">
        <f>EFEITO!$N$13*EFEITO!$AA$13</f>
        <v>2646.9409004380227</v>
      </c>
      <c r="M13" s="55">
        <f ca="1">$J$13-EFEITO!$K$13*EFEITO!$Y$13</f>
        <v>0</v>
      </c>
      <c r="N13" s="55">
        <f ca="1">$K$13-EFEITO!$M$13*EFEITO!$Z$13</f>
        <v>0</v>
      </c>
      <c r="O13" s="55">
        <f>$L$13-EFEITO!$O$13*EFEITO!$AA$13</f>
        <v>0</v>
      </c>
      <c r="P13" s="39"/>
      <c r="Q13" s="55" t="s">
        <v>88</v>
      </c>
      <c r="R13" s="55">
        <f>SUMIF($B$2:$B$483,$Q$13,$J$2:$J$483)</f>
        <v>0</v>
      </c>
      <c r="S13" s="55">
        <f>SUMIF($B$2:$B$483,$Q$13,$K$2:$K$483)</f>
        <v>0</v>
      </c>
      <c r="T13" s="55">
        <f>SUMIF($B$2:$B$483,$Q$13,$L$2:$L$483)</f>
        <v>0</v>
      </c>
      <c r="U13" s="55">
        <f>SUMIF($B$2:$B$483,$Q$13,$M$2:$M$483)</f>
        <v>0</v>
      </c>
      <c r="V13" s="55">
        <f>SUMIF($B$2:$B$483,$Q$13,$N$2:$N$483)</f>
        <v>0</v>
      </c>
      <c r="W13" s="55">
        <f>SUMIF($B$2:$B$483,$Q$13,$O$2:$O$483)</f>
        <v>0</v>
      </c>
      <c r="X13" s="36">
        <f>$R$13-$U$13</f>
        <v>0</v>
      </c>
      <c r="Y13" s="36">
        <f>$S$13-$V$13</f>
        <v>0</v>
      </c>
      <c r="Z13" s="36">
        <f>$T$13-$W$13</f>
        <v>0</v>
      </c>
      <c r="AA13" s="36">
        <f>SUMIF(EFEITO!$B$2:$B$483,$Q$13,EFEITO!$AE$2:$AE$483)</f>
        <v>0</v>
      </c>
      <c r="AB13" s="36">
        <f>SUMIF(EFEITO!$B$2:$B$483,$Q$13,EFEITO!$AF$2:$AF$483)</f>
        <v>0</v>
      </c>
      <c r="AC13" s="36">
        <f>SUMIF(EFEITO!$B$2:$B$483,$Q$13,EFEITO!$AG$2:$AH$483)</f>
        <v>0</v>
      </c>
      <c r="AD13" s="36">
        <f>SUMIF(SUBSIDIO!$B$2:$B$483,$Q$13,SUBSIDIO!$AD$2:$AD$483)</f>
        <v>0</v>
      </c>
      <c r="AE13" s="36">
        <f>SUMIF(SUBSIDIO!$B$2:$B$483,$Q$13,SUBSIDIO!$AE$2:$AE$483)</f>
        <v>0</v>
      </c>
      <c r="AF13" s="36" t="str">
        <f>IF(ABS($X$13-$AA$13)&lt;0.01,"OK","ERRO")</f>
        <v>OK</v>
      </c>
      <c r="AG13" s="36" t="str">
        <f>IF(ABS($Y$13-$AB$13)&lt;0.01,"OK","ERRO")</f>
        <v>OK</v>
      </c>
      <c r="AH13" s="36" t="str">
        <f>IF(ABS($Z$13-$AC$13)&lt;0.01,"OK","ERRO")</f>
        <v>OK</v>
      </c>
      <c r="AI13" s="36" t="str">
        <f>IF(ABS($U$13-$AD$13)&lt;0.01,"OK","ERRO")</f>
        <v>OK</v>
      </c>
      <c r="AJ13" s="36" t="str">
        <f>IF(ABS(($V$13+$W$13)-$AE$13)&lt;0.01,"OK","ERRO")</f>
        <v>OK</v>
      </c>
    </row>
    <row r="14" spans="1:40" ht="11.25" customHeight="1" x14ac:dyDescent="0.2">
      <c r="A14" s="35" t="s">
        <v>21</v>
      </c>
      <c r="B14" s="35" t="s">
        <v>34</v>
      </c>
      <c r="C14" s="35" t="s">
        <v>35</v>
      </c>
      <c r="D14" s="35" t="s">
        <v>33</v>
      </c>
      <c r="E14" s="35" t="s">
        <v>25</v>
      </c>
      <c r="F14" s="35" t="s">
        <v>25</v>
      </c>
      <c r="G14" s="35" t="s">
        <v>25</v>
      </c>
      <c r="H14" s="35" t="s">
        <v>36</v>
      </c>
      <c r="I14" s="54">
        <v>44440</v>
      </c>
      <c r="J14" s="55">
        <f ca="1">EFEITO!$J$14*EFEITO!$Y$14</f>
        <v>1970.4781977302939</v>
      </c>
      <c r="K14" s="55">
        <f ca="1">EFEITO!$L$14*EFEITO!$Z$14</f>
        <v>120.90870503805232</v>
      </c>
      <c r="L14" s="55">
        <f>EFEITO!$N$14*EFEITO!$AA$14</f>
        <v>231.30270184735431</v>
      </c>
      <c r="M14" s="55">
        <f ca="1">$J$14-EFEITO!$K$14*EFEITO!$Y$14</f>
        <v>0</v>
      </c>
      <c r="N14" s="55">
        <f ca="1">$K$14-EFEITO!$M$14*EFEITO!$Z$14</f>
        <v>0</v>
      </c>
      <c r="O14" s="55">
        <f>$L$14-EFEITO!$O$14*EFEITO!$AA$14</f>
        <v>0</v>
      </c>
      <c r="P14" s="39"/>
      <c r="Q14" s="39"/>
      <c r="R14" s="39"/>
      <c r="S14" s="39"/>
      <c r="T14" s="39"/>
      <c r="U14" s="39"/>
      <c r="V14" s="39"/>
      <c r="W14" s="39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0" ht="11.25" customHeight="1" x14ac:dyDescent="0.2">
      <c r="A15" s="35" t="s">
        <v>21</v>
      </c>
      <c r="B15" s="35" t="s">
        <v>34</v>
      </c>
      <c r="C15" s="35" t="s">
        <v>35</v>
      </c>
      <c r="D15" s="35" t="s">
        <v>33</v>
      </c>
      <c r="E15" s="35" t="s">
        <v>25</v>
      </c>
      <c r="F15" s="35" t="s">
        <v>25</v>
      </c>
      <c r="G15" s="35" t="s">
        <v>25</v>
      </c>
      <c r="H15" s="35" t="s">
        <v>36</v>
      </c>
      <c r="I15" s="54">
        <v>44470</v>
      </c>
      <c r="J15" s="55">
        <f ca="1">EFEITO!$J$15*EFEITO!$Y$15</f>
        <v>1970.4781977302939</v>
      </c>
      <c r="K15" s="55">
        <f ca="1">EFEITO!$L$15*EFEITO!$Z$15</f>
        <v>121.91441515389563</v>
      </c>
      <c r="L15" s="55">
        <f>EFEITO!$N$15*EFEITO!$AA$15</f>
        <v>233.22666147455038</v>
      </c>
      <c r="M15" s="55">
        <f ca="1">$J$15-EFEITO!$K$15*EFEITO!$Y$15</f>
        <v>0</v>
      </c>
      <c r="N15" s="55">
        <f ca="1">$K$15-EFEITO!$M$15*EFEITO!$Z$15</f>
        <v>0</v>
      </c>
      <c r="O15" s="55">
        <f>$L$15-EFEITO!$O$15*EFEITO!$AA$15</f>
        <v>0</v>
      </c>
      <c r="P15" s="39"/>
      <c r="Q15" s="39"/>
      <c r="R15" s="39"/>
      <c r="S15" s="39"/>
      <c r="T15" s="39"/>
      <c r="U15" s="39"/>
      <c r="V15" s="39"/>
      <c r="W15" s="39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0" ht="11.25" customHeight="1" x14ac:dyDescent="0.2">
      <c r="A16" s="35" t="s">
        <v>21</v>
      </c>
      <c r="B16" s="35" t="s">
        <v>34</v>
      </c>
      <c r="C16" s="35" t="s">
        <v>35</v>
      </c>
      <c r="D16" s="35" t="s">
        <v>33</v>
      </c>
      <c r="E16" s="35" t="s">
        <v>25</v>
      </c>
      <c r="F16" s="35" t="s">
        <v>25</v>
      </c>
      <c r="G16" s="35" t="s">
        <v>25</v>
      </c>
      <c r="H16" s="35" t="s">
        <v>36</v>
      </c>
      <c r="I16" s="54">
        <v>44501</v>
      </c>
      <c r="J16" s="55">
        <f ca="1">EFEITO!$J$16*EFEITO!$Y$16</f>
        <v>1970.4781977302939</v>
      </c>
      <c r="K16" s="55">
        <f ca="1">EFEITO!$L$16*EFEITO!$Z$16</f>
        <v>111.85731399546243</v>
      </c>
      <c r="L16" s="55">
        <f>EFEITO!$N$16*EFEITO!$AA$16</f>
        <v>213.98706520258929</v>
      </c>
      <c r="M16" s="55">
        <f ca="1">$J$16-EFEITO!$K$16*EFEITO!$Y$16</f>
        <v>0</v>
      </c>
      <c r="N16" s="55">
        <f ca="1">$K$16-EFEITO!$M$16*EFEITO!$Z$16</f>
        <v>0</v>
      </c>
      <c r="O16" s="55">
        <f>$L$16-EFEITO!$O$16*EFEITO!$AA$16</f>
        <v>0</v>
      </c>
      <c r="P16" s="39"/>
      <c r="Q16" s="39"/>
      <c r="R16" s="39"/>
      <c r="S16" s="39"/>
      <c r="T16" s="39"/>
      <c r="U16" s="39"/>
      <c r="V16" s="39"/>
      <c r="W16" s="39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1.25" customHeight="1" x14ac:dyDescent="0.2">
      <c r="A17" s="35" t="s">
        <v>21</v>
      </c>
      <c r="B17" s="35" t="s">
        <v>34</v>
      </c>
      <c r="C17" s="35" t="s">
        <v>35</v>
      </c>
      <c r="D17" s="35" t="s">
        <v>33</v>
      </c>
      <c r="E17" s="35" t="s">
        <v>25</v>
      </c>
      <c r="F17" s="35" t="s">
        <v>25</v>
      </c>
      <c r="G17" s="35" t="s">
        <v>25</v>
      </c>
      <c r="H17" s="35" t="s">
        <v>36</v>
      </c>
      <c r="I17" s="54">
        <v>44531</v>
      </c>
      <c r="J17" s="55">
        <f ca="1">EFEITO!$J$17*EFEITO!$Y$17</f>
        <v>1970.4781977302939</v>
      </c>
      <c r="K17" s="55">
        <f ca="1">EFEITO!$L$17*EFEITO!$Z$17</f>
        <v>126.94296573311222</v>
      </c>
      <c r="L17" s="55">
        <f>EFEITO!$N$17*EFEITO!$AA$17</f>
        <v>242.8464596105309</v>
      </c>
      <c r="M17" s="55">
        <f ca="1">$J$17-EFEITO!$K$17*EFEITO!$Y$17</f>
        <v>0</v>
      </c>
      <c r="N17" s="55">
        <f ca="1">$K$17-EFEITO!$M$17*EFEITO!$Z$17</f>
        <v>0</v>
      </c>
      <c r="O17" s="55">
        <f>$L$17-EFEITO!$O$17*EFEITO!$AA$17</f>
        <v>0</v>
      </c>
      <c r="P17" s="39"/>
      <c r="Q17" s="39"/>
      <c r="R17" s="39"/>
      <c r="S17" s="39"/>
      <c r="T17" s="39"/>
      <c r="U17" s="39"/>
      <c r="V17" s="39"/>
      <c r="W17" s="39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1.25" customHeight="1" x14ac:dyDescent="0.2">
      <c r="A18" s="35" t="s">
        <v>21</v>
      </c>
      <c r="B18" s="35" t="s">
        <v>34</v>
      </c>
      <c r="C18" s="35" t="s">
        <v>35</v>
      </c>
      <c r="D18" s="35" t="s">
        <v>33</v>
      </c>
      <c r="E18" s="35" t="s">
        <v>25</v>
      </c>
      <c r="F18" s="35" t="s">
        <v>25</v>
      </c>
      <c r="G18" s="35" t="s">
        <v>25</v>
      </c>
      <c r="H18" s="35" t="s">
        <v>36</v>
      </c>
      <c r="I18" s="54">
        <v>44562</v>
      </c>
      <c r="J18" s="55">
        <f ca="1">EFEITO!$J$18*EFEITO!$Y$18</f>
        <v>1970.4781977302939</v>
      </c>
      <c r="K18" s="55">
        <f ca="1">EFEITO!$L$18*EFEITO!$Z$18</f>
        <v>130.40707835435032</v>
      </c>
      <c r="L18" s="55">
        <f>EFEITO!$N$18*EFEITO!$AA$18</f>
        <v>249.47343165976199</v>
      </c>
      <c r="M18" s="55">
        <f ca="1">$J$18-EFEITO!$K$18*EFEITO!$Y$18</f>
        <v>0</v>
      </c>
      <c r="N18" s="55">
        <f ca="1">$K$18-EFEITO!$M$18*EFEITO!$Z$18</f>
        <v>0</v>
      </c>
      <c r="O18" s="55">
        <f>$L$18-EFEITO!$O$18*EFEITO!$AA$18</f>
        <v>0</v>
      </c>
      <c r="P18" s="39"/>
      <c r="Q18" s="39"/>
      <c r="R18" s="39"/>
      <c r="S18" s="39"/>
      <c r="T18" s="39"/>
      <c r="U18" s="39"/>
      <c r="V18" s="39"/>
      <c r="W18" s="39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1.25" customHeight="1" x14ac:dyDescent="0.2">
      <c r="A19" s="35" t="s">
        <v>21</v>
      </c>
      <c r="B19" s="35" t="s">
        <v>34</v>
      </c>
      <c r="C19" s="35" t="s">
        <v>35</v>
      </c>
      <c r="D19" s="35" t="s">
        <v>33</v>
      </c>
      <c r="E19" s="35" t="s">
        <v>25</v>
      </c>
      <c r="F19" s="35" t="s">
        <v>25</v>
      </c>
      <c r="G19" s="35" t="s">
        <v>25</v>
      </c>
      <c r="H19" s="35" t="s">
        <v>36</v>
      </c>
      <c r="I19" s="54">
        <v>44593</v>
      </c>
      <c r="J19" s="55">
        <f ca="1">EFEITO!$J$19*EFEITO!$Y$19</f>
        <v>1970.4781977302939</v>
      </c>
      <c r="K19" s="55">
        <f ca="1">EFEITO!$L$19*EFEITO!$Z$19</f>
        <v>111.85731399546243</v>
      </c>
      <c r="L19" s="55">
        <f>EFEITO!$N$19*EFEITO!$AA$19</f>
        <v>213.98706520258929</v>
      </c>
      <c r="M19" s="55">
        <f ca="1">$J$19-EFEITO!$K$19*EFEITO!$Y$19</f>
        <v>0</v>
      </c>
      <c r="N19" s="55">
        <f ca="1">$K$19-EFEITO!$M$19*EFEITO!$Z$19</f>
        <v>0</v>
      </c>
      <c r="O19" s="55">
        <f>$L$19-EFEITO!$O$19*EFEITO!$AA$19</f>
        <v>0</v>
      </c>
      <c r="P19" s="39"/>
      <c r="Q19" s="39"/>
      <c r="R19" s="39"/>
      <c r="S19" s="39"/>
      <c r="T19" s="39"/>
      <c r="U19" s="39"/>
      <c r="V19" s="39"/>
      <c r="W19" s="39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1.25" customHeight="1" x14ac:dyDescent="0.2">
      <c r="A20" s="35" t="s">
        <v>21</v>
      </c>
      <c r="B20" s="35" t="s">
        <v>34</v>
      </c>
      <c r="C20" s="35" t="s">
        <v>35</v>
      </c>
      <c r="D20" s="35" t="s">
        <v>33</v>
      </c>
      <c r="E20" s="35" t="s">
        <v>25</v>
      </c>
      <c r="F20" s="35" t="s">
        <v>25</v>
      </c>
      <c r="G20" s="35" t="s">
        <v>25</v>
      </c>
      <c r="H20" s="35" t="s">
        <v>36</v>
      </c>
      <c r="I20" s="54">
        <v>44621</v>
      </c>
      <c r="J20" s="55">
        <f ca="1">EFEITO!$J$20*EFEITO!$Y$20</f>
        <v>1970.4781977302939</v>
      </c>
      <c r="K20" s="55">
        <f ca="1">EFEITO!$L$20*EFEITO!$Z$20</f>
        <v>129.28962267007998</v>
      </c>
      <c r="L20" s="55">
        <f>EFEITO!$N$20*EFEITO!$AA$20</f>
        <v>247.33569874065518</v>
      </c>
      <c r="M20" s="55">
        <f ca="1">$J$20-EFEITO!$K$20*EFEITO!$Y$20</f>
        <v>0</v>
      </c>
      <c r="N20" s="55">
        <f ca="1">$K$20-EFEITO!$M$20*EFEITO!$Z$20</f>
        <v>0</v>
      </c>
      <c r="O20" s="55">
        <f>$L$20-EFEITO!$O$20*EFEITO!$AA$20</f>
        <v>0</v>
      </c>
      <c r="P20" s="39"/>
      <c r="Q20" s="39"/>
      <c r="R20" s="39"/>
      <c r="S20" s="39"/>
      <c r="T20" s="39"/>
      <c r="U20" s="39"/>
      <c r="V20" s="39"/>
      <c r="W20" s="39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1.25" customHeight="1" x14ac:dyDescent="0.2">
      <c r="A21" s="35" t="s">
        <v>21</v>
      </c>
      <c r="B21" s="35" t="s">
        <v>34</v>
      </c>
      <c r="C21" s="35" t="s">
        <v>35</v>
      </c>
      <c r="D21" s="35" t="s">
        <v>33</v>
      </c>
      <c r="E21" s="35" t="s">
        <v>25</v>
      </c>
      <c r="F21" s="35" t="s">
        <v>25</v>
      </c>
      <c r="G21" s="35" t="s">
        <v>25</v>
      </c>
      <c r="H21" s="35" t="s">
        <v>36</v>
      </c>
      <c r="I21" s="54">
        <v>44652</v>
      </c>
      <c r="J21" s="55">
        <f ca="1">EFEITO!$J$21*EFEITO!$Y$21</f>
        <v>1970.4781977302939</v>
      </c>
      <c r="K21" s="55">
        <f ca="1">EFEITO!$L$21*EFEITO!$Z$21</f>
        <v>123.3671075434471</v>
      </c>
      <c r="L21" s="55">
        <f>EFEITO!$N$21*EFEITO!$AA$21</f>
        <v>236.00571426938924</v>
      </c>
      <c r="M21" s="55">
        <f ca="1">$J$21-EFEITO!$K$21*EFEITO!$Y$21</f>
        <v>0</v>
      </c>
      <c r="N21" s="55">
        <f ca="1">$K$21-EFEITO!$M$21*EFEITO!$Z$21</f>
        <v>0</v>
      </c>
      <c r="O21" s="55">
        <f>$L$21-EFEITO!$O$21*EFEITO!$AA$21</f>
        <v>0</v>
      </c>
      <c r="P21" s="39"/>
      <c r="Q21" s="39"/>
      <c r="R21" s="39"/>
      <c r="S21" s="39"/>
      <c r="T21" s="39"/>
      <c r="U21" s="39"/>
      <c r="V21" s="39"/>
      <c r="W21" s="39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1.25" customHeight="1" x14ac:dyDescent="0.2">
      <c r="A22" s="35" t="s">
        <v>21</v>
      </c>
      <c r="B22" s="35" t="s">
        <v>34</v>
      </c>
      <c r="C22" s="35" t="s">
        <v>35</v>
      </c>
      <c r="D22" s="35" t="s">
        <v>33</v>
      </c>
      <c r="E22" s="35" t="s">
        <v>25</v>
      </c>
      <c r="F22" s="35" t="s">
        <v>25</v>
      </c>
      <c r="G22" s="35" t="s">
        <v>25</v>
      </c>
      <c r="H22" s="35" t="s">
        <v>36</v>
      </c>
      <c r="I22" s="54">
        <v>44682</v>
      </c>
      <c r="J22" s="55">
        <f ca="1">EFEITO!$J$22*EFEITO!$Y$22</f>
        <v>1970.4781977302939</v>
      </c>
      <c r="K22" s="55">
        <f ca="1">EFEITO!$L$22*EFEITO!$Z$22</f>
        <v>130.29533278592328</v>
      </c>
      <c r="L22" s="55">
        <f>EFEITO!$N$22*EFEITO!$AA$22</f>
        <v>249.25965836785127</v>
      </c>
      <c r="M22" s="55">
        <f ca="1">$J$22-EFEITO!$K$22*EFEITO!$Y$22</f>
        <v>0</v>
      </c>
      <c r="N22" s="55">
        <f ca="1">$K$22-EFEITO!$M$22*EFEITO!$Z$22</f>
        <v>0</v>
      </c>
      <c r="O22" s="55">
        <f>$L$22-EFEITO!$O$22*EFEITO!$AA$22</f>
        <v>0</v>
      </c>
      <c r="P22" s="39"/>
      <c r="Q22" s="39"/>
      <c r="R22" s="39"/>
      <c r="S22" s="39"/>
      <c r="T22" s="39"/>
      <c r="U22" s="39"/>
      <c r="V22" s="39"/>
      <c r="W22" s="39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1.25" customHeight="1" x14ac:dyDescent="0.2">
      <c r="A23" s="35" t="s">
        <v>21</v>
      </c>
      <c r="B23" s="35" t="s">
        <v>34</v>
      </c>
      <c r="C23" s="35" t="s">
        <v>35</v>
      </c>
      <c r="D23" s="35" t="s">
        <v>33</v>
      </c>
      <c r="E23" s="35" t="s">
        <v>25</v>
      </c>
      <c r="F23" s="35" t="s">
        <v>25</v>
      </c>
      <c r="G23" s="35" t="s">
        <v>25</v>
      </c>
      <c r="H23" s="35" t="s">
        <v>36</v>
      </c>
      <c r="I23" s="54">
        <v>44713</v>
      </c>
      <c r="J23" s="55">
        <f ca="1">EFEITO!$J$23*EFEITO!$Y$23</f>
        <v>1970.4781977302939</v>
      </c>
      <c r="K23" s="55">
        <f ca="1">EFEITO!$L$23*EFEITO!$Z$23</f>
        <v>133.2007175650262</v>
      </c>
      <c r="L23" s="55">
        <f>EFEITO!$N$23*EFEITO!$AA$23</f>
        <v>254.81776395752891</v>
      </c>
      <c r="M23" s="55">
        <f ca="1">$J$23-EFEITO!$K$23*EFEITO!$Y$23</f>
        <v>0</v>
      </c>
      <c r="N23" s="55">
        <f ca="1">$K$23-EFEITO!$M$23*EFEITO!$Z$23</f>
        <v>0</v>
      </c>
      <c r="O23" s="55">
        <f>$L$23-EFEITO!$O$23*EFEITO!$AA$23</f>
        <v>0</v>
      </c>
      <c r="P23" s="39"/>
      <c r="Q23" s="39"/>
      <c r="R23" s="39"/>
      <c r="S23" s="39"/>
      <c r="T23" s="39"/>
      <c r="U23" s="39"/>
      <c r="V23" s="39"/>
      <c r="W23" s="39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1.25" customHeight="1" x14ac:dyDescent="0.2">
      <c r="A24" s="35" t="s">
        <v>21</v>
      </c>
      <c r="B24" s="35" t="s">
        <v>34</v>
      </c>
      <c r="C24" s="35" t="s">
        <v>35</v>
      </c>
      <c r="D24" s="35" t="s">
        <v>33</v>
      </c>
      <c r="E24" s="35" t="s">
        <v>25</v>
      </c>
      <c r="F24" s="35" t="s">
        <v>25</v>
      </c>
      <c r="G24" s="35" t="s">
        <v>25</v>
      </c>
      <c r="H24" s="35" t="s">
        <v>36</v>
      </c>
      <c r="I24" s="54">
        <v>44743</v>
      </c>
      <c r="J24" s="55">
        <f ca="1">EFEITO!$J$24*EFEITO!$Y$24</f>
        <v>1970.4781977302939</v>
      </c>
      <c r="K24" s="55">
        <f ca="1">EFEITO!$L$24*EFEITO!$Z$24</f>
        <v>142.81083644975126</v>
      </c>
      <c r="L24" s="55">
        <f>EFEITO!$N$24*EFEITO!$AA$24</f>
        <v>273.20226706184729</v>
      </c>
      <c r="M24" s="55">
        <f ca="1">$J$24-EFEITO!$K$24*EFEITO!$Y$24</f>
        <v>0</v>
      </c>
      <c r="N24" s="55">
        <f ca="1">$K$24-EFEITO!$M$24*EFEITO!$Z$24</f>
        <v>0</v>
      </c>
      <c r="O24" s="55">
        <f>$L$24-EFEITO!$O$24*EFEITO!$AA$24</f>
        <v>0</v>
      </c>
      <c r="P24" s="39"/>
      <c r="Q24" s="39"/>
      <c r="R24" s="39"/>
      <c r="S24" s="39"/>
      <c r="T24" s="39"/>
      <c r="U24" s="39"/>
      <c r="V24" s="39"/>
      <c r="W24" s="39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1.25" customHeight="1" x14ac:dyDescent="0.2">
      <c r="A25" s="35" t="s">
        <v>53</v>
      </c>
      <c r="B25" s="35" t="s">
        <v>34</v>
      </c>
      <c r="C25" s="35" t="s">
        <v>35</v>
      </c>
      <c r="D25" s="35" t="s">
        <v>33</v>
      </c>
      <c r="E25" s="35" t="s">
        <v>25</v>
      </c>
      <c r="F25" s="35" t="s">
        <v>25</v>
      </c>
      <c r="G25" s="35" t="s">
        <v>25</v>
      </c>
      <c r="H25" s="35" t="s">
        <v>36</v>
      </c>
      <c r="I25" s="54">
        <v>44774</v>
      </c>
      <c r="J25" s="55">
        <f ca="1">EFEITO!$J$25*EFEITO!$Y$25</f>
        <v>1970.4781977302939</v>
      </c>
      <c r="K25" s="55">
        <f ca="1">EFEITO!$L$25*EFEITO!$Z$25</f>
        <v>142.81083644975126</v>
      </c>
      <c r="L25" s="55">
        <f>EFEITO!$N$25*EFEITO!$AA$25</f>
        <v>273.20226706184729</v>
      </c>
      <c r="M25" s="55">
        <f ca="1">$J$25-EFEITO!$K$25*EFEITO!$Y$25</f>
        <v>0</v>
      </c>
      <c r="N25" s="55">
        <f ca="1">$K$25-EFEITO!$M$25*EFEITO!$Z$25</f>
        <v>0</v>
      </c>
      <c r="O25" s="55">
        <f>$L$25-EFEITO!$O$25*EFEITO!$AA$25</f>
        <v>0</v>
      </c>
      <c r="P25" s="39"/>
      <c r="Q25" s="39"/>
      <c r="R25" s="39"/>
      <c r="S25" s="39"/>
      <c r="T25" s="39"/>
      <c r="U25" s="39"/>
      <c r="V25" s="39"/>
      <c r="W25" s="39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1.25" customHeight="1" x14ac:dyDescent="0.2">
      <c r="A26" s="35" t="s">
        <v>21</v>
      </c>
      <c r="B26" s="35" t="s">
        <v>34</v>
      </c>
      <c r="C26" s="35" t="s">
        <v>56</v>
      </c>
      <c r="D26" s="35" t="s">
        <v>25</v>
      </c>
      <c r="E26" s="35" t="s">
        <v>25</v>
      </c>
      <c r="F26" s="35" t="s">
        <v>25</v>
      </c>
      <c r="G26" s="35" t="s">
        <v>57</v>
      </c>
      <c r="H26" s="35" t="s">
        <v>25</v>
      </c>
      <c r="I26" s="54">
        <v>44440</v>
      </c>
      <c r="J26" s="55">
        <f ca="1">EFEITO!$J$26*EFEITO!$Y$26</f>
        <v>40607.808594625989</v>
      </c>
      <c r="K26" s="55">
        <f>EFEITO!$L$26*EFEITO!$Z$26</f>
        <v>0</v>
      </c>
      <c r="L26" s="55">
        <f>EFEITO!$N$26*EFEITO!$AA$26</f>
        <v>0</v>
      </c>
      <c r="M26" s="55">
        <f ca="1">$J$26-EFEITO!$K$26*EFEITO!$Y$26</f>
        <v>20303.904297312994</v>
      </c>
      <c r="N26" s="55">
        <f>$K$26-EFEITO!$M$26*EFEITO!$Z$26</f>
        <v>0</v>
      </c>
      <c r="O26" s="55">
        <f>$L$26-EFEITO!$O$26*EFEITO!$AA$26</f>
        <v>0</v>
      </c>
      <c r="P26" s="39"/>
      <c r="Q26" s="39"/>
      <c r="R26" s="39"/>
      <c r="S26" s="39"/>
      <c r="T26" s="39"/>
      <c r="U26" s="39"/>
      <c r="V26" s="39"/>
      <c r="W26" s="39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1.25" customHeight="1" x14ac:dyDescent="0.2">
      <c r="A27" s="35" t="s">
        <v>21</v>
      </c>
      <c r="B27" s="35" t="s">
        <v>34</v>
      </c>
      <c r="C27" s="35" t="s">
        <v>56</v>
      </c>
      <c r="D27" s="35" t="s">
        <v>25</v>
      </c>
      <c r="E27" s="35" t="s">
        <v>25</v>
      </c>
      <c r="F27" s="35" t="s">
        <v>25</v>
      </c>
      <c r="G27" s="35" t="s">
        <v>59</v>
      </c>
      <c r="H27" s="35" t="s">
        <v>25</v>
      </c>
      <c r="I27" s="54">
        <v>44440</v>
      </c>
      <c r="J27" s="55">
        <f ca="1">EFEITO!$J$27*EFEITO!$Y$27</f>
        <v>5637.7174265539079</v>
      </c>
      <c r="K27" s="55">
        <f>EFEITO!$L$27*EFEITO!$Z$27</f>
        <v>0</v>
      </c>
      <c r="L27" s="55">
        <f>EFEITO!$N$27*EFEITO!$AA$27</f>
        <v>0</v>
      </c>
      <c r="M27" s="55">
        <f ca="1">$J$27-EFEITO!$K$27*EFEITO!$Y$27</f>
        <v>2818.8587132769539</v>
      </c>
      <c r="N27" s="55">
        <f>$K$27-EFEITO!$M$27*EFEITO!$Z$27</f>
        <v>0</v>
      </c>
      <c r="O27" s="55">
        <f>$L$27-EFEITO!$O$27*EFEITO!$AA$27</f>
        <v>0</v>
      </c>
      <c r="P27" s="39"/>
      <c r="Q27" s="39"/>
      <c r="R27" s="39"/>
      <c r="S27" s="39"/>
      <c r="T27" s="39"/>
      <c r="U27" s="39"/>
      <c r="V27" s="39"/>
      <c r="W27" s="39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1.25" customHeight="1" x14ac:dyDescent="0.2">
      <c r="A28" s="35" t="s">
        <v>21</v>
      </c>
      <c r="B28" s="35" t="s">
        <v>34</v>
      </c>
      <c r="C28" s="35" t="s">
        <v>56</v>
      </c>
      <c r="D28" s="35" t="s">
        <v>25</v>
      </c>
      <c r="E28" s="35" t="s">
        <v>25</v>
      </c>
      <c r="F28" s="35" t="s">
        <v>25</v>
      </c>
      <c r="G28" s="35" t="s">
        <v>60</v>
      </c>
      <c r="H28" s="35" t="s">
        <v>25</v>
      </c>
      <c r="I28" s="54">
        <v>44440</v>
      </c>
      <c r="J28" s="55">
        <f ca="1">EFEITO!$J$28*EFEITO!$Y$28</f>
        <v>6767.9680991043315</v>
      </c>
      <c r="K28" s="55">
        <f>EFEITO!$L$28*EFEITO!$Z$28</f>
        <v>0</v>
      </c>
      <c r="L28" s="55">
        <f>EFEITO!$N$28*EFEITO!$AA$28</f>
        <v>0</v>
      </c>
      <c r="M28" s="55">
        <f ca="1">$J$28-EFEITO!$K$28*EFEITO!$Y$28</f>
        <v>3383.9840495521657</v>
      </c>
      <c r="N28" s="55">
        <f>$K$28-EFEITO!$M$28*EFEITO!$Z$28</f>
        <v>0</v>
      </c>
      <c r="O28" s="55">
        <f>$L$28-EFEITO!$O$28*EFEITO!$AA$28</f>
        <v>0</v>
      </c>
      <c r="P28" s="39"/>
      <c r="Q28" s="39"/>
      <c r="R28" s="39"/>
      <c r="S28" s="39"/>
      <c r="T28" s="39"/>
      <c r="U28" s="39"/>
      <c r="V28" s="39"/>
      <c r="W28" s="39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1.25" customHeight="1" x14ac:dyDescent="0.2">
      <c r="A29" s="35" t="s">
        <v>21</v>
      </c>
      <c r="B29" s="35" t="s">
        <v>34</v>
      </c>
      <c r="C29" s="35" t="s">
        <v>56</v>
      </c>
      <c r="D29" s="35" t="s">
        <v>25</v>
      </c>
      <c r="E29" s="35" t="s">
        <v>25</v>
      </c>
      <c r="F29" s="35" t="s">
        <v>25</v>
      </c>
      <c r="G29" s="35" t="s">
        <v>61</v>
      </c>
      <c r="H29" s="35" t="s">
        <v>25</v>
      </c>
      <c r="I29" s="54">
        <v>44440</v>
      </c>
      <c r="J29" s="55">
        <f ca="1">EFEITO!$J$29*EFEITO!$Y$29</f>
        <v>21183.740150196558</v>
      </c>
      <c r="K29" s="55">
        <f>EFEITO!$L$29*EFEITO!$Z$29</f>
        <v>0</v>
      </c>
      <c r="L29" s="55">
        <f>EFEITO!$N$29*EFEITO!$AA$29</f>
        <v>0</v>
      </c>
      <c r="M29" s="55">
        <f ca="1">$J$29-EFEITO!$K$29*EFEITO!$Y$29</f>
        <v>10591.870075098279</v>
      </c>
      <c r="N29" s="55">
        <f>$K$29-EFEITO!$M$29*EFEITO!$Z$29</f>
        <v>0</v>
      </c>
      <c r="O29" s="55">
        <f>$L$29-EFEITO!$O$29*EFEITO!$AA$29</f>
        <v>0</v>
      </c>
      <c r="P29" s="39"/>
      <c r="Q29" s="39"/>
      <c r="R29" s="39"/>
      <c r="S29" s="39"/>
      <c r="T29" s="39"/>
      <c r="U29" s="39"/>
      <c r="V29" s="39"/>
      <c r="W29" s="39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1.25" customHeight="1" x14ac:dyDescent="0.2">
      <c r="A30" s="35" t="s">
        <v>21</v>
      </c>
      <c r="B30" s="35" t="s">
        <v>34</v>
      </c>
      <c r="C30" s="35" t="s">
        <v>56</v>
      </c>
      <c r="D30" s="35" t="s">
        <v>25</v>
      </c>
      <c r="E30" s="35" t="s">
        <v>25</v>
      </c>
      <c r="F30" s="35" t="s">
        <v>25</v>
      </c>
      <c r="G30" s="35" t="s">
        <v>62</v>
      </c>
      <c r="H30" s="35" t="s">
        <v>25</v>
      </c>
      <c r="I30" s="54">
        <v>44440</v>
      </c>
      <c r="J30" s="55">
        <f ca="1">EFEITO!$J$30*EFEITO!$Y$30</f>
        <v>3383.9840495521657</v>
      </c>
      <c r="K30" s="55">
        <f>EFEITO!$L$30*EFEITO!$Z$30</f>
        <v>0</v>
      </c>
      <c r="L30" s="55">
        <f>EFEITO!$N$30*EFEITO!$AA$30</f>
        <v>0</v>
      </c>
      <c r="M30" s="55">
        <f ca="1">$J$30-EFEITO!$K$30*EFEITO!$Y$30</f>
        <v>1691.9920247760829</v>
      </c>
      <c r="N30" s="55">
        <f>$K$30-EFEITO!$M$30*EFEITO!$Z$30</f>
        <v>0</v>
      </c>
      <c r="O30" s="55">
        <f>$L$30-EFEITO!$O$30*EFEITO!$AA$30</f>
        <v>0</v>
      </c>
      <c r="P30" s="39"/>
      <c r="Q30" s="39"/>
      <c r="R30" s="39"/>
      <c r="S30" s="39"/>
      <c r="T30" s="39"/>
      <c r="U30" s="39"/>
      <c r="V30" s="39"/>
      <c r="W30" s="39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1.25" customHeight="1" x14ac:dyDescent="0.2">
      <c r="A31" s="35" t="s">
        <v>21</v>
      </c>
      <c r="B31" s="35" t="s">
        <v>34</v>
      </c>
      <c r="C31" s="35" t="s">
        <v>56</v>
      </c>
      <c r="D31" s="35" t="s">
        <v>25</v>
      </c>
      <c r="E31" s="35" t="s">
        <v>25</v>
      </c>
      <c r="F31" s="35" t="s">
        <v>25</v>
      </c>
      <c r="G31" s="35" t="s">
        <v>57</v>
      </c>
      <c r="H31" s="35" t="s">
        <v>25</v>
      </c>
      <c r="I31" s="54">
        <v>44470</v>
      </c>
      <c r="J31" s="55">
        <f ca="1">EFEITO!$J$31*EFEITO!$Y$31</f>
        <v>40607.808594625989</v>
      </c>
      <c r="K31" s="55">
        <f>EFEITO!$L$31*EFEITO!$Z$31</f>
        <v>0</v>
      </c>
      <c r="L31" s="55">
        <f>EFEITO!$N$31*EFEITO!$AA$31</f>
        <v>0</v>
      </c>
      <c r="M31" s="55">
        <f ca="1">$J$31-EFEITO!$K$31*EFEITO!$Y$31</f>
        <v>20303.904297312994</v>
      </c>
      <c r="N31" s="55">
        <f>$K$31-EFEITO!$M$31*EFEITO!$Z$31</f>
        <v>0</v>
      </c>
      <c r="O31" s="55">
        <f>$L$31-EFEITO!$O$31*EFEITO!$AA$31</f>
        <v>0</v>
      </c>
      <c r="P31" s="39"/>
      <c r="Q31" s="39"/>
      <c r="R31" s="39"/>
      <c r="S31" s="39"/>
      <c r="T31" s="39"/>
      <c r="U31" s="39"/>
      <c r="V31" s="39"/>
      <c r="W31" s="39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1.25" customHeight="1" x14ac:dyDescent="0.2">
      <c r="A32" s="35" t="s">
        <v>21</v>
      </c>
      <c r="B32" s="35" t="s">
        <v>34</v>
      </c>
      <c r="C32" s="35" t="s">
        <v>56</v>
      </c>
      <c r="D32" s="35" t="s">
        <v>25</v>
      </c>
      <c r="E32" s="35" t="s">
        <v>25</v>
      </c>
      <c r="F32" s="35" t="s">
        <v>25</v>
      </c>
      <c r="G32" s="35" t="s">
        <v>59</v>
      </c>
      <c r="H32" s="35" t="s">
        <v>25</v>
      </c>
      <c r="I32" s="54">
        <v>44470</v>
      </c>
      <c r="J32" s="55">
        <f ca="1">EFEITO!$J$32*EFEITO!$Y$32</f>
        <v>5637.7174265539079</v>
      </c>
      <c r="K32" s="55">
        <f>EFEITO!$L$32*EFEITO!$Z$32</f>
        <v>0</v>
      </c>
      <c r="L32" s="55">
        <f>EFEITO!$N$32*EFEITO!$AA$32</f>
        <v>0</v>
      </c>
      <c r="M32" s="55">
        <f ca="1">$J$32-EFEITO!$K$32*EFEITO!$Y$32</f>
        <v>2818.8587132769539</v>
      </c>
      <c r="N32" s="55">
        <f>$K$32-EFEITO!$M$32*EFEITO!$Z$32</f>
        <v>0</v>
      </c>
      <c r="O32" s="55">
        <f>$L$32-EFEITO!$O$32*EFEITO!$AA$32</f>
        <v>0</v>
      </c>
      <c r="P32" s="39"/>
      <c r="Q32" s="39"/>
      <c r="R32" s="39"/>
      <c r="S32" s="39"/>
      <c r="T32" s="39"/>
      <c r="U32" s="39"/>
      <c r="V32" s="39"/>
      <c r="W32" s="39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1.25" customHeight="1" x14ac:dyDescent="0.2">
      <c r="A33" s="35" t="s">
        <v>21</v>
      </c>
      <c r="B33" s="35" t="s">
        <v>34</v>
      </c>
      <c r="C33" s="35" t="s">
        <v>56</v>
      </c>
      <c r="D33" s="35" t="s">
        <v>25</v>
      </c>
      <c r="E33" s="35" t="s">
        <v>25</v>
      </c>
      <c r="F33" s="35" t="s">
        <v>25</v>
      </c>
      <c r="G33" s="35" t="s">
        <v>60</v>
      </c>
      <c r="H33" s="35" t="s">
        <v>25</v>
      </c>
      <c r="I33" s="54">
        <v>44470</v>
      </c>
      <c r="J33" s="55">
        <f ca="1">EFEITO!$J$33*EFEITO!$Y$33</f>
        <v>6767.9680991043315</v>
      </c>
      <c r="K33" s="55">
        <f>EFEITO!$L$33*EFEITO!$Z$33</f>
        <v>0</v>
      </c>
      <c r="L33" s="55">
        <f>EFEITO!$N$33*EFEITO!$AA$33</f>
        <v>0</v>
      </c>
      <c r="M33" s="55">
        <f ca="1">$J$33-EFEITO!$K$33*EFEITO!$Y$33</f>
        <v>3383.9840495521657</v>
      </c>
      <c r="N33" s="55">
        <f>$K$33-EFEITO!$M$33*EFEITO!$Z$33</f>
        <v>0</v>
      </c>
      <c r="O33" s="55">
        <f>$L$33-EFEITO!$O$33*EFEITO!$AA$33</f>
        <v>0</v>
      </c>
      <c r="P33" s="39"/>
      <c r="Q33" s="39"/>
      <c r="R33" s="39"/>
      <c r="S33" s="39"/>
      <c r="T33" s="39"/>
      <c r="U33" s="39"/>
      <c r="V33" s="39"/>
      <c r="W33" s="39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1.25" customHeight="1" x14ac:dyDescent="0.2">
      <c r="A34" s="35" t="s">
        <v>21</v>
      </c>
      <c r="B34" s="35" t="s">
        <v>34</v>
      </c>
      <c r="C34" s="35" t="s">
        <v>56</v>
      </c>
      <c r="D34" s="35" t="s">
        <v>25</v>
      </c>
      <c r="E34" s="35" t="s">
        <v>25</v>
      </c>
      <c r="F34" s="35" t="s">
        <v>25</v>
      </c>
      <c r="G34" s="35" t="s">
        <v>61</v>
      </c>
      <c r="H34" s="35" t="s">
        <v>25</v>
      </c>
      <c r="I34" s="54">
        <v>44470</v>
      </c>
      <c r="J34" s="55">
        <f ca="1">EFEITO!$J$34*EFEITO!$Y$34</f>
        <v>21183.740150196558</v>
      </c>
      <c r="K34" s="55">
        <f>EFEITO!$L$34*EFEITO!$Z$34</f>
        <v>0</v>
      </c>
      <c r="L34" s="55">
        <f>EFEITO!$N$34*EFEITO!$AA$34</f>
        <v>0</v>
      </c>
      <c r="M34" s="55">
        <f ca="1">$J$34-EFEITO!$K$34*EFEITO!$Y$34</f>
        <v>10591.870075098279</v>
      </c>
      <c r="N34" s="55">
        <f>$K$34-EFEITO!$M$34*EFEITO!$Z$34</f>
        <v>0</v>
      </c>
      <c r="O34" s="55">
        <f>$L$34-EFEITO!$O$34*EFEITO!$AA$34</f>
        <v>0</v>
      </c>
      <c r="P34" s="39"/>
      <c r="Q34" s="39"/>
      <c r="R34" s="39"/>
      <c r="S34" s="39"/>
      <c r="T34" s="39"/>
      <c r="U34" s="39"/>
      <c r="V34" s="39"/>
      <c r="W34" s="39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1.25" customHeight="1" x14ac:dyDescent="0.2">
      <c r="A35" s="35" t="s">
        <v>21</v>
      </c>
      <c r="B35" s="35" t="s">
        <v>34</v>
      </c>
      <c r="C35" s="35" t="s">
        <v>56</v>
      </c>
      <c r="D35" s="35" t="s">
        <v>25</v>
      </c>
      <c r="E35" s="35" t="s">
        <v>25</v>
      </c>
      <c r="F35" s="35" t="s">
        <v>25</v>
      </c>
      <c r="G35" s="35" t="s">
        <v>62</v>
      </c>
      <c r="H35" s="35" t="s">
        <v>25</v>
      </c>
      <c r="I35" s="54">
        <v>44470</v>
      </c>
      <c r="J35" s="55">
        <f ca="1">EFEITO!$J$35*EFEITO!$Y$35</f>
        <v>3383.9840495521657</v>
      </c>
      <c r="K35" s="55">
        <f>EFEITO!$L$35*EFEITO!$Z$35</f>
        <v>0</v>
      </c>
      <c r="L35" s="55">
        <f>EFEITO!$N$35*EFEITO!$AA$35</f>
        <v>0</v>
      </c>
      <c r="M35" s="55">
        <f ca="1">$J$35-EFEITO!$K$35*EFEITO!$Y$35</f>
        <v>1691.9920247760829</v>
      </c>
      <c r="N35" s="55">
        <f>$K$35-EFEITO!$M$35*EFEITO!$Z$35</f>
        <v>0</v>
      </c>
      <c r="O35" s="55">
        <f>$L$35-EFEITO!$O$35*EFEITO!$AA$35</f>
        <v>0</v>
      </c>
      <c r="P35" s="39"/>
      <c r="Q35" s="39"/>
      <c r="R35" s="39"/>
      <c r="S35" s="39"/>
      <c r="T35" s="39"/>
      <c r="U35" s="39"/>
      <c r="V35" s="39"/>
      <c r="W35" s="39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1.25" customHeight="1" x14ac:dyDescent="0.2">
      <c r="A36" s="35" t="s">
        <v>21</v>
      </c>
      <c r="B36" s="35" t="s">
        <v>34</v>
      </c>
      <c r="C36" s="35" t="s">
        <v>56</v>
      </c>
      <c r="D36" s="35" t="s">
        <v>25</v>
      </c>
      <c r="E36" s="35" t="s">
        <v>25</v>
      </c>
      <c r="F36" s="35" t="s">
        <v>25</v>
      </c>
      <c r="G36" s="35" t="s">
        <v>57</v>
      </c>
      <c r="H36" s="35" t="s">
        <v>25</v>
      </c>
      <c r="I36" s="54">
        <v>44501</v>
      </c>
      <c r="J36" s="55">
        <f ca="1">EFEITO!$J$36*EFEITO!$Y$36</f>
        <v>40607.808594625989</v>
      </c>
      <c r="K36" s="55">
        <f>EFEITO!$L$36*EFEITO!$Z$36</f>
        <v>0</v>
      </c>
      <c r="L36" s="55">
        <f>EFEITO!$N$36*EFEITO!$AA$36</f>
        <v>0</v>
      </c>
      <c r="M36" s="55">
        <f ca="1">$J$36-EFEITO!$K$36*EFEITO!$Y$36</f>
        <v>20303.904297312994</v>
      </c>
      <c r="N36" s="55">
        <f>$K$36-EFEITO!$M$36*EFEITO!$Z$36</f>
        <v>0</v>
      </c>
      <c r="O36" s="55">
        <f>$L$36-EFEITO!$O$36*EFEITO!$AA$36</f>
        <v>0</v>
      </c>
      <c r="P36" s="39"/>
      <c r="Q36" s="39"/>
      <c r="R36" s="39"/>
      <c r="S36" s="39"/>
      <c r="T36" s="39"/>
      <c r="U36" s="39"/>
      <c r="V36" s="39"/>
      <c r="W36" s="39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1.25" customHeight="1" x14ac:dyDescent="0.2">
      <c r="A37" s="35" t="s">
        <v>21</v>
      </c>
      <c r="B37" s="35" t="s">
        <v>34</v>
      </c>
      <c r="C37" s="35" t="s">
        <v>56</v>
      </c>
      <c r="D37" s="35" t="s">
        <v>25</v>
      </c>
      <c r="E37" s="35" t="s">
        <v>25</v>
      </c>
      <c r="F37" s="35" t="s">
        <v>25</v>
      </c>
      <c r="G37" s="35" t="s">
        <v>59</v>
      </c>
      <c r="H37" s="35" t="s">
        <v>25</v>
      </c>
      <c r="I37" s="54">
        <v>44501</v>
      </c>
      <c r="J37" s="55">
        <f ca="1">EFEITO!$J$37*EFEITO!$Y$37</f>
        <v>5637.7174265539079</v>
      </c>
      <c r="K37" s="55">
        <f>EFEITO!$L$37*EFEITO!$Z$37</f>
        <v>0</v>
      </c>
      <c r="L37" s="55">
        <f>EFEITO!$N$37*EFEITO!$AA$37</f>
        <v>0</v>
      </c>
      <c r="M37" s="55">
        <f ca="1">$J$37-EFEITO!$K$37*EFEITO!$Y$37</f>
        <v>2818.8587132769539</v>
      </c>
      <c r="N37" s="55">
        <f>$K$37-EFEITO!$M$37*EFEITO!$Z$37</f>
        <v>0</v>
      </c>
      <c r="O37" s="55">
        <f>$L$37-EFEITO!$O$37*EFEITO!$AA$37</f>
        <v>0</v>
      </c>
      <c r="P37" s="39"/>
      <c r="Q37" s="39"/>
      <c r="R37" s="39"/>
      <c r="S37" s="39"/>
      <c r="T37" s="39"/>
      <c r="U37" s="39"/>
      <c r="V37" s="39"/>
      <c r="W37" s="39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1.25" customHeight="1" x14ac:dyDescent="0.2">
      <c r="A38" s="35" t="s">
        <v>21</v>
      </c>
      <c r="B38" s="35" t="s">
        <v>34</v>
      </c>
      <c r="C38" s="35" t="s">
        <v>56</v>
      </c>
      <c r="D38" s="35" t="s">
        <v>25</v>
      </c>
      <c r="E38" s="35" t="s">
        <v>25</v>
      </c>
      <c r="F38" s="35" t="s">
        <v>25</v>
      </c>
      <c r="G38" s="35" t="s">
        <v>60</v>
      </c>
      <c r="H38" s="35" t="s">
        <v>25</v>
      </c>
      <c r="I38" s="54">
        <v>44501</v>
      </c>
      <c r="J38" s="55">
        <f ca="1">EFEITO!$J$38*EFEITO!$Y$38</f>
        <v>6767.9680991043315</v>
      </c>
      <c r="K38" s="55">
        <f>EFEITO!$L$38*EFEITO!$Z$38</f>
        <v>0</v>
      </c>
      <c r="L38" s="55">
        <f>EFEITO!$N$38*EFEITO!$AA$38</f>
        <v>0</v>
      </c>
      <c r="M38" s="55">
        <f ca="1">$J$38-EFEITO!$K$38*EFEITO!$Y$38</f>
        <v>3383.9840495521657</v>
      </c>
      <c r="N38" s="55">
        <f>$K$38-EFEITO!$M$38*EFEITO!$Z$38</f>
        <v>0</v>
      </c>
      <c r="O38" s="55">
        <f>$L$38-EFEITO!$O$38*EFEITO!$AA$38</f>
        <v>0</v>
      </c>
      <c r="P38" s="39"/>
      <c r="Q38" s="39"/>
      <c r="R38" s="39"/>
      <c r="S38" s="39"/>
      <c r="T38" s="39"/>
      <c r="U38" s="39"/>
      <c r="V38" s="39"/>
      <c r="W38" s="39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1.25" customHeight="1" x14ac:dyDescent="0.2">
      <c r="A39" s="35" t="s">
        <v>21</v>
      </c>
      <c r="B39" s="35" t="s">
        <v>34</v>
      </c>
      <c r="C39" s="35" t="s">
        <v>56</v>
      </c>
      <c r="D39" s="35" t="s">
        <v>25</v>
      </c>
      <c r="E39" s="35" t="s">
        <v>25</v>
      </c>
      <c r="F39" s="35" t="s">
        <v>25</v>
      </c>
      <c r="G39" s="35" t="s">
        <v>61</v>
      </c>
      <c r="H39" s="35" t="s">
        <v>25</v>
      </c>
      <c r="I39" s="54">
        <v>44501</v>
      </c>
      <c r="J39" s="55">
        <f ca="1">EFEITO!$J$39*EFEITO!$Y$39</f>
        <v>21183.740150196558</v>
      </c>
      <c r="K39" s="55">
        <f>EFEITO!$L$39*EFEITO!$Z$39</f>
        <v>0</v>
      </c>
      <c r="L39" s="55">
        <f>EFEITO!$N$39*EFEITO!$AA$39</f>
        <v>0</v>
      </c>
      <c r="M39" s="55">
        <f ca="1">$J$39-EFEITO!$K$39*EFEITO!$Y$39</f>
        <v>10591.870075098279</v>
      </c>
      <c r="N39" s="55">
        <f>$K$39-EFEITO!$M$39*EFEITO!$Z$39</f>
        <v>0</v>
      </c>
      <c r="O39" s="55">
        <f>$L$39-EFEITO!$O$39*EFEITO!$AA$39</f>
        <v>0</v>
      </c>
      <c r="P39" s="39"/>
      <c r="Q39" s="39"/>
      <c r="R39" s="39"/>
      <c r="S39" s="39"/>
      <c r="T39" s="39"/>
      <c r="U39" s="39"/>
      <c r="V39" s="39"/>
      <c r="W39" s="39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1.25" customHeight="1" x14ac:dyDescent="0.2">
      <c r="A40" s="35" t="s">
        <v>21</v>
      </c>
      <c r="B40" s="35" t="s">
        <v>34</v>
      </c>
      <c r="C40" s="35" t="s">
        <v>56</v>
      </c>
      <c r="D40" s="35" t="s">
        <v>25</v>
      </c>
      <c r="E40" s="35" t="s">
        <v>25</v>
      </c>
      <c r="F40" s="35" t="s">
        <v>25</v>
      </c>
      <c r="G40" s="35" t="s">
        <v>62</v>
      </c>
      <c r="H40" s="35" t="s">
        <v>25</v>
      </c>
      <c r="I40" s="54">
        <v>44501</v>
      </c>
      <c r="J40" s="55">
        <f ca="1">EFEITO!$J$40*EFEITO!$Y$40</f>
        <v>3383.9840495521657</v>
      </c>
      <c r="K40" s="55">
        <f>EFEITO!$L$40*EFEITO!$Z$40</f>
        <v>0</v>
      </c>
      <c r="L40" s="55">
        <f>EFEITO!$N$40*EFEITO!$AA$40</f>
        <v>0</v>
      </c>
      <c r="M40" s="55">
        <f ca="1">$J$40-EFEITO!$K$40*EFEITO!$Y$40</f>
        <v>1691.9920247760829</v>
      </c>
      <c r="N40" s="55">
        <f>$K$40-EFEITO!$M$40*EFEITO!$Z$40</f>
        <v>0</v>
      </c>
      <c r="O40" s="55">
        <f>$L$40-EFEITO!$O$40*EFEITO!$AA$40</f>
        <v>0</v>
      </c>
      <c r="P40" s="39"/>
      <c r="Q40" s="39"/>
      <c r="R40" s="39"/>
      <c r="S40" s="39"/>
      <c r="T40" s="39"/>
      <c r="U40" s="39"/>
      <c r="V40" s="39"/>
      <c r="W40" s="39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1.25" customHeight="1" x14ac:dyDescent="0.2">
      <c r="A41" s="35" t="s">
        <v>21</v>
      </c>
      <c r="B41" s="35" t="s">
        <v>34</v>
      </c>
      <c r="C41" s="35" t="s">
        <v>56</v>
      </c>
      <c r="D41" s="35" t="s">
        <v>25</v>
      </c>
      <c r="E41" s="35" t="s">
        <v>25</v>
      </c>
      <c r="F41" s="35" t="s">
        <v>25</v>
      </c>
      <c r="G41" s="35" t="s">
        <v>57</v>
      </c>
      <c r="H41" s="35" t="s">
        <v>25</v>
      </c>
      <c r="I41" s="54">
        <v>44531</v>
      </c>
      <c r="J41" s="55">
        <f ca="1">EFEITO!$J$41*EFEITO!$Y$41</f>
        <v>40607.808594625989</v>
      </c>
      <c r="K41" s="55">
        <f>EFEITO!$L$41*EFEITO!$Z$41</f>
        <v>0</v>
      </c>
      <c r="L41" s="55">
        <f>EFEITO!$N$41*EFEITO!$AA$41</f>
        <v>0</v>
      </c>
      <c r="M41" s="55">
        <f ca="1">$J$41-EFEITO!$K$41*EFEITO!$Y$41</f>
        <v>20303.904297312994</v>
      </c>
      <c r="N41" s="55">
        <f>$K$41-EFEITO!$M$41*EFEITO!$Z$41</f>
        <v>0</v>
      </c>
      <c r="O41" s="55">
        <f>$L$41-EFEITO!$O$41*EFEITO!$AA$41</f>
        <v>0</v>
      </c>
      <c r="P41" s="39"/>
      <c r="Q41" s="39"/>
      <c r="R41" s="39"/>
      <c r="S41" s="39"/>
      <c r="T41" s="39"/>
      <c r="U41" s="39"/>
      <c r="V41" s="39"/>
      <c r="W41" s="39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1.25" customHeight="1" x14ac:dyDescent="0.2">
      <c r="A42" s="35" t="s">
        <v>21</v>
      </c>
      <c r="B42" s="35" t="s">
        <v>34</v>
      </c>
      <c r="C42" s="35" t="s">
        <v>56</v>
      </c>
      <c r="D42" s="35" t="s">
        <v>25</v>
      </c>
      <c r="E42" s="35" t="s">
        <v>25</v>
      </c>
      <c r="F42" s="35" t="s">
        <v>25</v>
      </c>
      <c r="G42" s="35" t="s">
        <v>59</v>
      </c>
      <c r="H42" s="35" t="s">
        <v>25</v>
      </c>
      <c r="I42" s="54">
        <v>44531</v>
      </c>
      <c r="J42" s="55">
        <f ca="1">EFEITO!$J$42*EFEITO!$Y$42</f>
        <v>5637.7174265539079</v>
      </c>
      <c r="K42" s="55">
        <f>EFEITO!$L$42*EFEITO!$Z$42</f>
        <v>0</v>
      </c>
      <c r="L42" s="55">
        <f>EFEITO!$N$42*EFEITO!$AA$42</f>
        <v>0</v>
      </c>
      <c r="M42" s="55">
        <f ca="1">$J$42-EFEITO!$K$42*EFEITO!$Y$42</f>
        <v>2818.8587132769539</v>
      </c>
      <c r="N42" s="55">
        <f>$K$42-EFEITO!$M$42*EFEITO!$Z$42</f>
        <v>0</v>
      </c>
      <c r="O42" s="55">
        <f>$L$42-EFEITO!$O$42*EFEITO!$AA$42</f>
        <v>0</v>
      </c>
      <c r="P42" s="39"/>
      <c r="Q42" s="39"/>
      <c r="R42" s="39"/>
      <c r="S42" s="39"/>
      <c r="T42" s="39"/>
      <c r="U42" s="39"/>
      <c r="V42" s="39"/>
      <c r="W42" s="39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1.25" customHeight="1" x14ac:dyDescent="0.2">
      <c r="A43" s="35" t="s">
        <v>21</v>
      </c>
      <c r="B43" s="35" t="s">
        <v>34</v>
      </c>
      <c r="C43" s="35" t="s">
        <v>56</v>
      </c>
      <c r="D43" s="35" t="s">
        <v>25</v>
      </c>
      <c r="E43" s="35" t="s">
        <v>25</v>
      </c>
      <c r="F43" s="35" t="s">
        <v>25</v>
      </c>
      <c r="G43" s="35" t="s">
        <v>60</v>
      </c>
      <c r="H43" s="35" t="s">
        <v>25</v>
      </c>
      <c r="I43" s="54">
        <v>44531</v>
      </c>
      <c r="J43" s="55">
        <f ca="1">EFEITO!$J$43*EFEITO!$Y$43</f>
        <v>6767.9680991043315</v>
      </c>
      <c r="K43" s="55">
        <f>EFEITO!$L$43*EFEITO!$Z$43</f>
        <v>0</v>
      </c>
      <c r="L43" s="55">
        <f>EFEITO!$N$43*EFEITO!$AA$43</f>
        <v>0</v>
      </c>
      <c r="M43" s="55">
        <f ca="1">$J$43-EFEITO!$K$43*EFEITO!$Y$43</f>
        <v>3383.9840495521657</v>
      </c>
      <c r="N43" s="55">
        <f>$K$43-EFEITO!$M$43*EFEITO!$Z$43</f>
        <v>0</v>
      </c>
      <c r="O43" s="55">
        <f>$L$43-EFEITO!$O$43*EFEITO!$AA$43</f>
        <v>0</v>
      </c>
      <c r="P43" s="39"/>
      <c r="Q43" s="39"/>
      <c r="R43" s="39"/>
      <c r="S43" s="39"/>
      <c r="T43" s="39"/>
      <c r="U43" s="39"/>
      <c r="V43" s="39"/>
      <c r="W43" s="3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1.25" customHeight="1" x14ac:dyDescent="0.2">
      <c r="A44" s="35" t="s">
        <v>21</v>
      </c>
      <c r="B44" s="35" t="s">
        <v>34</v>
      </c>
      <c r="C44" s="35" t="s">
        <v>56</v>
      </c>
      <c r="D44" s="35" t="s">
        <v>25</v>
      </c>
      <c r="E44" s="35" t="s">
        <v>25</v>
      </c>
      <c r="F44" s="35" t="s">
        <v>25</v>
      </c>
      <c r="G44" s="35" t="s">
        <v>61</v>
      </c>
      <c r="H44" s="35" t="s">
        <v>25</v>
      </c>
      <c r="I44" s="54">
        <v>44531</v>
      </c>
      <c r="J44" s="55">
        <f ca="1">EFEITO!$J$44*EFEITO!$Y$44</f>
        <v>21183.740150196558</v>
      </c>
      <c r="K44" s="55">
        <f>EFEITO!$L$44*EFEITO!$Z$44</f>
        <v>0</v>
      </c>
      <c r="L44" s="55">
        <f>EFEITO!$N$44*EFEITO!$AA$44</f>
        <v>0</v>
      </c>
      <c r="M44" s="55">
        <f ca="1">$J$44-EFEITO!$K$44*EFEITO!$Y$44</f>
        <v>10591.870075098279</v>
      </c>
      <c r="N44" s="55">
        <f>$K$44-EFEITO!$M$44*EFEITO!$Z$44</f>
        <v>0</v>
      </c>
      <c r="O44" s="55">
        <f>$L$44-EFEITO!$O$44*EFEITO!$AA$44</f>
        <v>0</v>
      </c>
      <c r="P44" s="39"/>
      <c r="Q44" s="39"/>
      <c r="R44" s="39"/>
      <c r="S44" s="39"/>
      <c r="T44" s="39"/>
      <c r="U44" s="39"/>
      <c r="V44" s="39"/>
      <c r="W44" s="3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1.25" customHeight="1" x14ac:dyDescent="0.2">
      <c r="A45" s="35" t="s">
        <v>21</v>
      </c>
      <c r="B45" s="35" t="s">
        <v>34</v>
      </c>
      <c r="C45" s="35" t="s">
        <v>56</v>
      </c>
      <c r="D45" s="35" t="s">
        <v>25</v>
      </c>
      <c r="E45" s="35" t="s">
        <v>25</v>
      </c>
      <c r="F45" s="35" t="s">
        <v>25</v>
      </c>
      <c r="G45" s="35" t="s">
        <v>62</v>
      </c>
      <c r="H45" s="35" t="s">
        <v>25</v>
      </c>
      <c r="I45" s="54">
        <v>44531</v>
      </c>
      <c r="J45" s="55">
        <f ca="1">EFEITO!$J$45*EFEITO!$Y$45</f>
        <v>3383.9840495521657</v>
      </c>
      <c r="K45" s="55">
        <f>EFEITO!$L$45*EFEITO!$Z$45</f>
        <v>0</v>
      </c>
      <c r="L45" s="55">
        <f>EFEITO!$N$45*EFEITO!$AA$45</f>
        <v>0</v>
      </c>
      <c r="M45" s="55">
        <f ca="1">$J$45-EFEITO!$K$45*EFEITO!$Y$45</f>
        <v>1691.9920247760829</v>
      </c>
      <c r="N45" s="55">
        <f>$K$45-EFEITO!$M$45*EFEITO!$Z$45</f>
        <v>0</v>
      </c>
      <c r="O45" s="55">
        <f>$L$45-EFEITO!$O$45*EFEITO!$AA$45</f>
        <v>0</v>
      </c>
      <c r="P45" s="39"/>
      <c r="Q45" s="39"/>
      <c r="R45" s="39"/>
      <c r="S45" s="39"/>
      <c r="T45" s="39"/>
      <c r="U45" s="39"/>
      <c r="V45" s="39"/>
      <c r="W45" s="3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1.25" customHeight="1" x14ac:dyDescent="0.2">
      <c r="A46" s="35" t="s">
        <v>21</v>
      </c>
      <c r="B46" s="35" t="s">
        <v>34</v>
      </c>
      <c r="C46" s="35" t="s">
        <v>56</v>
      </c>
      <c r="D46" s="35" t="s">
        <v>25</v>
      </c>
      <c r="E46" s="35" t="s">
        <v>25</v>
      </c>
      <c r="F46" s="35" t="s">
        <v>25</v>
      </c>
      <c r="G46" s="35" t="s">
        <v>57</v>
      </c>
      <c r="H46" s="35" t="s">
        <v>25</v>
      </c>
      <c r="I46" s="54">
        <v>44562</v>
      </c>
      <c r="J46" s="55">
        <f ca="1">EFEITO!$J$46*EFEITO!$Y$46</f>
        <v>40607.808594625989</v>
      </c>
      <c r="K46" s="55">
        <f>EFEITO!$L$46*EFEITO!$Z$46</f>
        <v>0</v>
      </c>
      <c r="L46" s="55">
        <f>EFEITO!$N$46*EFEITO!$AA$46</f>
        <v>0</v>
      </c>
      <c r="M46" s="55">
        <f ca="1">$J$46-EFEITO!$K$46*EFEITO!$Y$46</f>
        <v>20303.904297312994</v>
      </c>
      <c r="N46" s="55">
        <f>$K$46-EFEITO!$M$46*EFEITO!$Z$46</f>
        <v>0</v>
      </c>
      <c r="O46" s="55">
        <f>$L$46-EFEITO!$O$46*EFEITO!$AA$46</f>
        <v>0</v>
      </c>
      <c r="P46" s="39"/>
      <c r="Q46" s="39"/>
      <c r="R46" s="39"/>
      <c r="S46" s="39"/>
      <c r="T46" s="39"/>
      <c r="U46" s="39"/>
      <c r="V46" s="39"/>
      <c r="W46" s="3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1.25" customHeight="1" x14ac:dyDescent="0.2">
      <c r="A47" s="35" t="s">
        <v>21</v>
      </c>
      <c r="B47" s="35" t="s">
        <v>34</v>
      </c>
      <c r="C47" s="35" t="s">
        <v>56</v>
      </c>
      <c r="D47" s="35" t="s">
        <v>25</v>
      </c>
      <c r="E47" s="35" t="s">
        <v>25</v>
      </c>
      <c r="F47" s="35" t="s">
        <v>25</v>
      </c>
      <c r="G47" s="35" t="s">
        <v>59</v>
      </c>
      <c r="H47" s="35" t="s">
        <v>25</v>
      </c>
      <c r="I47" s="54">
        <v>44562</v>
      </c>
      <c r="J47" s="55">
        <f ca="1">EFEITO!$J$47*EFEITO!$Y$47</f>
        <v>5637.7174265539079</v>
      </c>
      <c r="K47" s="55">
        <f>EFEITO!$L$47*EFEITO!$Z$47</f>
        <v>0</v>
      </c>
      <c r="L47" s="55">
        <f>EFEITO!$N$47*EFEITO!$AA$47</f>
        <v>0</v>
      </c>
      <c r="M47" s="55">
        <f ca="1">$J$47-EFEITO!$K$47*EFEITO!$Y$47</f>
        <v>2818.8587132769539</v>
      </c>
      <c r="N47" s="55">
        <f>$K$47-EFEITO!$M$47*EFEITO!$Z$47</f>
        <v>0</v>
      </c>
      <c r="O47" s="55">
        <f>$L$47-EFEITO!$O$47*EFEITO!$AA$47</f>
        <v>0</v>
      </c>
      <c r="P47" s="39"/>
      <c r="Q47" s="39"/>
      <c r="R47" s="39"/>
      <c r="S47" s="39"/>
      <c r="T47" s="39"/>
      <c r="U47" s="39"/>
      <c r="V47" s="39"/>
      <c r="W47" s="3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1.25" customHeight="1" x14ac:dyDescent="0.2">
      <c r="A48" s="35" t="s">
        <v>21</v>
      </c>
      <c r="B48" s="35" t="s">
        <v>34</v>
      </c>
      <c r="C48" s="35" t="s">
        <v>56</v>
      </c>
      <c r="D48" s="35" t="s">
        <v>25</v>
      </c>
      <c r="E48" s="35" t="s">
        <v>25</v>
      </c>
      <c r="F48" s="35" t="s">
        <v>25</v>
      </c>
      <c r="G48" s="35" t="s">
        <v>60</v>
      </c>
      <c r="H48" s="35" t="s">
        <v>25</v>
      </c>
      <c r="I48" s="54">
        <v>44562</v>
      </c>
      <c r="J48" s="55">
        <f ca="1">EFEITO!$J$48*EFEITO!$Y$48</f>
        <v>6767.9680991043315</v>
      </c>
      <c r="K48" s="55">
        <f>EFEITO!$L$48*EFEITO!$Z$48</f>
        <v>0</v>
      </c>
      <c r="L48" s="55">
        <f>EFEITO!$N$48*EFEITO!$AA$48</f>
        <v>0</v>
      </c>
      <c r="M48" s="55">
        <f ca="1">$J$48-EFEITO!$K$48*EFEITO!$Y$48</f>
        <v>3383.9840495521657</v>
      </c>
      <c r="N48" s="55">
        <f>$K$48-EFEITO!$M$48*EFEITO!$Z$48</f>
        <v>0</v>
      </c>
      <c r="O48" s="55">
        <f>$L$48-EFEITO!$O$48*EFEITO!$AA$48</f>
        <v>0</v>
      </c>
      <c r="P48" s="39"/>
      <c r="Q48" s="39"/>
      <c r="R48" s="39"/>
      <c r="S48" s="39"/>
      <c r="T48" s="39"/>
      <c r="U48" s="39"/>
      <c r="V48" s="39"/>
      <c r="W48" s="3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1.25" customHeight="1" x14ac:dyDescent="0.2">
      <c r="A49" s="35" t="s">
        <v>21</v>
      </c>
      <c r="B49" s="35" t="s">
        <v>34</v>
      </c>
      <c r="C49" s="35" t="s">
        <v>56</v>
      </c>
      <c r="D49" s="35" t="s">
        <v>25</v>
      </c>
      <c r="E49" s="35" t="s">
        <v>25</v>
      </c>
      <c r="F49" s="35" t="s">
        <v>25</v>
      </c>
      <c r="G49" s="35" t="s">
        <v>61</v>
      </c>
      <c r="H49" s="35" t="s">
        <v>25</v>
      </c>
      <c r="I49" s="54">
        <v>44562</v>
      </c>
      <c r="J49" s="55">
        <f ca="1">EFEITO!$J$49*EFEITO!$Y$49</f>
        <v>21183.740150196558</v>
      </c>
      <c r="K49" s="55">
        <f>EFEITO!$L$49*EFEITO!$Z$49</f>
        <v>0</v>
      </c>
      <c r="L49" s="55">
        <f>EFEITO!$N$49*EFEITO!$AA$49</f>
        <v>0</v>
      </c>
      <c r="M49" s="55">
        <f ca="1">$J$49-EFEITO!$K$49*EFEITO!$Y$49</f>
        <v>10591.870075098279</v>
      </c>
      <c r="N49" s="55">
        <f>$K$49-EFEITO!$M$49*EFEITO!$Z$49</f>
        <v>0</v>
      </c>
      <c r="O49" s="55">
        <f>$L$49-EFEITO!$O$49*EFEITO!$AA$49</f>
        <v>0</v>
      </c>
      <c r="P49" s="39"/>
      <c r="Q49" s="39"/>
      <c r="R49" s="39"/>
      <c r="S49" s="39"/>
      <c r="T49" s="39"/>
      <c r="U49" s="39"/>
      <c r="V49" s="39"/>
      <c r="W49" s="3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1.25" customHeight="1" x14ac:dyDescent="0.2">
      <c r="A50" s="35" t="s">
        <v>21</v>
      </c>
      <c r="B50" s="35" t="s">
        <v>34</v>
      </c>
      <c r="C50" s="35" t="s">
        <v>56</v>
      </c>
      <c r="D50" s="35" t="s">
        <v>25</v>
      </c>
      <c r="E50" s="35" t="s">
        <v>25</v>
      </c>
      <c r="F50" s="35" t="s">
        <v>25</v>
      </c>
      <c r="G50" s="35" t="s">
        <v>62</v>
      </c>
      <c r="H50" s="35" t="s">
        <v>25</v>
      </c>
      <c r="I50" s="54">
        <v>44562</v>
      </c>
      <c r="J50" s="55">
        <f ca="1">EFEITO!$J$50*EFEITO!$Y$50</f>
        <v>3383.9840495521657</v>
      </c>
      <c r="K50" s="55">
        <f>EFEITO!$L$50*EFEITO!$Z$50</f>
        <v>0</v>
      </c>
      <c r="L50" s="55">
        <f>EFEITO!$N$50*EFEITO!$AA$50</f>
        <v>0</v>
      </c>
      <c r="M50" s="55">
        <f ca="1">$J$50-EFEITO!$K$50*EFEITO!$Y$50</f>
        <v>1691.9920247760829</v>
      </c>
      <c r="N50" s="55">
        <f>$K$50-EFEITO!$M$50*EFEITO!$Z$50</f>
        <v>0</v>
      </c>
      <c r="O50" s="55">
        <f>$L$50-EFEITO!$O$50*EFEITO!$AA$50</f>
        <v>0</v>
      </c>
      <c r="P50" s="39"/>
      <c r="Q50" s="39"/>
      <c r="R50" s="39"/>
      <c r="S50" s="39"/>
      <c r="T50" s="39"/>
      <c r="U50" s="39"/>
      <c r="V50" s="39"/>
      <c r="W50" s="3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1.25" customHeight="1" x14ac:dyDescent="0.2">
      <c r="A51" s="35" t="s">
        <v>21</v>
      </c>
      <c r="B51" s="35" t="s">
        <v>34</v>
      </c>
      <c r="C51" s="35" t="s">
        <v>56</v>
      </c>
      <c r="D51" s="35" t="s">
        <v>25</v>
      </c>
      <c r="E51" s="35" t="s">
        <v>25</v>
      </c>
      <c r="F51" s="35" t="s">
        <v>25</v>
      </c>
      <c r="G51" s="35" t="s">
        <v>57</v>
      </c>
      <c r="H51" s="35" t="s">
        <v>25</v>
      </c>
      <c r="I51" s="54">
        <v>44593</v>
      </c>
      <c r="J51" s="55">
        <f ca="1">EFEITO!$J$51*EFEITO!$Y$51</f>
        <v>40607.808594625989</v>
      </c>
      <c r="K51" s="55">
        <f>EFEITO!$L$51*EFEITO!$Z$51</f>
        <v>0</v>
      </c>
      <c r="L51" s="55">
        <f>EFEITO!$N$51*EFEITO!$AA$51</f>
        <v>0</v>
      </c>
      <c r="M51" s="55">
        <f ca="1">$J$51-EFEITO!$K$51*EFEITO!$Y$51</f>
        <v>20303.904297312994</v>
      </c>
      <c r="N51" s="55">
        <f>$K$51-EFEITO!$M$51*EFEITO!$Z$51</f>
        <v>0</v>
      </c>
      <c r="O51" s="55">
        <f>$L$51-EFEITO!$O$51*EFEITO!$AA$51</f>
        <v>0</v>
      </c>
      <c r="P51" s="39"/>
      <c r="Q51" s="39"/>
      <c r="R51" s="39"/>
      <c r="S51" s="39"/>
      <c r="T51" s="39"/>
      <c r="U51" s="39"/>
      <c r="V51" s="39"/>
      <c r="W51" s="3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1.25" customHeight="1" x14ac:dyDescent="0.2">
      <c r="A52" s="35" t="s">
        <v>21</v>
      </c>
      <c r="B52" s="35" t="s">
        <v>34</v>
      </c>
      <c r="C52" s="35" t="s">
        <v>56</v>
      </c>
      <c r="D52" s="35" t="s">
        <v>25</v>
      </c>
      <c r="E52" s="35" t="s">
        <v>25</v>
      </c>
      <c r="F52" s="35" t="s">
        <v>25</v>
      </c>
      <c r="G52" s="35" t="s">
        <v>59</v>
      </c>
      <c r="H52" s="35" t="s">
        <v>25</v>
      </c>
      <c r="I52" s="54">
        <v>44593</v>
      </c>
      <c r="J52" s="55">
        <f ca="1">EFEITO!$J$52*EFEITO!$Y$52</f>
        <v>5637.7174265539079</v>
      </c>
      <c r="K52" s="55">
        <f>EFEITO!$L$52*EFEITO!$Z$52</f>
        <v>0</v>
      </c>
      <c r="L52" s="55">
        <f>EFEITO!$N$52*EFEITO!$AA$52</f>
        <v>0</v>
      </c>
      <c r="M52" s="55">
        <f ca="1">$J$52-EFEITO!$K$52*EFEITO!$Y$52</f>
        <v>2818.8587132769539</v>
      </c>
      <c r="N52" s="55">
        <f>$K$52-EFEITO!$M$52*EFEITO!$Z$52</f>
        <v>0</v>
      </c>
      <c r="O52" s="55">
        <f>$L$52-EFEITO!$O$52*EFEITO!$AA$52</f>
        <v>0</v>
      </c>
      <c r="P52" s="39"/>
      <c r="Q52" s="39"/>
      <c r="R52" s="39"/>
      <c r="S52" s="39"/>
      <c r="T52" s="39"/>
      <c r="U52" s="39"/>
      <c r="V52" s="39"/>
      <c r="W52" s="3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1.25" customHeight="1" x14ac:dyDescent="0.2">
      <c r="A53" s="35" t="s">
        <v>21</v>
      </c>
      <c r="B53" s="35" t="s">
        <v>34</v>
      </c>
      <c r="C53" s="35" t="s">
        <v>56</v>
      </c>
      <c r="D53" s="35" t="s">
        <v>25</v>
      </c>
      <c r="E53" s="35" t="s">
        <v>25</v>
      </c>
      <c r="F53" s="35" t="s">
        <v>25</v>
      </c>
      <c r="G53" s="35" t="s">
        <v>60</v>
      </c>
      <c r="H53" s="35" t="s">
        <v>25</v>
      </c>
      <c r="I53" s="54">
        <v>44593</v>
      </c>
      <c r="J53" s="55">
        <f ca="1">EFEITO!$J$53*EFEITO!$Y$53</f>
        <v>6767.9680991043315</v>
      </c>
      <c r="K53" s="55">
        <f>EFEITO!$L$53*EFEITO!$Z$53</f>
        <v>0</v>
      </c>
      <c r="L53" s="55">
        <f>EFEITO!$N$53*EFEITO!$AA$53</f>
        <v>0</v>
      </c>
      <c r="M53" s="55">
        <f ca="1">$J$53-EFEITO!$K$53*EFEITO!$Y$53</f>
        <v>3383.9840495521657</v>
      </c>
      <c r="N53" s="55">
        <f>$K$53-EFEITO!$M$53*EFEITO!$Z$53</f>
        <v>0</v>
      </c>
      <c r="O53" s="55">
        <f>$L$53-EFEITO!$O$53*EFEITO!$AA$53</f>
        <v>0</v>
      </c>
      <c r="P53" s="39"/>
      <c r="Q53" s="39"/>
      <c r="R53" s="39"/>
      <c r="S53" s="39"/>
      <c r="T53" s="39"/>
      <c r="U53" s="39"/>
      <c r="V53" s="39"/>
      <c r="W53" s="3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1.25" customHeight="1" x14ac:dyDescent="0.2">
      <c r="A54" s="35" t="s">
        <v>21</v>
      </c>
      <c r="B54" s="35" t="s">
        <v>34</v>
      </c>
      <c r="C54" s="35" t="s">
        <v>56</v>
      </c>
      <c r="D54" s="35" t="s">
        <v>25</v>
      </c>
      <c r="E54" s="35" t="s">
        <v>25</v>
      </c>
      <c r="F54" s="35" t="s">
        <v>25</v>
      </c>
      <c r="G54" s="35" t="s">
        <v>61</v>
      </c>
      <c r="H54" s="35" t="s">
        <v>25</v>
      </c>
      <c r="I54" s="54">
        <v>44593</v>
      </c>
      <c r="J54" s="55">
        <f ca="1">EFEITO!$J$54*EFEITO!$Y$54</f>
        <v>21183.740150196558</v>
      </c>
      <c r="K54" s="55">
        <f>EFEITO!$L$54*EFEITO!$Z$54</f>
        <v>0</v>
      </c>
      <c r="L54" s="55">
        <f>EFEITO!$N$54*EFEITO!$AA$54</f>
        <v>0</v>
      </c>
      <c r="M54" s="55">
        <f ca="1">$J$54-EFEITO!$K$54*EFEITO!$Y$54</f>
        <v>10591.870075098279</v>
      </c>
      <c r="N54" s="55">
        <f>$K$54-EFEITO!$M$54*EFEITO!$Z$54</f>
        <v>0</v>
      </c>
      <c r="O54" s="55">
        <f>$L$54-EFEITO!$O$54*EFEITO!$AA$54</f>
        <v>0</v>
      </c>
      <c r="P54" s="39"/>
      <c r="Q54" s="39"/>
      <c r="R54" s="39"/>
      <c r="S54" s="39"/>
      <c r="T54" s="39"/>
      <c r="U54" s="39"/>
      <c r="V54" s="39"/>
      <c r="W54" s="3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1.25" customHeight="1" x14ac:dyDescent="0.2">
      <c r="A55" s="35" t="s">
        <v>21</v>
      </c>
      <c r="B55" s="35" t="s">
        <v>34</v>
      </c>
      <c r="C55" s="35" t="s">
        <v>56</v>
      </c>
      <c r="D55" s="35" t="s">
        <v>25</v>
      </c>
      <c r="E55" s="35" t="s">
        <v>25</v>
      </c>
      <c r="F55" s="35" t="s">
        <v>25</v>
      </c>
      <c r="G55" s="35" t="s">
        <v>62</v>
      </c>
      <c r="H55" s="35" t="s">
        <v>25</v>
      </c>
      <c r="I55" s="54">
        <v>44593</v>
      </c>
      <c r="J55" s="55">
        <f ca="1">EFEITO!$J$55*EFEITO!$Y$55</f>
        <v>3383.9840495521657</v>
      </c>
      <c r="K55" s="55">
        <f>EFEITO!$L$55*EFEITO!$Z$55</f>
        <v>0</v>
      </c>
      <c r="L55" s="55">
        <f>EFEITO!$N$55*EFEITO!$AA$55</f>
        <v>0</v>
      </c>
      <c r="M55" s="55">
        <f ca="1">$J$55-EFEITO!$K$55*EFEITO!$Y$55</f>
        <v>1691.9920247760829</v>
      </c>
      <c r="N55" s="55">
        <f>$K$55-EFEITO!$M$55*EFEITO!$Z$55</f>
        <v>0</v>
      </c>
      <c r="O55" s="55">
        <f>$L$55-EFEITO!$O$55*EFEITO!$AA$55</f>
        <v>0</v>
      </c>
      <c r="P55" s="39"/>
      <c r="Q55" s="39"/>
      <c r="R55" s="39"/>
      <c r="S55" s="39"/>
      <c r="T55" s="39"/>
      <c r="U55" s="39"/>
      <c r="V55" s="39"/>
      <c r="W55" s="3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1.25" customHeight="1" x14ac:dyDescent="0.2">
      <c r="A56" s="35" t="s">
        <v>21</v>
      </c>
      <c r="B56" s="35" t="s">
        <v>34</v>
      </c>
      <c r="C56" s="35" t="s">
        <v>56</v>
      </c>
      <c r="D56" s="35" t="s">
        <v>25</v>
      </c>
      <c r="E56" s="35" t="s">
        <v>25</v>
      </c>
      <c r="F56" s="35" t="s">
        <v>25</v>
      </c>
      <c r="G56" s="35" t="s">
        <v>57</v>
      </c>
      <c r="H56" s="35" t="s">
        <v>25</v>
      </c>
      <c r="I56" s="54">
        <v>44621</v>
      </c>
      <c r="J56" s="55">
        <f ca="1">EFEITO!$J$56*EFEITO!$Y$56</f>
        <v>40607.808594625989</v>
      </c>
      <c r="K56" s="55">
        <f>EFEITO!$L$56*EFEITO!$Z$56</f>
        <v>0</v>
      </c>
      <c r="L56" s="55">
        <f>EFEITO!$N$56*EFEITO!$AA$56</f>
        <v>0</v>
      </c>
      <c r="M56" s="55">
        <f ca="1">$J$56-EFEITO!$K$56*EFEITO!$Y$56</f>
        <v>20303.904297312994</v>
      </c>
      <c r="N56" s="55">
        <f>$K$56-EFEITO!$M$56*EFEITO!$Z$56</f>
        <v>0</v>
      </c>
      <c r="O56" s="55">
        <f>$L$56-EFEITO!$O$56*EFEITO!$AA$56</f>
        <v>0</v>
      </c>
      <c r="P56" s="39"/>
      <c r="Q56" s="39"/>
      <c r="R56" s="39"/>
      <c r="S56" s="39"/>
      <c r="T56" s="39"/>
      <c r="U56" s="39"/>
      <c r="V56" s="39"/>
      <c r="W56" s="3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1.25" customHeight="1" x14ac:dyDescent="0.2">
      <c r="A57" s="35" t="s">
        <v>21</v>
      </c>
      <c r="B57" s="35" t="s">
        <v>34</v>
      </c>
      <c r="C57" s="35" t="s">
        <v>56</v>
      </c>
      <c r="D57" s="35" t="s">
        <v>25</v>
      </c>
      <c r="E57" s="35" t="s">
        <v>25</v>
      </c>
      <c r="F57" s="35" t="s">
        <v>25</v>
      </c>
      <c r="G57" s="35" t="s">
        <v>59</v>
      </c>
      <c r="H57" s="35" t="s">
        <v>25</v>
      </c>
      <c r="I57" s="54">
        <v>44621</v>
      </c>
      <c r="J57" s="55">
        <f ca="1">EFEITO!$J$57*EFEITO!$Y$57</f>
        <v>5637.7174265539079</v>
      </c>
      <c r="K57" s="55">
        <f>EFEITO!$L$57*EFEITO!$Z$57</f>
        <v>0</v>
      </c>
      <c r="L57" s="55">
        <f>EFEITO!$N$57*EFEITO!$AA$57</f>
        <v>0</v>
      </c>
      <c r="M57" s="55">
        <f ca="1">$J$57-EFEITO!$K$57*EFEITO!$Y$57</f>
        <v>2818.8587132769539</v>
      </c>
      <c r="N57" s="55">
        <f>$K$57-EFEITO!$M$57*EFEITO!$Z$57</f>
        <v>0</v>
      </c>
      <c r="O57" s="55">
        <f>$L$57-EFEITO!$O$57*EFEITO!$AA$57</f>
        <v>0</v>
      </c>
      <c r="P57" s="39"/>
      <c r="Q57" s="39"/>
      <c r="R57" s="39"/>
      <c r="S57" s="39"/>
      <c r="T57" s="39"/>
      <c r="U57" s="39"/>
      <c r="V57" s="39"/>
      <c r="W57" s="3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1.25" customHeight="1" x14ac:dyDescent="0.2">
      <c r="A58" s="35" t="s">
        <v>21</v>
      </c>
      <c r="B58" s="35" t="s">
        <v>34</v>
      </c>
      <c r="C58" s="35" t="s">
        <v>56</v>
      </c>
      <c r="D58" s="35" t="s">
        <v>25</v>
      </c>
      <c r="E58" s="35" t="s">
        <v>25</v>
      </c>
      <c r="F58" s="35" t="s">
        <v>25</v>
      </c>
      <c r="G58" s="35" t="s">
        <v>60</v>
      </c>
      <c r="H58" s="35" t="s">
        <v>25</v>
      </c>
      <c r="I58" s="54">
        <v>44621</v>
      </c>
      <c r="J58" s="55">
        <f ca="1">EFEITO!$J$58*EFEITO!$Y$58</f>
        <v>6767.9680991043315</v>
      </c>
      <c r="K58" s="55">
        <f>EFEITO!$L$58*EFEITO!$Z$58</f>
        <v>0</v>
      </c>
      <c r="L58" s="55">
        <f>EFEITO!$N$58*EFEITO!$AA$58</f>
        <v>0</v>
      </c>
      <c r="M58" s="55">
        <f ca="1">$J$58-EFEITO!$K$58*EFEITO!$Y$58</f>
        <v>3383.9840495521657</v>
      </c>
      <c r="N58" s="55">
        <f>$K$58-EFEITO!$M$58*EFEITO!$Z$58</f>
        <v>0</v>
      </c>
      <c r="O58" s="55">
        <f>$L$58-EFEITO!$O$58*EFEITO!$AA$58</f>
        <v>0</v>
      </c>
      <c r="P58" s="39"/>
      <c r="Q58" s="39"/>
      <c r="R58" s="39"/>
      <c r="S58" s="39"/>
      <c r="T58" s="39"/>
      <c r="U58" s="39"/>
      <c r="V58" s="39"/>
      <c r="W58" s="3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1.25" customHeight="1" x14ac:dyDescent="0.2">
      <c r="A59" s="35" t="s">
        <v>21</v>
      </c>
      <c r="B59" s="35" t="s">
        <v>34</v>
      </c>
      <c r="C59" s="35" t="s">
        <v>56</v>
      </c>
      <c r="D59" s="35" t="s">
        <v>25</v>
      </c>
      <c r="E59" s="35" t="s">
        <v>25</v>
      </c>
      <c r="F59" s="35" t="s">
        <v>25</v>
      </c>
      <c r="G59" s="35" t="s">
        <v>61</v>
      </c>
      <c r="H59" s="35" t="s">
        <v>25</v>
      </c>
      <c r="I59" s="54">
        <v>44621</v>
      </c>
      <c r="J59" s="55">
        <f ca="1">EFEITO!$J$59*EFEITO!$Y$59</f>
        <v>21183.740150196558</v>
      </c>
      <c r="K59" s="55">
        <f>EFEITO!$L$59*EFEITO!$Z$59</f>
        <v>0</v>
      </c>
      <c r="L59" s="55">
        <f>EFEITO!$N$59*EFEITO!$AA$59</f>
        <v>0</v>
      </c>
      <c r="M59" s="55">
        <f ca="1">$J$59-EFEITO!$K$59*EFEITO!$Y$59</f>
        <v>10591.870075098279</v>
      </c>
      <c r="N59" s="55">
        <f>$K$59-EFEITO!$M$59*EFEITO!$Z$59</f>
        <v>0</v>
      </c>
      <c r="O59" s="55">
        <f>$L$59-EFEITO!$O$59*EFEITO!$AA$59</f>
        <v>0</v>
      </c>
      <c r="P59" s="39"/>
      <c r="Q59" s="39"/>
      <c r="R59" s="39"/>
      <c r="S59" s="39"/>
      <c r="T59" s="39"/>
      <c r="U59" s="39"/>
      <c r="V59" s="39"/>
      <c r="W59" s="3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1.25" customHeight="1" x14ac:dyDescent="0.2">
      <c r="A60" s="35" t="s">
        <v>21</v>
      </c>
      <c r="B60" s="35" t="s">
        <v>34</v>
      </c>
      <c r="C60" s="35" t="s">
        <v>56</v>
      </c>
      <c r="D60" s="35" t="s">
        <v>25</v>
      </c>
      <c r="E60" s="35" t="s">
        <v>25</v>
      </c>
      <c r="F60" s="35" t="s">
        <v>25</v>
      </c>
      <c r="G60" s="35" t="s">
        <v>62</v>
      </c>
      <c r="H60" s="35" t="s">
        <v>25</v>
      </c>
      <c r="I60" s="54">
        <v>44621</v>
      </c>
      <c r="J60" s="55">
        <f ca="1">EFEITO!$J$60*EFEITO!$Y$60</f>
        <v>3383.9840495521657</v>
      </c>
      <c r="K60" s="55">
        <f>EFEITO!$L$60*EFEITO!$Z$60</f>
        <v>0</v>
      </c>
      <c r="L60" s="55">
        <f>EFEITO!$N$60*EFEITO!$AA$60</f>
        <v>0</v>
      </c>
      <c r="M60" s="55">
        <f ca="1">$J$60-EFEITO!$K$60*EFEITO!$Y$60</f>
        <v>1691.9920247760829</v>
      </c>
      <c r="N60" s="55">
        <f>$K$60-EFEITO!$M$60*EFEITO!$Z$60</f>
        <v>0</v>
      </c>
      <c r="O60" s="55">
        <f>$L$60-EFEITO!$O$60*EFEITO!$AA$60</f>
        <v>0</v>
      </c>
      <c r="P60" s="39"/>
      <c r="Q60" s="39"/>
      <c r="R60" s="39"/>
      <c r="S60" s="39"/>
      <c r="T60" s="39"/>
      <c r="U60" s="39"/>
      <c r="V60" s="39"/>
      <c r="W60" s="3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1.25" customHeight="1" x14ac:dyDescent="0.2">
      <c r="A61" s="35" t="s">
        <v>21</v>
      </c>
      <c r="B61" s="35" t="s">
        <v>34</v>
      </c>
      <c r="C61" s="35" t="s">
        <v>56</v>
      </c>
      <c r="D61" s="35" t="s">
        <v>25</v>
      </c>
      <c r="E61" s="35" t="s">
        <v>25</v>
      </c>
      <c r="F61" s="35" t="s">
        <v>25</v>
      </c>
      <c r="G61" s="35" t="s">
        <v>57</v>
      </c>
      <c r="H61" s="35" t="s">
        <v>25</v>
      </c>
      <c r="I61" s="54">
        <v>44652</v>
      </c>
      <c r="J61" s="55">
        <f ca="1">EFEITO!$J$61*EFEITO!$Y$61</f>
        <v>40607.808594625989</v>
      </c>
      <c r="K61" s="55">
        <f>EFEITO!$L$61*EFEITO!$Z$61</f>
        <v>0</v>
      </c>
      <c r="L61" s="55">
        <f>EFEITO!$N$61*EFEITO!$AA$61</f>
        <v>0</v>
      </c>
      <c r="M61" s="55">
        <f ca="1">$J$61-EFEITO!$K$61*EFEITO!$Y$61</f>
        <v>20303.904297312994</v>
      </c>
      <c r="N61" s="55">
        <f>$K$61-EFEITO!$M$61*EFEITO!$Z$61</f>
        <v>0</v>
      </c>
      <c r="O61" s="55">
        <f>$L$61-EFEITO!$O$61*EFEITO!$AA$61</f>
        <v>0</v>
      </c>
      <c r="P61" s="39"/>
      <c r="Q61" s="39"/>
      <c r="R61" s="39"/>
      <c r="S61" s="39"/>
      <c r="T61" s="39"/>
      <c r="U61" s="39"/>
      <c r="V61" s="39"/>
      <c r="W61" s="3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1.25" customHeight="1" x14ac:dyDescent="0.2">
      <c r="A62" s="35" t="s">
        <v>21</v>
      </c>
      <c r="B62" s="35" t="s">
        <v>34</v>
      </c>
      <c r="C62" s="35" t="s">
        <v>56</v>
      </c>
      <c r="D62" s="35" t="s">
        <v>25</v>
      </c>
      <c r="E62" s="35" t="s">
        <v>25</v>
      </c>
      <c r="F62" s="35" t="s">
        <v>25</v>
      </c>
      <c r="G62" s="35" t="s">
        <v>59</v>
      </c>
      <c r="H62" s="35" t="s">
        <v>25</v>
      </c>
      <c r="I62" s="54">
        <v>44652</v>
      </c>
      <c r="J62" s="55">
        <f ca="1">EFEITO!$J$62*EFEITO!$Y$62</f>
        <v>5637.7174265539079</v>
      </c>
      <c r="K62" s="55">
        <f>EFEITO!$L$62*EFEITO!$Z$62</f>
        <v>0</v>
      </c>
      <c r="L62" s="55">
        <f>EFEITO!$N$62*EFEITO!$AA$62</f>
        <v>0</v>
      </c>
      <c r="M62" s="55">
        <f ca="1">$J$62-EFEITO!$K$62*EFEITO!$Y$62</f>
        <v>2818.8587132769539</v>
      </c>
      <c r="N62" s="55">
        <f>$K$62-EFEITO!$M$62*EFEITO!$Z$62</f>
        <v>0</v>
      </c>
      <c r="O62" s="55">
        <f>$L$62-EFEITO!$O$62*EFEITO!$AA$62</f>
        <v>0</v>
      </c>
      <c r="P62" s="39"/>
      <c r="Q62" s="39"/>
      <c r="R62" s="39"/>
      <c r="S62" s="39"/>
      <c r="T62" s="39"/>
      <c r="U62" s="39"/>
      <c r="V62" s="39"/>
      <c r="W62" s="3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1.25" customHeight="1" x14ac:dyDescent="0.2">
      <c r="A63" s="35" t="s">
        <v>21</v>
      </c>
      <c r="B63" s="35" t="s">
        <v>34</v>
      </c>
      <c r="C63" s="35" t="s">
        <v>56</v>
      </c>
      <c r="D63" s="35" t="s">
        <v>25</v>
      </c>
      <c r="E63" s="35" t="s">
        <v>25</v>
      </c>
      <c r="F63" s="35" t="s">
        <v>25</v>
      </c>
      <c r="G63" s="35" t="s">
        <v>60</v>
      </c>
      <c r="H63" s="35" t="s">
        <v>25</v>
      </c>
      <c r="I63" s="54">
        <v>44652</v>
      </c>
      <c r="J63" s="55">
        <f ca="1">EFEITO!$J$63*EFEITO!$Y$63</f>
        <v>6767.9680991043315</v>
      </c>
      <c r="K63" s="55">
        <f>EFEITO!$L$63*EFEITO!$Z$63</f>
        <v>0</v>
      </c>
      <c r="L63" s="55">
        <f>EFEITO!$N$63*EFEITO!$AA$63</f>
        <v>0</v>
      </c>
      <c r="M63" s="55">
        <f ca="1">$J$63-EFEITO!$K$63*EFEITO!$Y$63</f>
        <v>3383.9840495521657</v>
      </c>
      <c r="N63" s="55">
        <f>$K$63-EFEITO!$M$63*EFEITO!$Z$63</f>
        <v>0</v>
      </c>
      <c r="O63" s="55">
        <f>$L$63-EFEITO!$O$63*EFEITO!$AA$63</f>
        <v>0</v>
      </c>
      <c r="P63" s="39"/>
      <c r="Q63" s="39"/>
      <c r="R63" s="39"/>
      <c r="S63" s="39"/>
      <c r="T63" s="39"/>
      <c r="U63" s="39"/>
      <c r="V63" s="39"/>
      <c r="W63" s="3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1.25" customHeight="1" x14ac:dyDescent="0.2">
      <c r="A64" s="35" t="s">
        <v>21</v>
      </c>
      <c r="B64" s="35" t="s">
        <v>34</v>
      </c>
      <c r="C64" s="35" t="s">
        <v>56</v>
      </c>
      <c r="D64" s="35" t="s">
        <v>25</v>
      </c>
      <c r="E64" s="35" t="s">
        <v>25</v>
      </c>
      <c r="F64" s="35" t="s">
        <v>25</v>
      </c>
      <c r="G64" s="35" t="s">
        <v>61</v>
      </c>
      <c r="H64" s="35" t="s">
        <v>25</v>
      </c>
      <c r="I64" s="54">
        <v>44652</v>
      </c>
      <c r="J64" s="55">
        <f ca="1">EFEITO!$J$64*EFEITO!$Y$64</f>
        <v>21183.740150196558</v>
      </c>
      <c r="K64" s="55">
        <f>EFEITO!$L$64*EFEITO!$Z$64</f>
        <v>0</v>
      </c>
      <c r="L64" s="55">
        <f>EFEITO!$N$64*EFEITO!$AA$64</f>
        <v>0</v>
      </c>
      <c r="M64" s="55">
        <f ca="1">$J$64-EFEITO!$K$64*EFEITO!$Y$64</f>
        <v>10591.870075098279</v>
      </c>
      <c r="N64" s="55">
        <f>$K$64-EFEITO!$M$64*EFEITO!$Z$64</f>
        <v>0</v>
      </c>
      <c r="O64" s="55">
        <f>$L$64-EFEITO!$O$64*EFEITO!$AA$64</f>
        <v>0</v>
      </c>
      <c r="P64" s="39"/>
      <c r="Q64" s="39"/>
      <c r="R64" s="39"/>
      <c r="S64" s="39"/>
      <c r="T64" s="39"/>
      <c r="U64" s="39"/>
      <c r="V64" s="39"/>
      <c r="W64" s="3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1.25" customHeight="1" x14ac:dyDescent="0.2">
      <c r="A65" s="35" t="s">
        <v>21</v>
      </c>
      <c r="B65" s="35" t="s">
        <v>34</v>
      </c>
      <c r="C65" s="35" t="s">
        <v>56</v>
      </c>
      <c r="D65" s="35" t="s">
        <v>25</v>
      </c>
      <c r="E65" s="35" t="s">
        <v>25</v>
      </c>
      <c r="F65" s="35" t="s">
        <v>25</v>
      </c>
      <c r="G65" s="35" t="s">
        <v>62</v>
      </c>
      <c r="H65" s="35" t="s">
        <v>25</v>
      </c>
      <c r="I65" s="54">
        <v>44652</v>
      </c>
      <c r="J65" s="55">
        <f ca="1">EFEITO!$J$65*EFEITO!$Y$65</f>
        <v>3383.9840495521657</v>
      </c>
      <c r="K65" s="55">
        <f>EFEITO!$L$65*EFEITO!$Z$65</f>
        <v>0</v>
      </c>
      <c r="L65" s="55">
        <f>EFEITO!$N$65*EFEITO!$AA$65</f>
        <v>0</v>
      </c>
      <c r="M65" s="55">
        <f ca="1">$J$65-EFEITO!$K$65*EFEITO!$Y$65</f>
        <v>1691.9920247760829</v>
      </c>
      <c r="N65" s="55">
        <f>$K$65-EFEITO!$M$65*EFEITO!$Z$65</f>
        <v>0</v>
      </c>
      <c r="O65" s="55">
        <f>$L$65-EFEITO!$O$65*EFEITO!$AA$65</f>
        <v>0</v>
      </c>
      <c r="P65" s="39"/>
      <c r="Q65" s="39"/>
      <c r="R65" s="39"/>
      <c r="S65" s="39"/>
      <c r="T65" s="39"/>
      <c r="U65" s="39"/>
      <c r="V65" s="39"/>
      <c r="W65" s="3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1.25" customHeight="1" x14ac:dyDescent="0.2">
      <c r="A66" s="35" t="s">
        <v>21</v>
      </c>
      <c r="B66" s="35" t="s">
        <v>34</v>
      </c>
      <c r="C66" s="35" t="s">
        <v>56</v>
      </c>
      <c r="D66" s="35" t="s">
        <v>25</v>
      </c>
      <c r="E66" s="35" t="s">
        <v>25</v>
      </c>
      <c r="F66" s="35" t="s">
        <v>25</v>
      </c>
      <c r="G66" s="35" t="s">
        <v>57</v>
      </c>
      <c r="H66" s="35" t="s">
        <v>25</v>
      </c>
      <c r="I66" s="54">
        <v>44682</v>
      </c>
      <c r="J66" s="55">
        <f ca="1">EFEITO!$J$66*EFEITO!$Y$66</f>
        <v>40607.808594625989</v>
      </c>
      <c r="K66" s="55">
        <f>EFEITO!$L$66*EFEITO!$Z$66</f>
        <v>0</v>
      </c>
      <c r="L66" s="55">
        <f>EFEITO!$N$66*EFEITO!$AA$66</f>
        <v>0</v>
      </c>
      <c r="M66" s="55">
        <f ca="1">$J$66-EFEITO!$K$66*EFEITO!$Y$66</f>
        <v>20303.904297312994</v>
      </c>
      <c r="N66" s="55">
        <f>$K$66-EFEITO!$M$66*EFEITO!$Z$66</f>
        <v>0</v>
      </c>
      <c r="O66" s="55">
        <f>$L$66-EFEITO!$O$66*EFEITO!$AA$66</f>
        <v>0</v>
      </c>
      <c r="P66" s="39"/>
      <c r="Q66" s="39"/>
      <c r="R66" s="39"/>
      <c r="S66" s="39"/>
      <c r="T66" s="39"/>
      <c r="U66" s="39"/>
      <c r="V66" s="39"/>
      <c r="W66" s="3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1.25" customHeight="1" x14ac:dyDescent="0.2">
      <c r="A67" s="35" t="s">
        <v>21</v>
      </c>
      <c r="B67" s="35" t="s">
        <v>34</v>
      </c>
      <c r="C67" s="35" t="s">
        <v>56</v>
      </c>
      <c r="D67" s="35" t="s">
        <v>25</v>
      </c>
      <c r="E67" s="35" t="s">
        <v>25</v>
      </c>
      <c r="F67" s="35" t="s">
        <v>25</v>
      </c>
      <c r="G67" s="35" t="s">
        <v>59</v>
      </c>
      <c r="H67" s="35" t="s">
        <v>25</v>
      </c>
      <c r="I67" s="54">
        <v>44682</v>
      </c>
      <c r="J67" s="55">
        <f ca="1">EFEITO!$J$67*EFEITO!$Y$67</f>
        <v>5637.7174265539079</v>
      </c>
      <c r="K67" s="55">
        <f>EFEITO!$L$67*EFEITO!$Z$67</f>
        <v>0</v>
      </c>
      <c r="L67" s="55">
        <f>EFEITO!$N$67*EFEITO!$AA$67</f>
        <v>0</v>
      </c>
      <c r="M67" s="55">
        <f ca="1">$J$67-EFEITO!$K$67*EFEITO!$Y$67</f>
        <v>2818.8587132769539</v>
      </c>
      <c r="N67" s="55">
        <f>$K$67-EFEITO!$M$67*EFEITO!$Z$67</f>
        <v>0</v>
      </c>
      <c r="O67" s="55">
        <f>$L$67-EFEITO!$O$67*EFEITO!$AA$67</f>
        <v>0</v>
      </c>
      <c r="P67" s="39"/>
      <c r="Q67" s="39"/>
      <c r="R67" s="39"/>
      <c r="S67" s="39"/>
      <c r="T67" s="39"/>
      <c r="U67" s="39"/>
      <c r="V67" s="39"/>
      <c r="W67" s="39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1.25" customHeight="1" x14ac:dyDescent="0.2">
      <c r="A68" s="35" t="s">
        <v>21</v>
      </c>
      <c r="B68" s="35" t="s">
        <v>34</v>
      </c>
      <c r="C68" s="35" t="s">
        <v>56</v>
      </c>
      <c r="D68" s="35" t="s">
        <v>25</v>
      </c>
      <c r="E68" s="35" t="s">
        <v>25</v>
      </c>
      <c r="F68" s="35" t="s">
        <v>25</v>
      </c>
      <c r="G68" s="35" t="s">
        <v>60</v>
      </c>
      <c r="H68" s="35" t="s">
        <v>25</v>
      </c>
      <c r="I68" s="54">
        <v>44682</v>
      </c>
      <c r="J68" s="55">
        <f ca="1">EFEITO!$J$68*EFEITO!$Y$68</f>
        <v>6767.9680991043315</v>
      </c>
      <c r="K68" s="55">
        <f>EFEITO!$L$68*EFEITO!$Z$68</f>
        <v>0</v>
      </c>
      <c r="L68" s="55">
        <f>EFEITO!$N$68*EFEITO!$AA$68</f>
        <v>0</v>
      </c>
      <c r="M68" s="55">
        <f ca="1">$J$68-EFEITO!$K$68*EFEITO!$Y$68</f>
        <v>3383.9840495521657</v>
      </c>
      <c r="N68" s="55">
        <f>$K$68-EFEITO!$M$68*EFEITO!$Z$68</f>
        <v>0</v>
      </c>
      <c r="O68" s="55">
        <f>$L$68-EFEITO!$O$68*EFEITO!$AA$68</f>
        <v>0</v>
      </c>
      <c r="P68" s="39"/>
      <c r="Q68" s="39"/>
      <c r="R68" s="39"/>
      <c r="S68" s="39"/>
      <c r="T68" s="39"/>
      <c r="U68" s="39"/>
      <c r="V68" s="39"/>
      <c r="W68" s="39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1.25" customHeight="1" x14ac:dyDescent="0.2">
      <c r="A69" s="35" t="s">
        <v>21</v>
      </c>
      <c r="B69" s="35" t="s">
        <v>34</v>
      </c>
      <c r="C69" s="35" t="s">
        <v>56</v>
      </c>
      <c r="D69" s="35" t="s">
        <v>25</v>
      </c>
      <c r="E69" s="35" t="s">
        <v>25</v>
      </c>
      <c r="F69" s="35" t="s">
        <v>25</v>
      </c>
      <c r="G69" s="35" t="s">
        <v>61</v>
      </c>
      <c r="H69" s="35" t="s">
        <v>25</v>
      </c>
      <c r="I69" s="54">
        <v>44682</v>
      </c>
      <c r="J69" s="55">
        <f ca="1">EFEITO!$J$69*EFEITO!$Y$69</f>
        <v>21183.740150196558</v>
      </c>
      <c r="K69" s="55">
        <f>EFEITO!$L$69*EFEITO!$Z$69</f>
        <v>0</v>
      </c>
      <c r="L69" s="55">
        <f>EFEITO!$N$69*EFEITO!$AA$69</f>
        <v>0</v>
      </c>
      <c r="M69" s="55">
        <f ca="1">$J$69-EFEITO!$K$69*EFEITO!$Y$69</f>
        <v>10591.870075098279</v>
      </c>
      <c r="N69" s="55">
        <f>$K$69-EFEITO!$M$69*EFEITO!$Z$69</f>
        <v>0</v>
      </c>
      <c r="O69" s="55">
        <f>$L$69-EFEITO!$O$69*EFEITO!$AA$69</f>
        <v>0</v>
      </c>
      <c r="P69" s="39"/>
      <c r="Q69" s="39"/>
      <c r="R69" s="39"/>
      <c r="S69" s="39"/>
      <c r="T69" s="39"/>
      <c r="U69" s="39"/>
      <c r="V69" s="39"/>
      <c r="W69" s="39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1.25" customHeight="1" x14ac:dyDescent="0.2">
      <c r="A70" s="35" t="s">
        <v>21</v>
      </c>
      <c r="B70" s="35" t="s">
        <v>34</v>
      </c>
      <c r="C70" s="35" t="s">
        <v>56</v>
      </c>
      <c r="D70" s="35" t="s">
        <v>25</v>
      </c>
      <c r="E70" s="35" t="s">
        <v>25</v>
      </c>
      <c r="F70" s="35" t="s">
        <v>25</v>
      </c>
      <c r="G70" s="35" t="s">
        <v>62</v>
      </c>
      <c r="H70" s="35" t="s">
        <v>25</v>
      </c>
      <c r="I70" s="54">
        <v>44682</v>
      </c>
      <c r="J70" s="55">
        <f ca="1">EFEITO!$J$70*EFEITO!$Y$70</f>
        <v>3383.9840495521657</v>
      </c>
      <c r="K70" s="55">
        <f>EFEITO!$L$70*EFEITO!$Z$70</f>
        <v>0</v>
      </c>
      <c r="L70" s="55">
        <f>EFEITO!$N$70*EFEITO!$AA$70</f>
        <v>0</v>
      </c>
      <c r="M70" s="55">
        <f ca="1">$J$70-EFEITO!$K$70*EFEITO!$Y$70</f>
        <v>1691.9920247760829</v>
      </c>
      <c r="N70" s="55">
        <f>$K$70-EFEITO!$M$70*EFEITO!$Z$70</f>
        <v>0</v>
      </c>
      <c r="O70" s="55">
        <f>$L$70-EFEITO!$O$70*EFEITO!$AA$70</f>
        <v>0</v>
      </c>
      <c r="P70" s="39"/>
      <c r="Q70" s="39"/>
      <c r="R70" s="39"/>
      <c r="S70" s="39"/>
      <c r="T70" s="39"/>
      <c r="U70" s="39"/>
      <c r="V70" s="39"/>
      <c r="W70" s="39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1.25" customHeight="1" x14ac:dyDescent="0.2">
      <c r="A71" s="35" t="s">
        <v>21</v>
      </c>
      <c r="B71" s="35" t="s">
        <v>34</v>
      </c>
      <c r="C71" s="35" t="s">
        <v>56</v>
      </c>
      <c r="D71" s="35" t="s">
        <v>25</v>
      </c>
      <c r="E71" s="35" t="s">
        <v>25</v>
      </c>
      <c r="F71" s="35" t="s">
        <v>25</v>
      </c>
      <c r="G71" s="35" t="s">
        <v>57</v>
      </c>
      <c r="H71" s="35" t="s">
        <v>25</v>
      </c>
      <c r="I71" s="54">
        <v>44713</v>
      </c>
      <c r="J71" s="55">
        <f ca="1">EFEITO!$J$71*EFEITO!$Y$71</f>
        <v>40607.808594625989</v>
      </c>
      <c r="K71" s="55">
        <f>EFEITO!$L$71*EFEITO!$Z$71</f>
        <v>0</v>
      </c>
      <c r="L71" s="55">
        <f>EFEITO!$N$71*EFEITO!$AA$71</f>
        <v>0</v>
      </c>
      <c r="M71" s="55">
        <f ca="1">$J$71-EFEITO!$K$71*EFEITO!$Y$71</f>
        <v>20303.904297312994</v>
      </c>
      <c r="N71" s="55">
        <f>$K$71-EFEITO!$M$71*EFEITO!$Z$71</f>
        <v>0</v>
      </c>
      <c r="O71" s="55">
        <f>$L$71-EFEITO!$O$71*EFEITO!$AA$71</f>
        <v>0</v>
      </c>
      <c r="P71" s="39"/>
      <c r="Q71" s="39"/>
      <c r="R71" s="39"/>
      <c r="S71" s="39"/>
      <c r="T71" s="39"/>
      <c r="U71" s="39"/>
      <c r="V71" s="39"/>
      <c r="W71" s="39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1.25" customHeight="1" x14ac:dyDescent="0.2">
      <c r="A72" s="35" t="s">
        <v>21</v>
      </c>
      <c r="B72" s="35" t="s">
        <v>34</v>
      </c>
      <c r="C72" s="35" t="s">
        <v>56</v>
      </c>
      <c r="D72" s="35" t="s">
        <v>25</v>
      </c>
      <c r="E72" s="35" t="s">
        <v>25</v>
      </c>
      <c r="F72" s="35" t="s">
        <v>25</v>
      </c>
      <c r="G72" s="35" t="s">
        <v>59</v>
      </c>
      <c r="H72" s="35" t="s">
        <v>25</v>
      </c>
      <c r="I72" s="54">
        <v>44713</v>
      </c>
      <c r="J72" s="55">
        <f ca="1">EFEITO!$J$72*EFEITO!$Y$72</f>
        <v>5637.7174265539079</v>
      </c>
      <c r="K72" s="55">
        <f>EFEITO!$L$72*EFEITO!$Z$72</f>
        <v>0</v>
      </c>
      <c r="L72" s="55">
        <f>EFEITO!$N$72*EFEITO!$AA$72</f>
        <v>0</v>
      </c>
      <c r="M72" s="55">
        <f ca="1">$J$72-EFEITO!$K$72*EFEITO!$Y$72</f>
        <v>2818.8587132769539</v>
      </c>
      <c r="N72" s="55">
        <f>$K$72-EFEITO!$M$72*EFEITO!$Z$72</f>
        <v>0</v>
      </c>
      <c r="O72" s="55">
        <f>$L$72-EFEITO!$O$72*EFEITO!$AA$72</f>
        <v>0</v>
      </c>
      <c r="P72" s="39"/>
      <c r="Q72" s="39"/>
      <c r="R72" s="39"/>
      <c r="S72" s="39"/>
      <c r="T72" s="39"/>
      <c r="U72" s="39"/>
      <c r="V72" s="39"/>
      <c r="W72" s="39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1.25" customHeight="1" x14ac:dyDescent="0.2">
      <c r="A73" s="35" t="s">
        <v>21</v>
      </c>
      <c r="B73" s="35" t="s">
        <v>34</v>
      </c>
      <c r="C73" s="35" t="s">
        <v>56</v>
      </c>
      <c r="D73" s="35" t="s">
        <v>25</v>
      </c>
      <c r="E73" s="35" t="s">
        <v>25</v>
      </c>
      <c r="F73" s="35" t="s">
        <v>25</v>
      </c>
      <c r="G73" s="35" t="s">
        <v>60</v>
      </c>
      <c r="H73" s="35" t="s">
        <v>25</v>
      </c>
      <c r="I73" s="54">
        <v>44713</v>
      </c>
      <c r="J73" s="55">
        <f ca="1">EFEITO!$J$73*EFEITO!$Y$73</f>
        <v>6767.9680991043315</v>
      </c>
      <c r="K73" s="55">
        <f>EFEITO!$L$73*EFEITO!$Z$73</f>
        <v>0</v>
      </c>
      <c r="L73" s="55">
        <f>EFEITO!$N$73*EFEITO!$AA$73</f>
        <v>0</v>
      </c>
      <c r="M73" s="55">
        <f ca="1">$J$73-EFEITO!$K$73*EFEITO!$Y$73</f>
        <v>3383.9840495521657</v>
      </c>
      <c r="N73" s="55">
        <f>$K$73-EFEITO!$M$73*EFEITO!$Z$73</f>
        <v>0</v>
      </c>
      <c r="O73" s="55">
        <f>$L$73-EFEITO!$O$73*EFEITO!$AA$73</f>
        <v>0</v>
      </c>
      <c r="P73" s="39"/>
      <c r="Q73" s="39"/>
      <c r="R73" s="39"/>
      <c r="S73" s="39"/>
      <c r="T73" s="39"/>
      <c r="U73" s="39"/>
      <c r="V73" s="39"/>
      <c r="W73" s="39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1.25" customHeight="1" x14ac:dyDescent="0.2">
      <c r="A74" s="35" t="s">
        <v>21</v>
      </c>
      <c r="B74" s="35" t="s">
        <v>34</v>
      </c>
      <c r="C74" s="35" t="s">
        <v>56</v>
      </c>
      <c r="D74" s="35" t="s">
        <v>25</v>
      </c>
      <c r="E74" s="35" t="s">
        <v>25</v>
      </c>
      <c r="F74" s="35" t="s">
        <v>25</v>
      </c>
      <c r="G74" s="35" t="s">
        <v>61</v>
      </c>
      <c r="H74" s="35" t="s">
        <v>25</v>
      </c>
      <c r="I74" s="54">
        <v>44713</v>
      </c>
      <c r="J74" s="55">
        <f ca="1">EFEITO!$J$74*EFEITO!$Y$74</f>
        <v>21183.740150196558</v>
      </c>
      <c r="K74" s="55">
        <f>EFEITO!$L$74*EFEITO!$Z$74</f>
        <v>0</v>
      </c>
      <c r="L74" s="55">
        <f>EFEITO!$N$74*EFEITO!$AA$74</f>
        <v>0</v>
      </c>
      <c r="M74" s="55">
        <f ca="1">$J$74-EFEITO!$K$74*EFEITO!$Y$74</f>
        <v>10591.870075098279</v>
      </c>
      <c r="N74" s="55">
        <f>$K$74-EFEITO!$M$74*EFEITO!$Z$74</f>
        <v>0</v>
      </c>
      <c r="O74" s="55">
        <f>$L$74-EFEITO!$O$74*EFEITO!$AA$74</f>
        <v>0</v>
      </c>
      <c r="P74" s="39"/>
      <c r="Q74" s="39"/>
      <c r="R74" s="39"/>
      <c r="S74" s="39"/>
      <c r="T74" s="39"/>
      <c r="U74" s="39"/>
      <c r="V74" s="39"/>
      <c r="W74" s="39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1.25" customHeight="1" x14ac:dyDescent="0.2">
      <c r="A75" s="35" t="s">
        <v>21</v>
      </c>
      <c r="B75" s="35" t="s">
        <v>34</v>
      </c>
      <c r="C75" s="35" t="s">
        <v>56</v>
      </c>
      <c r="D75" s="35" t="s">
        <v>25</v>
      </c>
      <c r="E75" s="35" t="s">
        <v>25</v>
      </c>
      <c r="F75" s="35" t="s">
        <v>25</v>
      </c>
      <c r="G75" s="35" t="s">
        <v>62</v>
      </c>
      <c r="H75" s="35" t="s">
        <v>25</v>
      </c>
      <c r="I75" s="54">
        <v>44713</v>
      </c>
      <c r="J75" s="55">
        <f ca="1">EFEITO!$J$75*EFEITO!$Y$75</f>
        <v>3383.9840495521657</v>
      </c>
      <c r="K75" s="55">
        <f>EFEITO!$L$75*EFEITO!$Z$75</f>
        <v>0</v>
      </c>
      <c r="L75" s="55">
        <f>EFEITO!$N$75*EFEITO!$AA$75</f>
        <v>0</v>
      </c>
      <c r="M75" s="55">
        <f ca="1">$J$75-EFEITO!$K$75*EFEITO!$Y$75</f>
        <v>1691.9920247760829</v>
      </c>
      <c r="N75" s="55">
        <f>$K$75-EFEITO!$M$75*EFEITO!$Z$75</f>
        <v>0</v>
      </c>
      <c r="O75" s="55">
        <f>$L$75-EFEITO!$O$75*EFEITO!$AA$75</f>
        <v>0</v>
      </c>
      <c r="P75" s="39"/>
      <c r="Q75" s="39"/>
      <c r="R75" s="39"/>
      <c r="S75" s="39"/>
      <c r="T75" s="39"/>
      <c r="U75" s="39"/>
      <c r="V75" s="39"/>
      <c r="W75" s="39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1.25" customHeight="1" x14ac:dyDescent="0.2">
      <c r="A76" s="35" t="s">
        <v>21</v>
      </c>
      <c r="B76" s="35" t="s">
        <v>34</v>
      </c>
      <c r="C76" s="35" t="s">
        <v>56</v>
      </c>
      <c r="D76" s="35" t="s">
        <v>25</v>
      </c>
      <c r="E76" s="35" t="s">
        <v>25</v>
      </c>
      <c r="F76" s="35" t="s">
        <v>25</v>
      </c>
      <c r="G76" s="35" t="s">
        <v>57</v>
      </c>
      <c r="H76" s="35" t="s">
        <v>25</v>
      </c>
      <c r="I76" s="54">
        <v>44743</v>
      </c>
      <c r="J76" s="55">
        <f ca="1">EFEITO!$J$76*EFEITO!$Y$76</f>
        <v>40607.808594625989</v>
      </c>
      <c r="K76" s="55">
        <f>EFEITO!$L$76*EFEITO!$Z$76</f>
        <v>0</v>
      </c>
      <c r="L76" s="55">
        <f>EFEITO!$N$76*EFEITO!$AA$76</f>
        <v>0</v>
      </c>
      <c r="M76" s="55">
        <f ca="1">$J$76-EFEITO!$K$76*EFEITO!$Y$76</f>
        <v>20303.904297312994</v>
      </c>
      <c r="N76" s="55">
        <f>$K$76-EFEITO!$M$76*EFEITO!$Z$76</f>
        <v>0</v>
      </c>
      <c r="O76" s="55">
        <f>$L$76-EFEITO!$O$76*EFEITO!$AA$76</f>
        <v>0</v>
      </c>
      <c r="P76" s="39"/>
      <c r="Q76" s="39"/>
      <c r="R76" s="39"/>
      <c r="S76" s="39"/>
      <c r="T76" s="39"/>
      <c r="U76" s="39"/>
      <c r="V76" s="39"/>
      <c r="W76" s="39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1.25" customHeight="1" x14ac:dyDescent="0.2">
      <c r="A77" s="35" t="s">
        <v>21</v>
      </c>
      <c r="B77" s="35" t="s">
        <v>34</v>
      </c>
      <c r="C77" s="35" t="s">
        <v>56</v>
      </c>
      <c r="D77" s="35" t="s">
        <v>25</v>
      </c>
      <c r="E77" s="35" t="s">
        <v>25</v>
      </c>
      <c r="F77" s="35" t="s">
        <v>25</v>
      </c>
      <c r="G77" s="35" t="s">
        <v>59</v>
      </c>
      <c r="H77" s="35" t="s">
        <v>25</v>
      </c>
      <c r="I77" s="54">
        <v>44743</v>
      </c>
      <c r="J77" s="55">
        <f ca="1">EFEITO!$J$77*EFEITO!$Y$77</f>
        <v>5637.7174265539079</v>
      </c>
      <c r="K77" s="55">
        <f>EFEITO!$L$77*EFEITO!$Z$77</f>
        <v>0</v>
      </c>
      <c r="L77" s="55">
        <f>EFEITO!$N$77*EFEITO!$AA$77</f>
        <v>0</v>
      </c>
      <c r="M77" s="55">
        <f ca="1">$J$77-EFEITO!$K$77*EFEITO!$Y$77</f>
        <v>2818.8587132769539</v>
      </c>
      <c r="N77" s="55">
        <f>$K$77-EFEITO!$M$77*EFEITO!$Z$77</f>
        <v>0</v>
      </c>
      <c r="O77" s="55">
        <f>$L$77-EFEITO!$O$77*EFEITO!$AA$77</f>
        <v>0</v>
      </c>
      <c r="P77" s="39"/>
      <c r="Q77" s="39"/>
      <c r="R77" s="39"/>
      <c r="S77" s="39"/>
      <c r="T77" s="39"/>
      <c r="U77" s="39"/>
      <c r="V77" s="39"/>
      <c r="W77" s="39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1.25" customHeight="1" x14ac:dyDescent="0.2">
      <c r="A78" s="35" t="s">
        <v>21</v>
      </c>
      <c r="B78" s="35" t="s">
        <v>34</v>
      </c>
      <c r="C78" s="35" t="s">
        <v>56</v>
      </c>
      <c r="D78" s="35" t="s">
        <v>25</v>
      </c>
      <c r="E78" s="35" t="s">
        <v>25</v>
      </c>
      <c r="F78" s="35" t="s">
        <v>25</v>
      </c>
      <c r="G78" s="35" t="s">
        <v>60</v>
      </c>
      <c r="H78" s="35" t="s">
        <v>25</v>
      </c>
      <c r="I78" s="54">
        <v>44743</v>
      </c>
      <c r="J78" s="55">
        <f ca="1">EFEITO!$J$78*EFEITO!$Y$78</f>
        <v>6767.9680991043315</v>
      </c>
      <c r="K78" s="55">
        <f>EFEITO!$L$78*EFEITO!$Z$78</f>
        <v>0</v>
      </c>
      <c r="L78" s="55">
        <f>EFEITO!$N$78*EFEITO!$AA$78</f>
        <v>0</v>
      </c>
      <c r="M78" s="55">
        <f ca="1">$J$78-EFEITO!$K$78*EFEITO!$Y$78</f>
        <v>3383.9840495521657</v>
      </c>
      <c r="N78" s="55">
        <f>$K$78-EFEITO!$M$78*EFEITO!$Z$78</f>
        <v>0</v>
      </c>
      <c r="O78" s="55">
        <f>$L$78-EFEITO!$O$78*EFEITO!$AA$78</f>
        <v>0</v>
      </c>
      <c r="P78" s="39"/>
      <c r="Q78" s="39"/>
      <c r="R78" s="39"/>
      <c r="S78" s="39"/>
      <c r="T78" s="39"/>
      <c r="U78" s="39"/>
      <c r="V78" s="39"/>
      <c r="W78" s="39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1.25" customHeight="1" x14ac:dyDescent="0.2">
      <c r="A79" s="35" t="s">
        <v>21</v>
      </c>
      <c r="B79" s="35" t="s">
        <v>34</v>
      </c>
      <c r="C79" s="35" t="s">
        <v>56</v>
      </c>
      <c r="D79" s="35" t="s">
        <v>25</v>
      </c>
      <c r="E79" s="35" t="s">
        <v>25</v>
      </c>
      <c r="F79" s="35" t="s">
        <v>25</v>
      </c>
      <c r="G79" s="35" t="s">
        <v>61</v>
      </c>
      <c r="H79" s="35" t="s">
        <v>25</v>
      </c>
      <c r="I79" s="54">
        <v>44743</v>
      </c>
      <c r="J79" s="55">
        <f ca="1">EFEITO!$J$79*EFEITO!$Y$79</f>
        <v>21183.740150196558</v>
      </c>
      <c r="K79" s="55">
        <f>EFEITO!$L$79*EFEITO!$Z$79</f>
        <v>0</v>
      </c>
      <c r="L79" s="55">
        <f>EFEITO!$N$79*EFEITO!$AA$79</f>
        <v>0</v>
      </c>
      <c r="M79" s="55">
        <f ca="1">$J$79-EFEITO!$K$79*EFEITO!$Y$79</f>
        <v>10591.870075098279</v>
      </c>
      <c r="N79" s="55">
        <f>$K$79-EFEITO!$M$79*EFEITO!$Z$79</f>
        <v>0</v>
      </c>
      <c r="O79" s="55">
        <f>$L$79-EFEITO!$O$79*EFEITO!$AA$79</f>
        <v>0</v>
      </c>
      <c r="P79" s="39"/>
      <c r="Q79" s="39"/>
      <c r="R79" s="39"/>
      <c r="S79" s="39"/>
      <c r="T79" s="39"/>
      <c r="U79" s="39"/>
      <c r="V79" s="39"/>
      <c r="W79" s="39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1.25" customHeight="1" x14ac:dyDescent="0.2">
      <c r="A80" s="35" t="s">
        <v>21</v>
      </c>
      <c r="B80" s="35" t="s">
        <v>34</v>
      </c>
      <c r="C80" s="35" t="s">
        <v>56</v>
      </c>
      <c r="D80" s="35" t="s">
        <v>25</v>
      </c>
      <c r="E80" s="35" t="s">
        <v>25</v>
      </c>
      <c r="F80" s="35" t="s">
        <v>25</v>
      </c>
      <c r="G80" s="35" t="s">
        <v>62</v>
      </c>
      <c r="H80" s="35" t="s">
        <v>25</v>
      </c>
      <c r="I80" s="54">
        <v>44743</v>
      </c>
      <c r="J80" s="55">
        <f ca="1">EFEITO!$J$80*EFEITO!$Y$80</f>
        <v>3383.9840495521657</v>
      </c>
      <c r="K80" s="55">
        <f>EFEITO!$L$80*EFEITO!$Z$80</f>
        <v>0</v>
      </c>
      <c r="L80" s="55">
        <f>EFEITO!$N$80*EFEITO!$AA$80</f>
        <v>0</v>
      </c>
      <c r="M80" s="55">
        <f ca="1">$J$80-EFEITO!$K$80*EFEITO!$Y$80</f>
        <v>1691.9920247760829</v>
      </c>
      <c r="N80" s="55">
        <f>$K$80-EFEITO!$M$80*EFEITO!$Z$80</f>
        <v>0</v>
      </c>
      <c r="O80" s="55">
        <f>$L$80-EFEITO!$O$80*EFEITO!$AA$80</f>
        <v>0</v>
      </c>
      <c r="P80" s="39"/>
      <c r="Q80" s="39"/>
      <c r="R80" s="39"/>
      <c r="S80" s="39"/>
      <c r="T80" s="39"/>
      <c r="U80" s="39"/>
      <c r="V80" s="39"/>
      <c r="W80" s="39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1.25" customHeight="1" x14ac:dyDescent="0.2">
      <c r="A81" s="35" t="s">
        <v>53</v>
      </c>
      <c r="B81" s="35" t="s">
        <v>34</v>
      </c>
      <c r="C81" s="35" t="s">
        <v>56</v>
      </c>
      <c r="D81" s="35" t="s">
        <v>25</v>
      </c>
      <c r="E81" s="35" t="s">
        <v>25</v>
      </c>
      <c r="F81" s="35" t="s">
        <v>25</v>
      </c>
      <c r="G81" s="35" t="s">
        <v>57</v>
      </c>
      <c r="H81" s="35" t="s">
        <v>25</v>
      </c>
      <c r="I81" s="54">
        <v>44774</v>
      </c>
      <c r="J81" s="55">
        <f ca="1">EFEITO!$J$81*EFEITO!$Y$81</f>
        <v>40607.808594625989</v>
      </c>
      <c r="K81" s="55">
        <f>EFEITO!$L$81*EFEITO!$Z$81</f>
        <v>0</v>
      </c>
      <c r="L81" s="55">
        <f>EFEITO!$N$81*EFEITO!$AA$81</f>
        <v>0</v>
      </c>
      <c r="M81" s="55">
        <f ca="1">$J$81-EFEITO!$K$81*EFEITO!$Y$81</f>
        <v>20303.904297312994</v>
      </c>
      <c r="N81" s="55">
        <f>$K$81-EFEITO!$M$81*EFEITO!$Z$81</f>
        <v>0</v>
      </c>
      <c r="O81" s="55">
        <f>$L$81-EFEITO!$O$81*EFEITO!$AA$81</f>
        <v>0</v>
      </c>
      <c r="P81" s="39"/>
      <c r="Q81" s="39"/>
      <c r="R81" s="39"/>
      <c r="S81" s="39"/>
      <c r="T81" s="39"/>
      <c r="U81" s="39"/>
      <c r="V81" s="39"/>
      <c r="W81" s="39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1.25" customHeight="1" x14ac:dyDescent="0.2">
      <c r="A82" s="35" t="s">
        <v>53</v>
      </c>
      <c r="B82" s="35" t="s">
        <v>34</v>
      </c>
      <c r="C82" s="35" t="s">
        <v>56</v>
      </c>
      <c r="D82" s="35" t="s">
        <v>25</v>
      </c>
      <c r="E82" s="35" t="s">
        <v>25</v>
      </c>
      <c r="F82" s="35" t="s">
        <v>25</v>
      </c>
      <c r="G82" s="35" t="s">
        <v>59</v>
      </c>
      <c r="H82" s="35" t="s">
        <v>25</v>
      </c>
      <c r="I82" s="54">
        <v>44774</v>
      </c>
      <c r="J82" s="55">
        <f ca="1">EFEITO!$J$82*EFEITO!$Y$82</f>
        <v>5637.7174265539079</v>
      </c>
      <c r="K82" s="55">
        <f>EFEITO!$L$82*EFEITO!$Z$82</f>
        <v>0</v>
      </c>
      <c r="L82" s="55">
        <f>EFEITO!$N$82*EFEITO!$AA$82</f>
        <v>0</v>
      </c>
      <c r="M82" s="55">
        <f ca="1">$J$82-EFEITO!$K$82*EFEITO!$Y$82</f>
        <v>2818.8587132769539</v>
      </c>
      <c r="N82" s="55">
        <f>$K$82-EFEITO!$M$82*EFEITO!$Z$82</f>
        <v>0</v>
      </c>
      <c r="O82" s="55">
        <f>$L$82-EFEITO!$O$82*EFEITO!$AA$82</f>
        <v>0</v>
      </c>
      <c r="P82" s="39"/>
      <c r="Q82" s="39"/>
      <c r="R82" s="39"/>
      <c r="S82" s="39"/>
      <c r="T82" s="39"/>
      <c r="U82" s="39"/>
      <c r="V82" s="39"/>
      <c r="W82" s="39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1.25" customHeight="1" x14ac:dyDescent="0.2">
      <c r="A83" s="35" t="s">
        <v>53</v>
      </c>
      <c r="B83" s="35" t="s">
        <v>34</v>
      </c>
      <c r="C83" s="35" t="s">
        <v>56</v>
      </c>
      <c r="D83" s="35" t="s">
        <v>25</v>
      </c>
      <c r="E83" s="35" t="s">
        <v>25</v>
      </c>
      <c r="F83" s="35" t="s">
        <v>25</v>
      </c>
      <c r="G83" s="35" t="s">
        <v>60</v>
      </c>
      <c r="H83" s="35" t="s">
        <v>25</v>
      </c>
      <c r="I83" s="54">
        <v>44774</v>
      </c>
      <c r="J83" s="55">
        <f ca="1">EFEITO!$J$83*EFEITO!$Y$83</f>
        <v>6767.9680991043315</v>
      </c>
      <c r="K83" s="55">
        <f>EFEITO!$L$83*EFEITO!$Z$83</f>
        <v>0</v>
      </c>
      <c r="L83" s="55">
        <f>EFEITO!$N$83*EFEITO!$AA$83</f>
        <v>0</v>
      </c>
      <c r="M83" s="55">
        <f ca="1">$J$83-EFEITO!$K$83*EFEITO!$Y$83</f>
        <v>3383.9840495521657</v>
      </c>
      <c r="N83" s="55">
        <f>$K$83-EFEITO!$M$83*EFEITO!$Z$83</f>
        <v>0</v>
      </c>
      <c r="O83" s="55">
        <f>$L$83-EFEITO!$O$83*EFEITO!$AA$83</f>
        <v>0</v>
      </c>
      <c r="P83" s="39"/>
      <c r="Q83" s="39"/>
      <c r="R83" s="39"/>
      <c r="S83" s="39"/>
      <c r="T83" s="39"/>
      <c r="U83" s="39"/>
      <c r="V83" s="39"/>
      <c r="W83" s="39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1.25" customHeight="1" x14ac:dyDescent="0.2">
      <c r="A84" s="35" t="s">
        <v>53</v>
      </c>
      <c r="B84" s="35" t="s">
        <v>34</v>
      </c>
      <c r="C84" s="35" t="s">
        <v>56</v>
      </c>
      <c r="D84" s="35" t="s">
        <v>25</v>
      </c>
      <c r="E84" s="35" t="s">
        <v>25</v>
      </c>
      <c r="F84" s="35" t="s">
        <v>25</v>
      </c>
      <c r="G84" s="35" t="s">
        <v>61</v>
      </c>
      <c r="H84" s="35" t="s">
        <v>25</v>
      </c>
      <c r="I84" s="54">
        <v>44774</v>
      </c>
      <c r="J84" s="55">
        <f ca="1">EFEITO!$J$84*EFEITO!$Y$84</f>
        <v>21183.740150196558</v>
      </c>
      <c r="K84" s="55">
        <f>EFEITO!$L$84*EFEITO!$Z$84</f>
        <v>0</v>
      </c>
      <c r="L84" s="55">
        <f>EFEITO!$N$84*EFEITO!$AA$84</f>
        <v>0</v>
      </c>
      <c r="M84" s="55">
        <f ca="1">$J$84-EFEITO!$K$84*EFEITO!$Y$84</f>
        <v>10591.870075098279</v>
      </c>
      <c r="N84" s="55">
        <f>$K$84-EFEITO!$M$84*EFEITO!$Z$84</f>
        <v>0</v>
      </c>
      <c r="O84" s="55">
        <f>$L$84-EFEITO!$O$84*EFEITO!$AA$84</f>
        <v>0</v>
      </c>
      <c r="P84" s="39"/>
      <c r="Q84" s="39"/>
      <c r="R84" s="39"/>
      <c r="S84" s="39"/>
      <c r="T84" s="39"/>
      <c r="U84" s="39"/>
      <c r="V84" s="39"/>
      <c r="W84" s="39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1.25" customHeight="1" x14ac:dyDescent="0.2">
      <c r="A85" s="35" t="s">
        <v>53</v>
      </c>
      <c r="B85" s="35" t="s">
        <v>34</v>
      </c>
      <c r="C85" s="35" t="s">
        <v>56</v>
      </c>
      <c r="D85" s="35" t="s">
        <v>25</v>
      </c>
      <c r="E85" s="35" t="s">
        <v>25</v>
      </c>
      <c r="F85" s="35" t="s">
        <v>25</v>
      </c>
      <c r="G85" s="35" t="s">
        <v>62</v>
      </c>
      <c r="H85" s="35" t="s">
        <v>25</v>
      </c>
      <c r="I85" s="54">
        <v>44774</v>
      </c>
      <c r="J85" s="55">
        <f ca="1">EFEITO!$J$85*EFEITO!$Y$85</f>
        <v>3383.9840495521657</v>
      </c>
      <c r="K85" s="55">
        <f>EFEITO!$L$85*EFEITO!$Z$85</f>
        <v>0</v>
      </c>
      <c r="L85" s="55">
        <f>EFEITO!$N$85*EFEITO!$AA$85</f>
        <v>0</v>
      </c>
      <c r="M85" s="55">
        <f ca="1">$J$85-EFEITO!$K$85*EFEITO!$Y$85</f>
        <v>1691.9920247760829</v>
      </c>
      <c r="N85" s="55">
        <f>$K$85-EFEITO!$M$85*EFEITO!$Z$85</f>
        <v>0</v>
      </c>
      <c r="O85" s="55">
        <f>$L$85-EFEITO!$O$85*EFEITO!$AA$85</f>
        <v>0</v>
      </c>
      <c r="P85" s="39"/>
      <c r="Q85" s="39"/>
      <c r="R85" s="39"/>
      <c r="S85" s="39"/>
      <c r="T85" s="39"/>
      <c r="U85" s="39"/>
      <c r="V85" s="39"/>
      <c r="W85" s="39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1.25" customHeight="1" x14ac:dyDescent="0.2">
      <c r="A86" s="35" t="s">
        <v>21</v>
      </c>
      <c r="B86" s="35" t="s">
        <v>34</v>
      </c>
      <c r="C86" s="35" t="s">
        <v>38</v>
      </c>
      <c r="D86" s="35" t="s">
        <v>33</v>
      </c>
      <c r="E86" s="35" t="s">
        <v>25</v>
      </c>
      <c r="F86" s="35" t="s">
        <v>54</v>
      </c>
      <c r="G86" s="35" t="s">
        <v>25</v>
      </c>
      <c r="H86" s="35" t="s">
        <v>37</v>
      </c>
      <c r="I86" s="54">
        <v>44440</v>
      </c>
      <c r="J86" s="55">
        <f>EFEITO!$J$86*EFEITO!$Y$86</f>
        <v>0</v>
      </c>
      <c r="K86" s="55">
        <f ca="1">EFEITO!$L$86*EFEITO!$Z$86</f>
        <v>49583.296640170447</v>
      </c>
      <c r="L86" s="55">
        <f>EFEITO!$N$86*EFEITO!$AA$86</f>
        <v>0</v>
      </c>
      <c r="M86" s="55">
        <f>$J$86-EFEITO!$K$86*EFEITO!$Y$86</f>
        <v>0</v>
      </c>
      <c r="N86" s="55">
        <f ca="1">$K$86-EFEITO!$M$86*EFEITO!$Z$86</f>
        <v>49583.296640170447</v>
      </c>
      <c r="O86" s="55">
        <f>$L$86-EFEITO!$O$86*EFEITO!$AA$86</f>
        <v>0</v>
      </c>
      <c r="P86" s="39"/>
      <c r="Q86" s="39"/>
      <c r="R86" s="39"/>
      <c r="S86" s="39"/>
      <c r="T86" s="39"/>
      <c r="U86" s="39"/>
      <c r="V86" s="39"/>
      <c r="W86" s="39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1.25" customHeight="1" x14ac:dyDescent="0.2">
      <c r="A87" s="35" t="s">
        <v>21</v>
      </c>
      <c r="B87" s="35" t="s">
        <v>34</v>
      </c>
      <c r="C87" s="35" t="s">
        <v>38</v>
      </c>
      <c r="D87" s="35" t="s">
        <v>33</v>
      </c>
      <c r="E87" s="35" t="s">
        <v>25</v>
      </c>
      <c r="F87" s="35" t="s">
        <v>54</v>
      </c>
      <c r="G87" s="35" t="s">
        <v>25</v>
      </c>
      <c r="H87" s="35" t="s">
        <v>37</v>
      </c>
      <c r="I87" s="54">
        <v>44470</v>
      </c>
      <c r="J87" s="55">
        <f>EFEITO!$J$87*EFEITO!$Y$87</f>
        <v>0</v>
      </c>
      <c r="K87" s="55">
        <f ca="1">EFEITO!$L$87*EFEITO!$Z$87</f>
        <v>46675.341712993701</v>
      </c>
      <c r="L87" s="55">
        <f>EFEITO!$N$87*EFEITO!$AA$87</f>
        <v>0</v>
      </c>
      <c r="M87" s="55">
        <f>$J$87-EFEITO!$K$87*EFEITO!$Y$87</f>
        <v>0</v>
      </c>
      <c r="N87" s="55">
        <f ca="1">$K$87-EFEITO!$M$87*EFEITO!$Z$87</f>
        <v>46675.341712993701</v>
      </c>
      <c r="O87" s="55">
        <f>$L$87-EFEITO!$O$87*EFEITO!$AA$87</f>
        <v>0</v>
      </c>
      <c r="P87" s="39"/>
      <c r="Q87" s="39"/>
      <c r="R87" s="39"/>
      <c r="S87" s="39"/>
      <c r="T87" s="39"/>
      <c r="U87" s="39"/>
      <c r="V87" s="39"/>
      <c r="W87" s="39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1.25" customHeight="1" x14ac:dyDescent="0.2">
      <c r="A88" s="35" t="s">
        <v>21</v>
      </c>
      <c r="B88" s="35" t="s">
        <v>34</v>
      </c>
      <c r="C88" s="35" t="s">
        <v>38</v>
      </c>
      <c r="D88" s="35" t="s">
        <v>33</v>
      </c>
      <c r="E88" s="35" t="s">
        <v>25</v>
      </c>
      <c r="F88" s="35" t="s">
        <v>54</v>
      </c>
      <c r="G88" s="35" t="s">
        <v>25</v>
      </c>
      <c r="H88" s="35" t="s">
        <v>37</v>
      </c>
      <c r="I88" s="54">
        <v>44501</v>
      </c>
      <c r="J88" s="55">
        <f>EFEITO!$J$88*EFEITO!$Y$88</f>
        <v>0</v>
      </c>
      <c r="K88" s="55">
        <f ca="1">EFEITO!$L$88*EFEITO!$Z$88</f>
        <v>52384.199312794088</v>
      </c>
      <c r="L88" s="55">
        <f>EFEITO!$N$88*EFEITO!$AA$88</f>
        <v>0</v>
      </c>
      <c r="M88" s="55">
        <f>$J$88-EFEITO!$K$88*EFEITO!$Y$88</f>
        <v>0</v>
      </c>
      <c r="N88" s="55">
        <f ca="1">$K$88-EFEITO!$M$88*EFEITO!$Z$88</f>
        <v>52384.199312794088</v>
      </c>
      <c r="O88" s="55">
        <f>$L$88-EFEITO!$O$88*EFEITO!$AA$88</f>
        <v>0</v>
      </c>
      <c r="P88" s="39"/>
      <c r="Q88" s="39"/>
      <c r="R88" s="39"/>
      <c r="S88" s="39"/>
      <c r="T88" s="39"/>
      <c r="U88" s="39"/>
      <c r="V88" s="39"/>
      <c r="W88" s="39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1.25" customHeight="1" x14ac:dyDescent="0.2">
      <c r="A89" s="35" t="s">
        <v>21</v>
      </c>
      <c r="B89" s="35" t="s">
        <v>34</v>
      </c>
      <c r="C89" s="35" t="s">
        <v>38</v>
      </c>
      <c r="D89" s="35" t="s">
        <v>33</v>
      </c>
      <c r="E89" s="35" t="s">
        <v>25</v>
      </c>
      <c r="F89" s="35" t="s">
        <v>54</v>
      </c>
      <c r="G89" s="35" t="s">
        <v>25</v>
      </c>
      <c r="H89" s="35" t="s">
        <v>37</v>
      </c>
      <c r="I89" s="54">
        <v>44531</v>
      </c>
      <c r="J89" s="55">
        <f>EFEITO!$J$89*EFEITO!$Y$89</f>
        <v>0</v>
      </c>
      <c r="K89" s="55">
        <f ca="1">EFEITO!$L$89*EFEITO!$Z$89</f>
        <v>58926.455361923297</v>
      </c>
      <c r="L89" s="55">
        <f>EFEITO!$N$89*EFEITO!$AA$89</f>
        <v>0</v>
      </c>
      <c r="M89" s="55">
        <f>$J$89-EFEITO!$K$89*EFEITO!$Y$89</f>
        <v>0</v>
      </c>
      <c r="N89" s="55">
        <f ca="1">$K$89-EFEITO!$M$89*EFEITO!$Z$89</f>
        <v>58926.455361923297</v>
      </c>
      <c r="O89" s="55">
        <f>$L$89-EFEITO!$O$89*EFEITO!$AA$89</f>
        <v>0</v>
      </c>
      <c r="P89" s="39"/>
      <c r="Q89" s="39"/>
      <c r="R89" s="39"/>
      <c r="S89" s="39"/>
      <c r="T89" s="39"/>
      <c r="U89" s="39"/>
      <c r="V89" s="39"/>
      <c r="W89" s="39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1.25" customHeight="1" x14ac:dyDescent="0.2">
      <c r="A90" s="35" t="s">
        <v>21</v>
      </c>
      <c r="B90" s="35" t="s">
        <v>34</v>
      </c>
      <c r="C90" s="35" t="s">
        <v>38</v>
      </c>
      <c r="D90" s="35" t="s">
        <v>33</v>
      </c>
      <c r="E90" s="35" t="s">
        <v>25</v>
      </c>
      <c r="F90" s="35" t="s">
        <v>54</v>
      </c>
      <c r="G90" s="35" t="s">
        <v>25</v>
      </c>
      <c r="H90" s="35" t="s">
        <v>37</v>
      </c>
      <c r="I90" s="54">
        <v>44562</v>
      </c>
      <c r="J90" s="55">
        <f>EFEITO!$J$90*EFEITO!$Y$90</f>
        <v>0</v>
      </c>
      <c r="K90" s="55">
        <f ca="1">EFEITO!$L$90*EFEITO!$Z$90</f>
        <v>55836.8021404842</v>
      </c>
      <c r="L90" s="55">
        <f>EFEITO!$N$90*EFEITO!$AA$90</f>
        <v>0</v>
      </c>
      <c r="M90" s="55">
        <f>$J$90-EFEITO!$K$90*EFEITO!$Y$90</f>
        <v>0</v>
      </c>
      <c r="N90" s="55">
        <f ca="1">$K$90-EFEITO!$M$90*EFEITO!$Z$90</f>
        <v>55836.8021404842</v>
      </c>
      <c r="O90" s="55">
        <f>$L$90-EFEITO!$O$90*EFEITO!$AA$90</f>
        <v>0</v>
      </c>
      <c r="P90" s="39"/>
      <c r="Q90" s="39"/>
      <c r="R90" s="39"/>
      <c r="S90" s="39"/>
      <c r="T90" s="39"/>
      <c r="U90" s="39"/>
      <c r="V90" s="39"/>
      <c r="W90" s="39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1.25" customHeight="1" x14ac:dyDescent="0.2">
      <c r="A91" s="35" t="s">
        <v>21</v>
      </c>
      <c r="B91" s="35" t="s">
        <v>34</v>
      </c>
      <c r="C91" s="35" t="s">
        <v>38</v>
      </c>
      <c r="D91" s="35" t="s">
        <v>33</v>
      </c>
      <c r="E91" s="35" t="s">
        <v>25</v>
      </c>
      <c r="F91" s="35" t="s">
        <v>54</v>
      </c>
      <c r="G91" s="35" t="s">
        <v>25</v>
      </c>
      <c r="H91" s="35" t="s">
        <v>37</v>
      </c>
      <c r="I91" s="54">
        <v>44593</v>
      </c>
      <c r="J91" s="55">
        <f>EFEITO!$J$91*EFEITO!$Y$91</f>
        <v>0</v>
      </c>
      <c r="K91" s="55">
        <f ca="1">EFEITO!$L$91*EFEITO!$Z$91</f>
        <v>46800.943731905689</v>
      </c>
      <c r="L91" s="55">
        <f>EFEITO!$N$91*EFEITO!$AA$91</f>
        <v>0</v>
      </c>
      <c r="M91" s="55">
        <f>$J$91-EFEITO!$K$91*EFEITO!$Y$91</f>
        <v>0</v>
      </c>
      <c r="N91" s="55">
        <f ca="1">$K$91-EFEITO!$M$91*EFEITO!$Z$91</f>
        <v>46800.943731905689</v>
      </c>
      <c r="O91" s="55">
        <f>$L$91-EFEITO!$O$91*EFEITO!$AA$91</f>
        <v>0</v>
      </c>
      <c r="P91" s="39"/>
      <c r="Q91" s="39"/>
      <c r="R91" s="39"/>
      <c r="S91" s="39"/>
      <c r="T91" s="39"/>
      <c r="U91" s="39"/>
      <c r="V91" s="39"/>
      <c r="W91" s="39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1.25" customHeight="1" x14ac:dyDescent="0.2">
      <c r="A92" s="35" t="s">
        <v>21</v>
      </c>
      <c r="B92" s="35" t="s">
        <v>34</v>
      </c>
      <c r="C92" s="35" t="s">
        <v>38</v>
      </c>
      <c r="D92" s="35" t="s">
        <v>33</v>
      </c>
      <c r="E92" s="35" t="s">
        <v>25</v>
      </c>
      <c r="F92" s="35" t="s">
        <v>54</v>
      </c>
      <c r="G92" s="35" t="s">
        <v>25</v>
      </c>
      <c r="H92" s="35" t="s">
        <v>37</v>
      </c>
      <c r="I92" s="54">
        <v>44621</v>
      </c>
      <c r="J92" s="55">
        <f>EFEITO!$J$92*EFEITO!$Y$92</f>
        <v>0</v>
      </c>
      <c r="K92" s="55">
        <f ca="1">EFEITO!$L$92*EFEITO!$Z$92</f>
        <v>56041.63176741096</v>
      </c>
      <c r="L92" s="55">
        <f>EFEITO!$N$92*EFEITO!$AA$92</f>
        <v>0</v>
      </c>
      <c r="M92" s="55">
        <f>$J$92-EFEITO!$K$92*EFEITO!$Y$92</f>
        <v>0</v>
      </c>
      <c r="N92" s="55">
        <f ca="1">$K$92-EFEITO!$M$92*EFEITO!$Z$92</f>
        <v>56041.63176741096</v>
      </c>
      <c r="O92" s="55">
        <f>$L$92-EFEITO!$O$92*EFEITO!$AA$92</f>
        <v>0</v>
      </c>
      <c r="P92" s="39"/>
      <c r="Q92" s="39"/>
      <c r="R92" s="39"/>
      <c r="S92" s="39"/>
      <c r="T92" s="39"/>
      <c r="U92" s="39"/>
      <c r="V92" s="39"/>
      <c r="W92" s="39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1.25" customHeight="1" x14ac:dyDescent="0.2">
      <c r="A93" s="35" t="s">
        <v>21</v>
      </c>
      <c r="B93" s="35" t="s">
        <v>34</v>
      </c>
      <c r="C93" s="35" t="s">
        <v>38</v>
      </c>
      <c r="D93" s="35" t="s">
        <v>33</v>
      </c>
      <c r="E93" s="35" t="s">
        <v>25</v>
      </c>
      <c r="F93" s="35" t="s">
        <v>54</v>
      </c>
      <c r="G93" s="35" t="s">
        <v>25</v>
      </c>
      <c r="H93" s="35" t="s">
        <v>37</v>
      </c>
      <c r="I93" s="54">
        <v>44652</v>
      </c>
      <c r="J93" s="55">
        <f>EFEITO!$J$93*EFEITO!$Y$93</f>
        <v>0</v>
      </c>
      <c r="K93" s="55">
        <f ca="1">EFEITO!$L$93*EFEITO!$Z$93</f>
        <v>44291.473501739754</v>
      </c>
      <c r="L93" s="55">
        <f>EFEITO!$N$93*EFEITO!$AA$93</f>
        <v>0</v>
      </c>
      <c r="M93" s="55">
        <f>$J$93-EFEITO!$K$93*EFEITO!$Y$93</f>
        <v>0</v>
      </c>
      <c r="N93" s="55">
        <f ca="1">$K$93-EFEITO!$M$93*EFEITO!$Z$93</f>
        <v>44291.473501739754</v>
      </c>
      <c r="O93" s="55">
        <f>$L$93-EFEITO!$O$93*EFEITO!$AA$93</f>
        <v>0</v>
      </c>
      <c r="P93" s="39"/>
      <c r="Q93" s="39"/>
      <c r="R93" s="39"/>
      <c r="S93" s="39"/>
      <c r="T93" s="39"/>
      <c r="U93" s="39"/>
      <c r="V93" s="39"/>
      <c r="W93" s="39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1.25" customHeight="1" x14ac:dyDescent="0.2">
      <c r="A94" s="35" t="s">
        <v>21</v>
      </c>
      <c r="B94" s="35" t="s">
        <v>34</v>
      </c>
      <c r="C94" s="35" t="s">
        <v>38</v>
      </c>
      <c r="D94" s="35" t="s">
        <v>33</v>
      </c>
      <c r="E94" s="35" t="s">
        <v>25</v>
      </c>
      <c r="F94" s="35" t="s">
        <v>54</v>
      </c>
      <c r="G94" s="35" t="s">
        <v>25</v>
      </c>
      <c r="H94" s="35" t="s">
        <v>37</v>
      </c>
      <c r="I94" s="54">
        <v>44682</v>
      </c>
      <c r="J94" s="55">
        <f>EFEITO!$J$94*EFEITO!$Y$94</f>
        <v>0</v>
      </c>
      <c r="K94" s="55">
        <f ca="1">EFEITO!$L$94*EFEITO!$Z$94</f>
        <v>42612.161099418263</v>
      </c>
      <c r="L94" s="55">
        <f>EFEITO!$N$94*EFEITO!$AA$94</f>
        <v>0</v>
      </c>
      <c r="M94" s="55">
        <f>$J$94-EFEITO!$K$94*EFEITO!$Y$94</f>
        <v>0</v>
      </c>
      <c r="N94" s="55">
        <f ca="1">$K$94-EFEITO!$M$94*EFEITO!$Z$94</f>
        <v>42612.161099418263</v>
      </c>
      <c r="O94" s="55">
        <f>$L$94-EFEITO!$O$94*EFEITO!$AA$94</f>
        <v>0</v>
      </c>
      <c r="P94" s="39"/>
      <c r="Q94" s="39"/>
      <c r="R94" s="39"/>
      <c r="S94" s="39"/>
      <c r="T94" s="39"/>
      <c r="U94" s="39"/>
      <c r="V94" s="39"/>
      <c r="W94" s="39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1.25" customHeight="1" x14ac:dyDescent="0.2">
      <c r="A95" s="35" t="s">
        <v>21</v>
      </c>
      <c r="B95" s="35" t="s">
        <v>34</v>
      </c>
      <c r="C95" s="35" t="s">
        <v>38</v>
      </c>
      <c r="D95" s="35" t="s">
        <v>33</v>
      </c>
      <c r="E95" s="35" t="s">
        <v>25</v>
      </c>
      <c r="F95" s="35" t="s">
        <v>54</v>
      </c>
      <c r="G95" s="35" t="s">
        <v>25</v>
      </c>
      <c r="H95" s="35" t="s">
        <v>37</v>
      </c>
      <c r="I95" s="54">
        <v>44713</v>
      </c>
      <c r="J95" s="55">
        <f>EFEITO!$J$95*EFEITO!$Y$95</f>
        <v>0</v>
      </c>
      <c r="K95" s="55">
        <f ca="1">EFEITO!$L$95*EFEITO!$Z$95</f>
        <v>39446.073909175073</v>
      </c>
      <c r="L95" s="55">
        <f>EFEITO!$N$95*EFEITO!$AA$95</f>
        <v>0</v>
      </c>
      <c r="M95" s="55">
        <f>$J$95-EFEITO!$K$95*EFEITO!$Y$95</f>
        <v>0</v>
      </c>
      <c r="N95" s="55">
        <f ca="1">$K$95-EFEITO!$M$95*EFEITO!$Z$95</f>
        <v>39446.073909175073</v>
      </c>
      <c r="O95" s="55">
        <f>$L$95-EFEITO!$O$95*EFEITO!$AA$95</f>
        <v>0</v>
      </c>
      <c r="P95" s="39"/>
      <c r="Q95" s="39"/>
      <c r="R95" s="39"/>
      <c r="S95" s="39"/>
      <c r="T95" s="39"/>
      <c r="U95" s="39"/>
      <c r="V95" s="39"/>
      <c r="W95" s="39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1.25" customHeight="1" x14ac:dyDescent="0.2">
      <c r="A96" s="35" t="s">
        <v>21</v>
      </c>
      <c r="B96" s="35" t="s">
        <v>34</v>
      </c>
      <c r="C96" s="35" t="s">
        <v>38</v>
      </c>
      <c r="D96" s="35" t="s">
        <v>33</v>
      </c>
      <c r="E96" s="35" t="s">
        <v>25</v>
      </c>
      <c r="F96" s="35" t="s">
        <v>54</v>
      </c>
      <c r="G96" s="35" t="s">
        <v>25</v>
      </c>
      <c r="H96" s="35" t="s">
        <v>37</v>
      </c>
      <c r="I96" s="54">
        <v>44743</v>
      </c>
      <c r="J96" s="55">
        <f>EFEITO!$J$96*EFEITO!$Y$96</f>
        <v>0</v>
      </c>
      <c r="K96" s="55">
        <f ca="1">EFEITO!$L$96*EFEITO!$Z$96</f>
        <v>55309.474803077021</v>
      </c>
      <c r="L96" s="55">
        <f>EFEITO!$N$96*EFEITO!$AA$96</f>
        <v>0</v>
      </c>
      <c r="M96" s="55">
        <f>$J$96-EFEITO!$K$96*EFEITO!$Y$96</f>
        <v>0</v>
      </c>
      <c r="N96" s="55">
        <f ca="1">$K$96-EFEITO!$M$96*EFEITO!$Z$96</f>
        <v>55309.474803077021</v>
      </c>
      <c r="O96" s="55">
        <f>$L$96-EFEITO!$O$96*EFEITO!$AA$96</f>
        <v>0</v>
      </c>
      <c r="P96" s="39"/>
      <c r="Q96" s="39"/>
      <c r="R96" s="39"/>
      <c r="S96" s="39"/>
      <c r="T96" s="39"/>
      <c r="U96" s="39"/>
      <c r="V96" s="39"/>
      <c r="W96" s="39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1.25" customHeight="1" x14ac:dyDescent="0.2">
      <c r="A97" s="35" t="s">
        <v>53</v>
      </c>
      <c r="B97" s="35" t="s">
        <v>34</v>
      </c>
      <c r="C97" s="35" t="s">
        <v>38</v>
      </c>
      <c r="D97" s="35" t="s">
        <v>33</v>
      </c>
      <c r="E97" s="35" t="s">
        <v>25</v>
      </c>
      <c r="F97" s="35" t="s">
        <v>54</v>
      </c>
      <c r="G97" s="35" t="s">
        <v>25</v>
      </c>
      <c r="H97" s="35" t="s">
        <v>37</v>
      </c>
      <c r="I97" s="54">
        <v>44774</v>
      </c>
      <c r="J97" s="55">
        <f>EFEITO!$J$97*EFEITO!$Y$97</f>
        <v>0</v>
      </c>
      <c r="K97" s="55">
        <f ca="1">EFEITO!$L$97*EFEITO!$Z$97</f>
        <v>55309.474803077021</v>
      </c>
      <c r="L97" s="55">
        <f>EFEITO!$N$97*EFEITO!$AA$97</f>
        <v>0</v>
      </c>
      <c r="M97" s="55">
        <f>$J$97-EFEITO!$K$97*EFEITO!$Y$97</f>
        <v>0</v>
      </c>
      <c r="N97" s="55">
        <f ca="1">$K$97-EFEITO!$M$97*EFEITO!$Z$97</f>
        <v>55309.474803077021</v>
      </c>
      <c r="O97" s="55">
        <f>$L$97-EFEITO!$O$97*EFEITO!$AA$97</f>
        <v>0</v>
      </c>
      <c r="P97" s="39"/>
      <c r="Q97" s="39"/>
      <c r="R97" s="39"/>
      <c r="S97" s="39"/>
      <c r="T97" s="39"/>
      <c r="U97" s="39"/>
      <c r="V97" s="39"/>
      <c r="W97" s="39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1.25" customHeight="1" x14ac:dyDescent="0.2">
      <c r="A98" s="35" t="s">
        <v>21</v>
      </c>
      <c r="B98" s="35" t="s">
        <v>34</v>
      </c>
      <c r="C98" s="35" t="s">
        <v>38</v>
      </c>
      <c r="D98" s="35" t="s">
        <v>33</v>
      </c>
      <c r="E98" s="35" t="s">
        <v>25</v>
      </c>
      <c r="F98" s="35" t="s">
        <v>54</v>
      </c>
      <c r="G98" s="35" t="s">
        <v>25</v>
      </c>
      <c r="H98" s="35" t="s">
        <v>25</v>
      </c>
      <c r="I98" s="54">
        <v>44440</v>
      </c>
      <c r="J98" s="55">
        <f ca="1">EFEITO!$J$98*EFEITO!$Y$98</f>
        <v>33600.104460186521</v>
      </c>
      <c r="K98" s="55">
        <f>EFEITO!$L$98*EFEITO!$Z$98</f>
        <v>0</v>
      </c>
      <c r="L98" s="55">
        <f>EFEITO!$N$98*EFEITO!$AA$98</f>
        <v>0</v>
      </c>
      <c r="M98" s="55">
        <f ca="1">$J$98-EFEITO!$K$98*EFEITO!$Y$98</f>
        <v>26163.216603463978</v>
      </c>
      <c r="N98" s="55">
        <f>$K$98-EFEITO!$M$98*EFEITO!$Z$98</f>
        <v>0</v>
      </c>
      <c r="O98" s="55">
        <f>$L$98-EFEITO!$O$98*EFEITO!$AA$98</f>
        <v>0</v>
      </c>
      <c r="P98" s="39"/>
      <c r="Q98" s="39"/>
      <c r="R98" s="39"/>
      <c r="S98" s="39"/>
      <c r="T98" s="39"/>
      <c r="U98" s="39"/>
      <c r="V98" s="39"/>
      <c r="W98" s="39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1.25" customHeight="1" x14ac:dyDescent="0.2">
      <c r="A99" s="35" t="s">
        <v>21</v>
      </c>
      <c r="B99" s="35" t="s">
        <v>34</v>
      </c>
      <c r="C99" s="35" t="s">
        <v>38</v>
      </c>
      <c r="D99" s="35" t="s">
        <v>33</v>
      </c>
      <c r="E99" s="35" t="s">
        <v>25</v>
      </c>
      <c r="F99" s="35" t="s">
        <v>54</v>
      </c>
      <c r="G99" s="35" t="s">
        <v>25</v>
      </c>
      <c r="H99" s="35" t="s">
        <v>25</v>
      </c>
      <c r="I99" s="54">
        <v>44470</v>
      </c>
      <c r="J99" s="55">
        <f ca="1">EFEITO!$J$99*EFEITO!$Y$99</f>
        <v>33925.416674877124</v>
      </c>
      <c r="K99" s="55">
        <f>EFEITO!$L$99*EFEITO!$Z$99</f>
        <v>0</v>
      </c>
      <c r="L99" s="55">
        <f>EFEITO!$N$99*EFEITO!$AA$99</f>
        <v>0</v>
      </c>
      <c r="M99" s="55">
        <f ca="1">$J$99-EFEITO!$K$99*EFEITO!$Y$99</f>
        <v>26263.820329743736</v>
      </c>
      <c r="N99" s="55">
        <f>$K$99-EFEITO!$M$99*EFEITO!$Z$99</f>
        <v>0</v>
      </c>
      <c r="O99" s="55">
        <f>$L$99-EFEITO!$O$99*EFEITO!$AA$99</f>
        <v>0</v>
      </c>
      <c r="P99" s="39"/>
      <c r="Q99" s="39"/>
      <c r="R99" s="39"/>
      <c r="S99" s="39"/>
      <c r="T99" s="39"/>
      <c r="U99" s="39"/>
      <c r="V99" s="39"/>
      <c r="W99" s="39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1.25" customHeight="1" x14ac:dyDescent="0.2">
      <c r="A100" s="35" t="s">
        <v>21</v>
      </c>
      <c r="B100" s="35" t="s">
        <v>34</v>
      </c>
      <c r="C100" s="35" t="s">
        <v>38</v>
      </c>
      <c r="D100" s="35" t="s">
        <v>33</v>
      </c>
      <c r="E100" s="35" t="s">
        <v>25</v>
      </c>
      <c r="F100" s="35" t="s">
        <v>54</v>
      </c>
      <c r="G100" s="35" t="s">
        <v>25</v>
      </c>
      <c r="H100" s="35" t="s">
        <v>25</v>
      </c>
      <c r="I100" s="54">
        <v>44501</v>
      </c>
      <c r="J100" s="55">
        <f ca="1">EFEITO!$J$100*EFEITO!$Y$100</f>
        <v>38595.970614363629</v>
      </c>
      <c r="K100" s="55">
        <f>EFEITO!$L$100*EFEITO!$Z$100</f>
        <v>0</v>
      </c>
      <c r="L100" s="55">
        <f>EFEITO!$N$100*EFEITO!$AA$100</f>
        <v>0</v>
      </c>
      <c r="M100" s="55">
        <f ca="1">$J$100-EFEITO!$K$100*EFEITO!$Y$100</f>
        <v>29338.01882644774</v>
      </c>
      <c r="N100" s="55">
        <f>$K$100-EFEITO!$M$100*EFEITO!$Z$100</f>
        <v>0</v>
      </c>
      <c r="O100" s="55">
        <f>$L$100-EFEITO!$O$100*EFEITO!$AA$100</f>
        <v>0</v>
      </c>
      <c r="P100" s="39"/>
      <c r="Q100" s="39"/>
      <c r="R100" s="39"/>
      <c r="S100" s="39"/>
      <c r="T100" s="39"/>
      <c r="U100" s="39"/>
      <c r="V100" s="39"/>
      <c r="W100" s="39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1.25" customHeight="1" x14ac:dyDescent="0.2">
      <c r="A101" s="35" t="s">
        <v>21</v>
      </c>
      <c r="B101" s="35" t="s">
        <v>34</v>
      </c>
      <c r="C101" s="35" t="s">
        <v>38</v>
      </c>
      <c r="D101" s="35" t="s">
        <v>33</v>
      </c>
      <c r="E101" s="35" t="s">
        <v>25</v>
      </c>
      <c r="F101" s="35" t="s">
        <v>54</v>
      </c>
      <c r="G101" s="35" t="s">
        <v>25</v>
      </c>
      <c r="H101" s="35" t="s">
        <v>25</v>
      </c>
      <c r="I101" s="54">
        <v>44531</v>
      </c>
      <c r="J101" s="55">
        <f ca="1">EFEITO!$J$101*EFEITO!$Y$101</f>
        <v>40176.058514289412</v>
      </c>
      <c r="K101" s="55">
        <f>EFEITO!$L$101*EFEITO!$Z$101</f>
        <v>0</v>
      </c>
      <c r="L101" s="55">
        <f>EFEITO!$N$101*EFEITO!$AA$101</f>
        <v>0</v>
      </c>
      <c r="M101" s="55">
        <f ca="1">$J$101-EFEITO!$K$101*EFEITO!$Y$101</f>
        <v>30474.429479263439</v>
      </c>
      <c r="N101" s="55">
        <f>$K$101-EFEITO!$M$101*EFEITO!$Z$101</f>
        <v>0</v>
      </c>
      <c r="O101" s="55">
        <f>$L$101-EFEITO!$O$101*EFEITO!$AA$101</f>
        <v>0</v>
      </c>
      <c r="P101" s="39"/>
      <c r="Q101" s="39"/>
      <c r="R101" s="39"/>
      <c r="S101" s="39"/>
      <c r="T101" s="39"/>
      <c r="U101" s="39"/>
      <c r="V101" s="39"/>
      <c r="W101" s="39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1.25" customHeight="1" x14ac:dyDescent="0.2">
      <c r="A102" s="35" t="s">
        <v>21</v>
      </c>
      <c r="B102" s="35" t="s">
        <v>34</v>
      </c>
      <c r="C102" s="35" t="s">
        <v>38</v>
      </c>
      <c r="D102" s="35" t="s">
        <v>33</v>
      </c>
      <c r="E102" s="35" t="s">
        <v>25</v>
      </c>
      <c r="F102" s="35" t="s">
        <v>54</v>
      </c>
      <c r="G102" s="35" t="s">
        <v>25</v>
      </c>
      <c r="H102" s="35" t="s">
        <v>25</v>
      </c>
      <c r="I102" s="54">
        <v>44562</v>
      </c>
      <c r="J102" s="55">
        <f ca="1">EFEITO!$J$102*EFEITO!$Y$102</f>
        <v>39688.090192253512</v>
      </c>
      <c r="K102" s="55">
        <f>EFEITO!$L$102*EFEITO!$Z$102</f>
        <v>0</v>
      </c>
      <c r="L102" s="55">
        <f>EFEITO!$N$102*EFEITO!$AA$102</f>
        <v>0</v>
      </c>
      <c r="M102" s="55">
        <f ca="1">$J$102-EFEITO!$K$102*EFEITO!$Y$102</f>
        <v>10551.843567108604</v>
      </c>
      <c r="N102" s="55">
        <f>$K$102-EFEITO!$M$102*EFEITO!$Z$102</f>
        <v>0</v>
      </c>
      <c r="O102" s="55">
        <f>$L$102-EFEITO!$O$102*EFEITO!$AA$102</f>
        <v>0</v>
      </c>
      <c r="P102" s="39"/>
      <c r="Q102" s="39"/>
      <c r="R102" s="39"/>
      <c r="S102" s="39"/>
      <c r="T102" s="39"/>
      <c r="U102" s="39"/>
      <c r="V102" s="39"/>
      <c r="W102" s="39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1.25" customHeight="1" x14ac:dyDescent="0.2">
      <c r="A103" s="35" t="s">
        <v>21</v>
      </c>
      <c r="B103" s="35" t="s">
        <v>34</v>
      </c>
      <c r="C103" s="35" t="s">
        <v>38</v>
      </c>
      <c r="D103" s="35" t="s">
        <v>33</v>
      </c>
      <c r="E103" s="35" t="s">
        <v>25</v>
      </c>
      <c r="F103" s="35" t="s">
        <v>54</v>
      </c>
      <c r="G103" s="35" t="s">
        <v>25</v>
      </c>
      <c r="H103" s="35" t="s">
        <v>25</v>
      </c>
      <c r="I103" s="54">
        <v>44593</v>
      </c>
      <c r="J103" s="55">
        <f ca="1">EFEITO!$J$103*EFEITO!$Y$103</f>
        <v>40245.768274580259</v>
      </c>
      <c r="K103" s="55">
        <f>EFEITO!$L$103*EFEITO!$Z$103</f>
        <v>0</v>
      </c>
      <c r="L103" s="55">
        <f>EFEITO!$N$103*EFEITO!$AA$103</f>
        <v>0</v>
      </c>
      <c r="M103" s="55">
        <f ca="1">$J$103-EFEITO!$K$103*EFEITO!$Y$103</f>
        <v>0</v>
      </c>
      <c r="N103" s="55">
        <f>$K$103-EFEITO!$M$103*EFEITO!$Z$103</f>
        <v>0</v>
      </c>
      <c r="O103" s="55">
        <f>$L$103-EFEITO!$O$103*EFEITO!$AA$103</f>
        <v>0</v>
      </c>
      <c r="P103" s="39"/>
      <c r="Q103" s="39"/>
      <c r="R103" s="39"/>
      <c r="S103" s="39"/>
      <c r="T103" s="39"/>
      <c r="U103" s="39"/>
      <c r="V103" s="39"/>
      <c r="W103" s="39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1.25" customHeight="1" x14ac:dyDescent="0.2">
      <c r="A104" s="35" t="s">
        <v>21</v>
      </c>
      <c r="B104" s="35" t="s">
        <v>34</v>
      </c>
      <c r="C104" s="35" t="s">
        <v>38</v>
      </c>
      <c r="D104" s="35" t="s">
        <v>33</v>
      </c>
      <c r="E104" s="35" t="s">
        <v>25</v>
      </c>
      <c r="F104" s="35" t="s">
        <v>54</v>
      </c>
      <c r="G104" s="35" t="s">
        <v>25</v>
      </c>
      <c r="H104" s="35" t="s">
        <v>25</v>
      </c>
      <c r="I104" s="54">
        <v>44621</v>
      </c>
      <c r="J104" s="55">
        <f ca="1">EFEITO!$J$104*EFEITO!$Y$104</f>
        <v>40245.768274580259</v>
      </c>
      <c r="K104" s="55">
        <f>EFEITO!$L$104*EFEITO!$Z$104</f>
        <v>0</v>
      </c>
      <c r="L104" s="55">
        <f>EFEITO!$N$104*EFEITO!$AA$104</f>
        <v>0</v>
      </c>
      <c r="M104" s="55">
        <f ca="1">$J$104-EFEITO!$K$104*EFEITO!$Y$104</f>
        <v>9298.050677028441</v>
      </c>
      <c r="N104" s="55">
        <f>$K$104-EFEITO!$M$104*EFEITO!$Z$104</f>
        <v>0</v>
      </c>
      <c r="O104" s="55">
        <f>$L$104-EFEITO!$O$104*EFEITO!$AA$104</f>
        <v>0</v>
      </c>
      <c r="P104" s="39"/>
      <c r="Q104" s="39"/>
      <c r="R104" s="39"/>
      <c r="S104" s="39"/>
      <c r="T104" s="39"/>
      <c r="U104" s="39"/>
      <c r="V104" s="39"/>
      <c r="W104" s="39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1.25" customHeight="1" x14ac:dyDescent="0.2">
      <c r="A105" s="35" t="s">
        <v>21</v>
      </c>
      <c r="B105" s="35" t="s">
        <v>34</v>
      </c>
      <c r="C105" s="35" t="s">
        <v>38</v>
      </c>
      <c r="D105" s="35" t="s">
        <v>33</v>
      </c>
      <c r="E105" s="35" t="s">
        <v>25</v>
      </c>
      <c r="F105" s="35" t="s">
        <v>54</v>
      </c>
      <c r="G105" s="35" t="s">
        <v>25</v>
      </c>
      <c r="H105" s="35" t="s">
        <v>25</v>
      </c>
      <c r="I105" s="54">
        <v>44652</v>
      </c>
      <c r="J105" s="55">
        <f ca="1">EFEITO!$J$105*EFEITO!$Y$105</f>
        <v>39386.014564326528</v>
      </c>
      <c r="K105" s="55">
        <f>EFEITO!$L$105*EFEITO!$Z$105</f>
        <v>0</v>
      </c>
      <c r="L105" s="55">
        <f>EFEITO!$N$105*EFEITO!$AA$105</f>
        <v>0</v>
      </c>
      <c r="M105" s="55">
        <f ca="1">$J$105-EFEITO!$K$105*EFEITO!$Y$105</f>
        <v>45729.853761698134</v>
      </c>
      <c r="N105" s="55">
        <f>$K$105-EFEITO!$M$105*EFEITO!$Z$105</f>
        <v>0</v>
      </c>
      <c r="O105" s="55">
        <f>$L$105-EFEITO!$O$105*EFEITO!$AA$105</f>
        <v>0</v>
      </c>
      <c r="P105" s="39"/>
      <c r="Q105" s="39"/>
      <c r="R105" s="39"/>
      <c r="S105" s="39"/>
      <c r="T105" s="39"/>
      <c r="U105" s="39"/>
      <c r="V105" s="39"/>
      <c r="W105" s="39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1.25" customHeight="1" x14ac:dyDescent="0.2">
      <c r="A106" s="35" t="s">
        <v>21</v>
      </c>
      <c r="B106" s="35" t="s">
        <v>34</v>
      </c>
      <c r="C106" s="35" t="s">
        <v>38</v>
      </c>
      <c r="D106" s="35" t="s">
        <v>33</v>
      </c>
      <c r="E106" s="35" t="s">
        <v>25</v>
      </c>
      <c r="F106" s="35" t="s">
        <v>54</v>
      </c>
      <c r="G106" s="35" t="s">
        <v>25</v>
      </c>
      <c r="H106" s="35" t="s">
        <v>25</v>
      </c>
      <c r="I106" s="54">
        <v>44682</v>
      </c>
      <c r="J106" s="55">
        <f ca="1">EFEITO!$J$106*EFEITO!$Y$106</f>
        <v>39386.014564326528</v>
      </c>
      <c r="K106" s="55">
        <f>EFEITO!$L$106*EFEITO!$Z$106</f>
        <v>0</v>
      </c>
      <c r="L106" s="55">
        <f>EFEITO!$N$106*EFEITO!$AA$106</f>
        <v>0</v>
      </c>
      <c r="M106" s="55">
        <f ca="1">$J$106-EFEITO!$K$106*EFEITO!$Y$106</f>
        <v>19676.979143536311</v>
      </c>
      <c r="N106" s="55">
        <f>$K$106-EFEITO!$M$106*EFEITO!$Z$106</f>
        <v>0</v>
      </c>
      <c r="O106" s="55">
        <f>$L$106-EFEITO!$O$106*EFEITO!$AA$106</f>
        <v>0</v>
      </c>
      <c r="P106" s="39"/>
      <c r="Q106" s="39"/>
      <c r="R106" s="39"/>
      <c r="S106" s="39"/>
      <c r="T106" s="39"/>
      <c r="U106" s="39"/>
      <c r="V106" s="39"/>
      <c r="W106" s="39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1.25" customHeight="1" x14ac:dyDescent="0.2">
      <c r="A107" s="35" t="s">
        <v>21</v>
      </c>
      <c r="B107" s="35" t="s">
        <v>34</v>
      </c>
      <c r="C107" s="35" t="s">
        <v>38</v>
      </c>
      <c r="D107" s="35" t="s">
        <v>33</v>
      </c>
      <c r="E107" s="35" t="s">
        <v>25</v>
      </c>
      <c r="F107" s="35" t="s">
        <v>54</v>
      </c>
      <c r="G107" s="35" t="s">
        <v>25</v>
      </c>
      <c r="H107" s="35" t="s">
        <v>25</v>
      </c>
      <c r="I107" s="54">
        <v>44713</v>
      </c>
      <c r="J107" s="55">
        <f ca="1">EFEITO!$J$107*EFEITO!$Y$107</f>
        <v>39386.014564326528</v>
      </c>
      <c r="K107" s="55">
        <f>EFEITO!$L$107*EFEITO!$Z$107</f>
        <v>0</v>
      </c>
      <c r="L107" s="55">
        <f>EFEITO!$N$107*EFEITO!$AA$107</f>
        <v>0</v>
      </c>
      <c r="M107" s="55">
        <f ca="1">$J$107-EFEITO!$K$107*EFEITO!$Y$107</f>
        <v>19643.198152704634</v>
      </c>
      <c r="N107" s="55">
        <f>$K$107-EFEITO!$M$107*EFEITO!$Z$107</f>
        <v>0</v>
      </c>
      <c r="O107" s="55">
        <f>$L$107-EFEITO!$O$107*EFEITO!$AA$107</f>
        <v>0</v>
      </c>
      <c r="P107" s="39"/>
      <c r="Q107" s="39"/>
      <c r="R107" s="39"/>
      <c r="S107" s="39"/>
      <c r="T107" s="39"/>
      <c r="U107" s="39"/>
      <c r="V107" s="39"/>
      <c r="W107" s="39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1.25" customHeight="1" x14ac:dyDescent="0.2">
      <c r="A108" s="35" t="s">
        <v>21</v>
      </c>
      <c r="B108" s="35" t="s">
        <v>34</v>
      </c>
      <c r="C108" s="35" t="s">
        <v>38</v>
      </c>
      <c r="D108" s="35" t="s">
        <v>33</v>
      </c>
      <c r="E108" s="35" t="s">
        <v>25</v>
      </c>
      <c r="F108" s="35" t="s">
        <v>54</v>
      </c>
      <c r="G108" s="35" t="s">
        <v>25</v>
      </c>
      <c r="H108" s="35" t="s">
        <v>25</v>
      </c>
      <c r="I108" s="54">
        <v>44743</v>
      </c>
      <c r="J108" s="55">
        <f ca="1">EFEITO!$J$108*EFEITO!$Y$108</f>
        <v>51004.307946133762</v>
      </c>
      <c r="K108" s="55">
        <f>EFEITO!$L$108*EFEITO!$Z$108</f>
        <v>0</v>
      </c>
      <c r="L108" s="55">
        <f>EFEITO!$N$108*EFEITO!$AA$108</f>
        <v>0</v>
      </c>
      <c r="M108" s="55">
        <f ca="1">$J$108-EFEITO!$K$108*EFEITO!$Y$108</f>
        <v>25502.336568489329</v>
      </c>
      <c r="N108" s="55">
        <f>$K$108-EFEITO!$M$108*EFEITO!$Z$108</f>
        <v>0</v>
      </c>
      <c r="O108" s="55">
        <f>$L$108-EFEITO!$O$108*EFEITO!$AA$108</f>
        <v>0</v>
      </c>
      <c r="P108" s="39"/>
      <c r="Q108" s="39"/>
      <c r="R108" s="39"/>
      <c r="S108" s="39"/>
      <c r="T108" s="39"/>
      <c r="U108" s="39"/>
      <c r="V108" s="39"/>
      <c r="W108" s="39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1.25" customHeight="1" x14ac:dyDescent="0.2">
      <c r="A109" s="35" t="s">
        <v>53</v>
      </c>
      <c r="B109" s="35" t="s">
        <v>34</v>
      </c>
      <c r="C109" s="35" t="s">
        <v>38</v>
      </c>
      <c r="D109" s="35" t="s">
        <v>33</v>
      </c>
      <c r="E109" s="35" t="s">
        <v>25</v>
      </c>
      <c r="F109" s="35" t="s">
        <v>54</v>
      </c>
      <c r="G109" s="35" t="s">
        <v>25</v>
      </c>
      <c r="H109" s="35" t="s">
        <v>25</v>
      </c>
      <c r="I109" s="54">
        <v>44774</v>
      </c>
      <c r="J109" s="55">
        <f ca="1">EFEITO!$J$109*EFEITO!$Y$109</f>
        <v>51004.307946133762</v>
      </c>
      <c r="K109" s="55">
        <f>EFEITO!$L$109*EFEITO!$Z$109</f>
        <v>0</v>
      </c>
      <c r="L109" s="55">
        <f>EFEITO!$N$109*EFEITO!$AA$109</f>
        <v>0</v>
      </c>
      <c r="M109" s="55">
        <f ca="1">$J$109-EFEITO!$K$109*EFEITO!$Y$109</f>
        <v>25502.336568489329</v>
      </c>
      <c r="N109" s="55">
        <f>$K$109-EFEITO!$M$109*EFEITO!$Z$109</f>
        <v>0</v>
      </c>
      <c r="O109" s="55">
        <f>$L$109-EFEITO!$O$109*EFEITO!$AA$109</f>
        <v>0</v>
      </c>
      <c r="P109" s="39"/>
      <c r="Q109" s="39"/>
      <c r="R109" s="39"/>
      <c r="S109" s="39"/>
      <c r="T109" s="39"/>
      <c r="U109" s="39"/>
      <c r="V109" s="39"/>
      <c r="W109" s="39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1.25" customHeight="1" x14ac:dyDescent="0.2">
      <c r="A110" s="35" t="s">
        <v>21</v>
      </c>
      <c r="B110" s="35" t="s">
        <v>34</v>
      </c>
      <c r="C110" s="35" t="s">
        <v>38</v>
      </c>
      <c r="D110" s="35" t="s">
        <v>33</v>
      </c>
      <c r="E110" s="35" t="s">
        <v>25</v>
      </c>
      <c r="F110" s="35" t="s">
        <v>54</v>
      </c>
      <c r="G110" s="35" t="s">
        <v>25</v>
      </c>
      <c r="H110" s="35" t="s">
        <v>36</v>
      </c>
      <c r="I110" s="54">
        <v>44440</v>
      </c>
      <c r="J110" s="55">
        <f>EFEITO!$J$110*EFEITO!$Y$110</f>
        <v>0</v>
      </c>
      <c r="K110" s="55">
        <f ca="1">EFEITO!$L$110*EFEITO!$Z$110</f>
        <v>61757.916121551018</v>
      </c>
      <c r="L110" s="55">
        <f>EFEITO!$N$110*EFEITO!$AA$110</f>
        <v>0</v>
      </c>
      <c r="M110" s="55">
        <f>$J$110-EFEITO!$K$110*EFEITO!$Y$110</f>
        <v>0</v>
      </c>
      <c r="N110" s="55">
        <f ca="1">$K$110-EFEITO!$M$110*EFEITO!$Z$110</f>
        <v>43759.934465133774</v>
      </c>
      <c r="O110" s="55">
        <f>$L$110-EFEITO!$O$110*EFEITO!$AA$110</f>
        <v>0</v>
      </c>
      <c r="P110" s="39"/>
      <c r="Q110" s="39"/>
      <c r="R110" s="39"/>
      <c r="S110" s="39"/>
      <c r="T110" s="39"/>
      <c r="U110" s="39"/>
      <c r="V110" s="39"/>
      <c r="W110" s="39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1.25" customHeight="1" x14ac:dyDescent="0.2">
      <c r="A111" s="35" t="s">
        <v>21</v>
      </c>
      <c r="B111" s="35" t="s">
        <v>34</v>
      </c>
      <c r="C111" s="35" t="s">
        <v>38</v>
      </c>
      <c r="D111" s="35" t="s">
        <v>33</v>
      </c>
      <c r="E111" s="35" t="s">
        <v>25</v>
      </c>
      <c r="F111" s="35" t="s">
        <v>54</v>
      </c>
      <c r="G111" s="35" t="s">
        <v>25</v>
      </c>
      <c r="H111" s="35" t="s">
        <v>36</v>
      </c>
      <c r="I111" s="54">
        <v>44470</v>
      </c>
      <c r="J111" s="55">
        <f>EFEITO!$J$111*EFEITO!$Y$111</f>
        <v>0</v>
      </c>
      <c r="K111" s="55">
        <f ca="1">EFEITO!$L$111*EFEITO!$Z$111</f>
        <v>64525.791695979351</v>
      </c>
      <c r="L111" s="55">
        <f>EFEITO!$N$111*EFEITO!$AA$111</f>
        <v>0</v>
      </c>
      <c r="M111" s="55">
        <f>$J$111-EFEITO!$K$111*EFEITO!$Y$111</f>
        <v>0</v>
      </c>
      <c r="N111" s="55">
        <f ca="1">$K$111-EFEITO!$M$111*EFEITO!$Z$111</f>
        <v>46684.46836525359</v>
      </c>
      <c r="O111" s="55">
        <f>$L$111-EFEITO!$O$111*EFEITO!$AA$111</f>
        <v>0</v>
      </c>
      <c r="P111" s="39"/>
      <c r="Q111" s="39"/>
      <c r="R111" s="39"/>
      <c r="S111" s="39"/>
      <c r="T111" s="39"/>
      <c r="U111" s="39"/>
      <c r="V111" s="39"/>
      <c r="W111" s="39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1.25" customHeight="1" x14ac:dyDescent="0.2">
      <c r="A112" s="35" t="s">
        <v>21</v>
      </c>
      <c r="B112" s="35" t="s">
        <v>34</v>
      </c>
      <c r="C112" s="35" t="s">
        <v>38</v>
      </c>
      <c r="D112" s="35" t="s">
        <v>33</v>
      </c>
      <c r="E112" s="35" t="s">
        <v>25</v>
      </c>
      <c r="F112" s="35" t="s">
        <v>54</v>
      </c>
      <c r="G112" s="35" t="s">
        <v>25</v>
      </c>
      <c r="H112" s="35" t="s">
        <v>36</v>
      </c>
      <c r="I112" s="54">
        <v>44501</v>
      </c>
      <c r="J112" s="55">
        <f>EFEITO!$J$112*EFEITO!$Y$112</f>
        <v>0</v>
      </c>
      <c r="K112" s="55">
        <f ca="1">EFEITO!$L$112*EFEITO!$Z$112</f>
        <v>72635.814792837205</v>
      </c>
      <c r="L112" s="55">
        <f>EFEITO!$N$112*EFEITO!$AA$112</f>
        <v>0</v>
      </c>
      <c r="M112" s="55">
        <f>$J$112-EFEITO!$K$112*EFEITO!$Y$112</f>
        <v>0</v>
      </c>
      <c r="N112" s="55">
        <f ca="1">$K$112-EFEITO!$M$112*EFEITO!$Z$112</f>
        <v>52243.607596588809</v>
      </c>
      <c r="O112" s="55">
        <f>$L$112-EFEITO!$O$112*EFEITO!$AA$112</f>
        <v>0</v>
      </c>
      <c r="P112" s="39"/>
      <c r="Q112" s="39"/>
      <c r="R112" s="39"/>
      <c r="S112" s="39"/>
      <c r="T112" s="39"/>
      <c r="U112" s="39"/>
      <c r="V112" s="39"/>
      <c r="W112" s="39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1.25" customHeight="1" x14ac:dyDescent="0.2">
      <c r="A113" s="35" t="s">
        <v>21</v>
      </c>
      <c r="B113" s="35" t="s">
        <v>34</v>
      </c>
      <c r="C113" s="35" t="s">
        <v>38</v>
      </c>
      <c r="D113" s="35" t="s">
        <v>33</v>
      </c>
      <c r="E113" s="35" t="s">
        <v>25</v>
      </c>
      <c r="F113" s="35" t="s">
        <v>54</v>
      </c>
      <c r="G113" s="35" t="s">
        <v>25</v>
      </c>
      <c r="H113" s="35" t="s">
        <v>36</v>
      </c>
      <c r="I113" s="54">
        <v>44531</v>
      </c>
      <c r="J113" s="55">
        <f>EFEITO!$J$113*EFEITO!$Y$113</f>
        <v>0</v>
      </c>
      <c r="K113" s="55">
        <f ca="1">EFEITO!$L$113*EFEITO!$Z$113</f>
        <v>89523.629426856613</v>
      </c>
      <c r="L113" s="55">
        <f>EFEITO!$N$113*EFEITO!$AA$113</f>
        <v>0</v>
      </c>
      <c r="M113" s="55">
        <f>$J$113-EFEITO!$K$113*EFEITO!$Y$113</f>
        <v>0</v>
      </c>
      <c r="N113" s="55">
        <f ca="1">$K$113-EFEITO!$M$113*EFEITO!$Z$113</f>
        <v>62945.342247451103</v>
      </c>
      <c r="O113" s="55">
        <f>$L$113-EFEITO!$O$113*EFEITO!$AA$113</f>
        <v>0</v>
      </c>
      <c r="P113" s="39"/>
      <c r="Q113" s="39"/>
      <c r="R113" s="39"/>
      <c r="S113" s="39"/>
      <c r="T113" s="39"/>
      <c r="U113" s="39"/>
      <c r="V113" s="39"/>
      <c r="W113" s="39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1.25" customHeight="1" x14ac:dyDescent="0.2">
      <c r="A114" s="35" t="s">
        <v>21</v>
      </c>
      <c r="B114" s="35" t="s">
        <v>34</v>
      </c>
      <c r="C114" s="35" t="s">
        <v>38</v>
      </c>
      <c r="D114" s="35" t="s">
        <v>33</v>
      </c>
      <c r="E114" s="35" t="s">
        <v>25</v>
      </c>
      <c r="F114" s="35" t="s">
        <v>54</v>
      </c>
      <c r="G114" s="35" t="s">
        <v>25</v>
      </c>
      <c r="H114" s="35" t="s">
        <v>36</v>
      </c>
      <c r="I114" s="54">
        <v>44562</v>
      </c>
      <c r="J114" s="55">
        <f>EFEITO!$J$114*EFEITO!$Y$114</f>
        <v>0</v>
      </c>
      <c r="K114" s="55">
        <f ca="1">EFEITO!$L$114*EFEITO!$Z$114</f>
        <v>88363.648376992467</v>
      </c>
      <c r="L114" s="55">
        <f>EFEITO!$N$114*EFEITO!$AA$114</f>
        <v>0</v>
      </c>
      <c r="M114" s="55">
        <f>$J$114-EFEITO!$K$114*EFEITO!$Y$114</f>
        <v>0</v>
      </c>
      <c r="N114" s="55">
        <f ca="1">$K$114-EFEITO!$M$114*EFEITO!$Z$114</f>
        <v>27832.069754779171</v>
      </c>
      <c r="O114" s="55">
        <f>$L$114-EFEITO!$O$114*EFEITO!$AA$114</f>
        <v>0</v>
      </c>
      <c r="P114" s="39"/>
      <c r="Q114" s="39"/>
      <c r="R114" s="39"/>
      <c r="S114" s="39"/>
      <c r="T114" s="39"/>
      <c r="U114" s="39"/>
      <c r="V114" s="39"/>
      <c r="W114" s="39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1.25" customHeight="1" x14ac:dyDescent="0.2">
      <c r="A115" s="35" t="s">
        <v>21</v>
      </c>
      <c r="B115" s="35" t="s">
        <v>34</v>
      </c>
      <c r="C115" s="35" t="s">
        <v>38</v>
      </c>
      <c r="D115" s="35" t="s">
        <v>33</v>
      </c>
      <c r="E115" s="35" t="s">
        <v>25</v>
      </c>
      <c r="F115" s="35" t="s">
        <v>54</v>
      </c>
      <c r="G115" s="35" t="s">
        <v>25</v>
      </c>
      <c r="H115" s="35" t="s">
        <v>36</v>
      </c>
      <c r="I115" s="54">
        <v>44593</v>
      </c>
      <c r="J115" s="55">
        <f>EFEITO!$J$115*EFEITO!$Y$115</f>
        <v>0</v>
      </c>
      <c r="K115" s="55">
        <f ca="1">EFEITO!$L$115*EFEITO!$Z$115</f>
        <v>81152.733646931723</v>
      </c>
      <c r="L115" s="55">
        <f>EFEITO!$N$115*EFEITO!$AA$115</f>
        <v>0</v>
      </c>
      <c r="M115" s="55">
        <f>$J$115-EFEITO!$K$115*EFEITO!$Y$115</f>
        <v>0</v>
      </c>
      <c r="N115" s="55">
        <f ca="1">$K$115-EFEITO!$M$115*EFEITO!$Z$115</f>
        <v>0</v>
      </c>
      <c r="O115" s="55">
        <f>$L$115-EFEITO!$O$115*EFEITO!$AA$115</f>
        <v>0</v>
      </c>
      <c r="P115" s="39"/>
      <c r="Q115" s="39"/>
      <c r="R115" s="39"/>
      <c r="S115" s="39"/>
      <c r="T115" s="39"/>
      <c r="U115" s="39"/>
      <c r="V115" s="39"/>
      <c r="W115" s="39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1.25" customHeight="1" x14ac:dyDescent="0.2">
      <c r="A116" s="35" t="s">
        <v>21</v>
      </c>
      <c r="B116" s="35" t="s">
        <v>34</v>
      </c>
      <c r="C116" s="35" t="s">
        <v>38</v>
      </c>
      <c r="D116" s="35" t="s">
        <v>33</v>
      </c>
      <c r="E116" s="35" t="s">
        <v>25</v>
      </c>
      <c r="F116" s="35" t="s">
        <v>54</v>
      </c>
      <c r="G116" s="35" t="s">
        <v>25</v>
      </c>
      <c r="H116" s="35" t="s">
        <v>36</v>
      </c>
      <c r="I116" s="54">
        <v>44621</v>
      </c>
      <c r="J116" s="55">
        <f>EFEITO!$J$116*EFEITO!$Y$116</f>
        <v>0</v>
      </c>
      <c r="K116" s="55">
        <f ca="1">EFEITO!$L$116*EFEITO!$Z$116</f>
        <v>88421.073181441185</v>
      </c>
      <c r="L116" s="55">
        <f>EFEITO!$N$116*EFEITO!$AA$116</f>
        <v>0</v>
      </c>
      <c r="M116" s="55">
        <f>$J$116-EFEITO!$K$116*EFEITO!$Y$116</f>
        <v>0</v>
      </c>
      <c r="N116" s="55">
        <f ca="1">$K$116-EFEITO!$M$116*EFEITO!$Z$116</f>
        <v>21947.886742993913</v>
      </c>
      <c r="O116" s="55">
        <f>$L$116-EFEITO!$O$116*EFEITO!$AA$116</f>
        <v>0</v>
      </c>
      <c r="P116" s="39"/>
      <c r="Q116" s="39"/>
      <c r="R116" s="39"/>
      <c r="S116" s="39"/>
      <c r="T116" s="39"/>
      <c r="U116" s="39"/>
      <c r="V116" s="39"/>
      <c r="W116" s="39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1.25" customHeight="1" x14ac:dyDescent="0.2">
      <c r="A117" s="35" t="s">
        <v>21</v>
      </c>
      <c r="B117" s="35" t="s">
        <v>34</v>
      </c>
      <c r="C117" s="35" t="s">
        <v>38</v>
      </c>
      <c r="D117" s="35" t="s">
        <v>33</v>
      </c>
      <c r="E117" s="35" t="s">
        <v>25</v>
      </c>
      <c r="F117" s="35" t="s">
        <v>54</v>
      </c>
      <c r="G117" s="35" t="s">
        <v>25</v>
      </c>
      <c r="H117" s="35" t="s">
        <v>36</v>
      </c>
      <c r="I117" s="54">
        <v>44652</v>
      </c>
      <c r="J117" s="55">
        <f>EFEITO!$J$117*EFEITO!$Y$117</f>
        <v>0</v>
      </c>
      <c r="K117" s="55">
        <f ca="1">EFEITO!$L$117*EFEITO!$Z$117</f>
        <v>53690.551450855062</v>
      </c>
      <c r="L117" s="55">
        <f>EFEITO!$N$117*EFEITO!$AA$117</f>
        <v>0</v>
      </c>
      <c r="M117" s="55">
        <f>$J$117-EFEITO!$K$117*EFEITO!$Y$117</f>
        <v>0</v>
      </c>
      <c r="N117" s="55">
        <f ca="1">$K$117-EFEITO!$M$117*EFEITO!$Z$117</f>
        <v>68180.644992010697</v>
      </c>
      <c r="O117" s="55">
        <f>$L$117-EFEITO!$O$117*EFEITO!$AA$117</f>
        <v>0</v>
      </c>
      <c r="P117" s="39"/>
      <c r="Q117" s="39"/>
      <c r="R117" s="39"/>
      <c r="S117" s="39"/>
      <c r="T117" s="39"/>
      <c r="U117" s="39"/>
      <c r="V117" s="39"/>
      <c r="W117" s="39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1.25" customHeight="1" x14ac:dyDescent="0.2">
      <c r="A118" s="35" t="s">
        <v>21</v>
      </c>
      <c r="B118" s="35" t="s">
        <v>34</v>
      </c>
      <c r="C118" s="35" t="s">
        <v>38</v>
      </c>
      <c r="D118" s="35" t="s">
        <v>33</v>
      </c>
      <c r="E118" s="35" t="s">
        <v>25</v>
      </c>
      <c r="F118" s="35" t="s">
        <v>54</v>
      </c>
      <c r="G118" s="35" t="s">
        <v>25</v>
      </c>
      <c r="H118" s="35" t="s">
        <v>36</v>
      </c>
      <c r="I118" s="54">
        <v>44682</v>
      </c>
      <c r="J118" s="55">
        <f>EFEITO!$J$118*EFEITO!$Y$118</f>
        <v>0</v>
      </c>
      <c r="K118" s="55">
        <f ca="1">EFEITO!$L$118*EFEITO!$Z$118</f>
        <v>43321.272476114689</v>
      </c>
      <c r="L118" s="55">
        <f>EFEITO!$N$118*EFEITO!$AA$118</f>
        <v>0</v>
      </c>
      <c r="M118" s="55">
        <f>$J$118-EFEITO!$K$118*EFEITO!$Y$118</f>
        <v>0</v>
      </c>
      <c r="N118" s="55">
        <f ca="1">$K$118-EFEITO!$M$118*EFEITO!$Z$118</f>
        <v>20525.429585222417</v>
      </c>
      <c r="O118" s="55">
        <f>$L$118-EFEITO!$O$118*EFEITO!$AA$118</f>
        <v>0</v>
      </c>
      <c r="P118" s="39"/>
      <c r="Q118" s="39"/>
      <c r="R118" s="39"/>
      <c r="S118" s="39"/>
      <c r="T118" s="39"/>
      <c r="U118" s="39"/>
      <c r="V118" s="39"/>
      <c r="W118" s="39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1.25" customHeight="1" x14ac:dyDescent="0.2">
      <c r="A119" s="35" t="s">
        <v>21</v>
      </c>
      <c r="B119" s="35" t="s">
        <v>34</v>
      </c>
      <c r="C119" s="35" t="s">
        <v>38</v>
      </c>
      <c r="D119" s="35" t="s">
        <v>33</v>
      </c>
      <c r="E119" s="35" t="s">
        <v>25</v>
      </c>
      <c r="F119" s="35" t="s">
        <v>54</v>
      </c>
      <c r="G119" s="35" t="s">
        <v>25</v>
      </c>
      <c r="H119" s="35" t="s">
        <v>36</v>
      </c>
      <c r="I119" s="54">
        <v>44713</v>
      </c>
      <c r="J119" s="55">
        <f>EFEITO!$J$119*EFEITO!$Y$119</f>
        <v>0</v>
      </c>
      <c r="K119" s="55">
        <f ca="1">EFEITO!$L$119*EFEITO!$Z$119</f>
        <v>38422.116302289571</v>
      </c>
      <c r="L119" s="55">
        <f>EFEITO!$N$119*EFEITO!$AA$119</f>
        <v>0</v>
      </c>
      <c r="M119" s="55">
        <f>$J$119-EFEITO!$K$119*EFEITO!$Y$119</f>
        <v>0</v>
      </c>
      <c r="N119" s="55">
        <f ca="1">$K$119-EFEITO!$M$119*EFEITO!$Z$119</f>
        <v>18208.952493248944</v>
      </c>
      <c r="O119" s="55">
        <f>$L$119-EFEITO!$O$119*EFEITO!$AA$119</f>
        <v>0</v>
      </c>
      <c r="P119" s="39"/>
      <c r="Q119" s="39"/>
      <c r="R119" s="39"/>
      <c r="S119" s="39"/>
      <c r="T119" s="39"/>
      <c r="U119" s="39"/>
      <c r="V119" s="39"/>
      <c r="W119" s="39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1.25" customHeight="1" x14ac:dyDescent="0.2">
      <c r="A120" s="35" t="s">
        <v>21</v>
      </c>
      <c r="B120" s="35" t="s">
        <v>34</v>
      </c>
      <c r="C120" s="35" t="s">
        <v>38</v>
      </c>
      <c r="D120" s="35" t="s">
        <v>33</v>
      </c>
      <c r="E120" s="35" t="s">
        <v>25</v>
      </c>
      <c r="F120" s="35" t="s">
        <v>54</v>
      </c>
      <c r="G120" s="35" t="s">
        <v>25</v>
      </c>
      <c r="H120" s="35" t="s">
        <v>36</v>
      </c>
      <c r="I120" s="54">
        <v>44743</v>
      </c>
      <c r="J120" s="55">
        <f>EFEITO!$J$120*EFEITO!$Y$120</f>
        <v>0</v>
      </c>
      <c r="K120" s="55">
        <f ca="1">EFEITO!$L$120*EFEITO!$Z$120</f>
        <v>57390.349566051198</v>
      </c>
      <c r="L120" s="55">
        <f>EFEITO!$N$120*EFEITO!$AA$120</f>
        <v>0</v>
      </c>
      <c r="M120" s="55">
        <f>$J$120-EFEITO!$K$120*EFEITO!$Y$120</f>
        <v>0</v>
      </c>
      <c r="N120" s="55">
        <f ca="1">$K$120-EFEITO!$M$120*EFEITO!$Z$120</f>
        <v>27277.702591067107</v>
      </c>
      <c r="O120" s="55">
        <f>$L$120-EFEITO!$O$120*EFEITO!$AA$120</f>
        <v>0</v>
      </c>
      <c r="P120" s="39"/>
      <c r="Q120" s="39"/>
      <c r="R120" s="39"/>
      <c r="S120" s="39"/>
      <c r="T120" s="39"/>
      <c r="U120" s="39"/>
      <c r="V120" s="39"/>
      <c r="W120" s="39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1.25" customHeight="1" x14ac:dyDescent="0.2">
      <c r="A121" s="35" t="s">
        <v>53</v>
      </c>
      <c r="B121" s="35" t="s">
        <v>34</v>
      </c>
      <c r="C121" s="35" t="s">
        <v>38</v>
      </c>
      <c r="D121" s="35" t="s">
        <v>33</v>
      </c>
      <c r="E121" s="35" t="s">
        <v>25</v>
      </c>
      <c r="F121" s="35" t="s">
        <v>54</v>
      </c>
      <c r="G121" s="35" t="s">
        <v>25</v>
      </c>
      <c r="H121" s="35" t="s">
        <v>36</v>
      </c>
      <c r="I121" s="54">
        <v>44774</v>
      </c>
      <c r="J121" s="55">
        <f>EFEITO!$J$121*EFEITO!$Y$121</f>
        <v>0</v>
      </c>
      <c r="K121" s="55">
        <f ca="1">EFEITO!$L$121*EFEITO!$Z$121</f>
        <v>57390.349566051198</v>
      </c>
      <c r="L121" s="55">
        <f>EFEITO!$N$121*EFEITO!$AA$121</f>
        <v>0</v>
      </c>
      <c r="M121" s="55">
        <f>$J$121-EFEITO!$K$121*EFEITO!$Y$121</f>
        <v>0</v>
      </c>
      <c r="N121" s="55">
        <f ca="1">$K$121-EFEITO!$M$121*EFEITO!$Z$121</f>
        <v>27277.702591067107</v>
      </c>
      <c r="O121" s="55">
        <f>$L$121-EFEITO!$O$121*EFEITO!$AA$121</f>
        <v>0</v>
      </c>
      <c r="P121" s="39"/>
      <c r="Q121" s="39"/>
      <c r="R121" s="39"/>
      <c r="S121" s="39"/>
      <c r="T121" s="39"/>
      <c r="U121" s="39"/>
      <c r="V121" s="39"/>
      <c r="W121" s="39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1.25" customHeight="1" x14ac:dyDescent="0.2">
      <c r="A122" s="35" t="s">
        <v>21</v>
      </c>
      <c r="B122" s="35" t="s">
        <v>34</v>
      </c>
      <c r="C122" s="35" t="s">
        <v>38</v>
      </c>
      <c r="D122" s="35" t="s">
        <v>33</v>
      </c>
      <c r="E122" s="35" t="s">
        <v>25</v>
      </c>
      <c r="F122" s="35" t="s">
        <v>25</v>
      </c>
      <c r="G122" s="35" t="s">
        <v>25</v>
      </c>
      <c r="H122" s="35" t="s">
        <v>37</v>
      </c>
      <c r="I122" s="54">
        <v>44440</v>
      </c>
      <c r="J122" s="55">
        <f>EFEITO!$J$122*EFEITO!$Y$122</f>
        <v>0</v>
      </c>
      <c r="K122" s="55">
        <f ca="1">EFEITO!$L$122*EFEITO!$Z$122</f>
        <v>69130.501942838047</v>
      </c>
      <c r="L122" s="55">
        <f>EFEITO!$N$122*EFEITO!$AA$122</f>
        <v>132249.13685420607</v>
      </c>
      <c r="M122" s="55">
        <f>$J$122-EFEITO!$K$122*EFEITO!$Y$122</f>
        <v>0</v>
      </c>
      <c r="N122" s="55">
        <f ca="1">$K$122-EFEITO!$M$122*EFEITO!$Z$122</f>
        <v>0</v>
      </c>
      <c r="O122" s="55">
        <f>$L$122-EFEITO!$O$122*EFEITO!$AA$122</f>
        <v>0</v>
      </c>
      <c r="P122" s="39"/>
      <c r="Q122" s="39"/>
      <c r="R122" s="39"/>
      <c r="S122" s="39"/>
      <c r="T122" s="39"/>
      <c r="U122" s="39"/>
      <c r="V122" s="39"/>
      <c r="W122" s="39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1.25" customHeight="1" x14ac:dyDescent="0.2">
      <c r="A123" s="35" t="s">
        <v>27</v>
      </c>
      <c r="B123" s="35" t="s">
        <v>34</v>
      </c>
      <c r="C123" s="35" t="s">
        <v>38</v>
      </c>
      <c r="D123" s="35" t="s">
        <v>33</v>
      </c>
      <c r="E123" s="35" t="s">
        <v>25</v>
      </c>
      <c r="F123" s="35" t="s">
        <v>25</v>
      </c>
      <c r="G123" s="35" t="s">
        <v>25</v>
      </c>
      <c r="H123" s="35" t="s">
        <v>37</v>
      </c>
      <c r="I123" s="54">
        <v>44440</v>
      </c>
      <c r="J123" s="55">
        <f>EFEITO!$J$123*EFEITO!$Y$123</f>
        <v>0</v>
      </c>
      <c r="K123" s="55">
        <f ca="1">EFEITO!$L$123*EFEITO!$Z$123</f>
        <v>1696.5212198592517</v>
      </c>
      <c r="L123" s="55">
        <f>EFEITO!$N$123*EFEITO!$AA$123</f>
        <v>3245.5061177879234</v>
      </c>
      <c r="M123" s="55">
        <f>$J$123-EFEITO!$K$123*EFEITO!$Y$123</f>
        <v>0</v>
      </c>
      <c r="N123" s="55">
        <f ca="1">$K$123-EFEITO!$M$123*EFEITO!$Z$123</f>
        <v>0</v>
      </c>
      <c r="O123" s="55">
        <f>$L$123-EFEITO!$O$123*EFEITO!$AA$123</f>
        <v>0</v>
      </c>
      <c r="P123" s="39"/>
      <c r="Q123" s="39"/>
      <c r="R123" s="39"/>
      <c r="S123" s="39"/>
      <c r="T123" s="39"/>
      <c r="U123" s="39"/>
      <c r="V123" s="39"/>
      <c r="W123" s="39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1.25" customHeight="1" x14ac:dyDescent="0.2">
      <c r="A124" s="35" t="s">
        <v>21</v>
      </c>
      <c r="B124" s="35" t="s">
        <v>34</v>
      </c>
      <c r="C124" s="35" t="s">
        <v>38</v>
      </c>
      <c r="D124" s="35" t="s">
        <v>33</v>
      </c>
      <c r="E124" s="35" t="s">
        <v>25</v>
      </c>
      <c r="F124" s="35" t="s">
        <v>25</v>
      </c>
      <c r="G124" s="35" t="s">
        <v>25</v>
      </c>
      <c r="H124" s="35" t="s">
        <v>37</v>
      </c>
      <c r="I124" s="54">
        <v>44470</v>
      </c>
      <c r="J124" s="55">
        <f>EFEITO!$J$124*EFEITO!$Y$124</f>
        <v>0</v>
      </c>
      <c r="K124" s="55">
        <f ca="1">EFEITO!$L$124*EFEITO!$Z$124</f>
        <v>69241.465292286084</v>
      </c>
      <c r="L124" s="55">
        <f>EFEITO!$N$124*EFEITO!$AA$124</f>
        <v>132461.41373307336</v>
      </c>
      <c r="M124" s="55">
        <f>$J$124-EFEITO!$K$124*EFEITO!$Y$124</f>
        <v>0</v>
      </c>
      <c r="N124" s="55">
        <f ca="1">$K$124-EFEITO!$M$124*EFEITO!$Z$124</f>
        <v>0</v>
      </c>
      <c r="O124" s="55">
        <f>$L$124-EFEITO!$O$124*EFEITO!$AA$124</f>
        <v>0</v>
      </c>
      <c r="P124" s="39"/>
      <c r="Q124" s="39"/>
      <c r="R124" s="39"/>
      <c r="S124" s="39"/>
      <c r="T124" s="39"/>
      <c r="U124" s="39"/>
      <c r="V124" s="39"/>
      <c r="W124" s="39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1.25" customHeight="1" x14ac:dyDescent="0.2">
      <c r="A125" s="35" t="s">
        <v>27</v>
      </c>
      <c r="B125" s="35" t="s">
        <v>34</v>
      </c>
      <c r="C125" s="35" t="s">
        <v>38</v>
      </c>
      <c r="D125" s="35" t="s">
        <v>33</v>
      </c>
      <c r="E125" s="35" t="s">
        <v>25</v>
      </c>
      <c r="F125" s="35" t="s">
        <v>25</v>
      </c>
      <c r="G125" s="35" t="s">
        <v>25</v>
      </c>
      <c r="H125" s="35" t="s">
        <v>37</v>
      </c>
      <c r="I125" s="54">
        <v>44470</v>
      </c>
      <c r="J125" s="55">
        <f>EFEITO!$J$125*EFEITO!$Y$125</f>
        <v>0</v>
      </c>
      <c r="K125" s="55">
        <f ca="1">EFEITO!$L$125*EFEITO!$Z$125</f>
        <v>2427.8959652141984</v>
      </c>
      <c r="L125" s="55">
        <f>EFEITO!$N$125*EFEITO!$AA$125</f>
        <v>4644.6523133433147</v>
      </c>
      <c r="M125" s="55">
        <f>$J$125-EFEITO!$K$125*EFEITO!$Y$125</f>
        <v>0</v>
      </c>
      <c r="N125" s="55">
        <f ca="1">$K$125-EFEITO!$M$125*EFEITO!$Z$125</f>
        <v>0</v>
      </c>
      <c r="O125" s="55">
        <f>$L$125-EFEITO!$O$125*EFEITO!$AA$125</f>
        <v>0</v>
      </c>
      <c r="P125" s="39"/>
      <c r="Q125" s="39"/>
      <c r="R125" s="39"/>
      <c r="S125" s="39"/>
      <c r="T125" s="39"/>
      <c r="U125" s="39"/>
      <c r="V125" s="39"/>
      <c r="W125" s="39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1.25" customHeight="1" x14ac:dyDescent="0.2">
      <c r="A126" s="35" t="s">
        <v>21</v>
      </c>
      <c r="B126" s="35" t="s">
        <v>34</v>
      </c>
      <c r="C126" s="35" t="s">
        <v>38</v>
      </c>
      <c r="D126" s="35" t="s">
        <v>33</v>
      </c>
      <c r="E126" s="35" t="s">
        <v>25</v>
      </c>
      <c r="F126" s="35" t="s">
        <v>25</v>
      </c>
      <c r="G126" s="35" t="s">
        <v>25</v>
      </c>
      <c r="H126" s="35" t="s">
        <v>37</v>
      </c>
      <c r="I126" s="54">
        <v>44501</v>
      </c>
      <c r="J126" s="55">
        <f>EFEITO!$J$126*EFEITO!$Y$126</f>
        <v>0</v>
      </c>
      <c r="K126" s="55">
        <f ca="1">EFEITO!$L$126*EFEITO!$Z$126</f>
        <v>67772.346304175851</v>
      </c>
      <c r="L126" s="55">
        <f>EFEITO!$N$126*EFEITO!$AA$126</f>
        <v>129650.93626432368</v>
      </c>
      <c r="M126" s="55">
        <f>$J$126-EFEITO!$K$126*EFEITO!$Y$126</f>
        <v>0</v>
      </c>
      <c r="N126" s="55">
        <f ca="1">$K$126-EFEITO!$M$126*EFEITO!$Z$126</f>
        <v>0</v>
      </c>
      <c r="O126" s="55">
        <f>$L$126-EFEITO!$O$126*EFEITO!$AA$126</f>
        <v>0</v>
      </c>
      <c r="P126" s="39"/>
      <c r="Q126" s="39"/>
      <c r="R126" s="39"/>
      <c r="S126" s="39"/>
      <c r="T126" s="39"/>
      <c r="U126" s="39"/>
      <c r="V126" s="39"/>
      <c r="W126" s="39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1.25" customHeight="1" x14ac:dyDescent="0.2">
      <c r="A127" s="35" t="s">
        <v>27</v>
      </c>
      <c r="B127" s="35" t="s">
        <v>34</v>
      </c>
      <c r="C127" s="35" t="s">
        <v>38</v>
      </c>
      <c r="D127" s="35" t="s">
        <v>33</v>
      </c>
      <c r="E127" s="35" t="s">
        <v>25</v>
      </c>
      <c r="F127" s="35" t="s">
        <v>25</v>
      </c>
      <c r="G127" s="35" t="s">
        <v>25</v>
      </c>
      <c r="H127" s="35" t="s">
        <v>37</v>
      </c>
      <c r="I127" s="54">
        <v>44501</v>
      </c>
      <c r="J127" s="55">
        <f>EFEITO!$J$127*EFEITO!$Y$127</f>
        <v>0</v>
      </c>
      <c r="K127" s="55">
        <f ca="1">EFEITO!$L$127*EFEITO!$Z$127</f>
        <v>1414.140168444133</v>
      </c>
      <c r="L127" s="55">
        <f>EFEITO!$N$127*EFEITO!$AA$127</f>
        <v>2705.3010091296378</v>
      </c>
      <c r="M127" s="55">
        <f>$J$127-EFEITO!$K$127*EFEITO!$Y$127</f>
        <v>0</v>
      </c>
      <c r="N127" s="55">
        <f ca="1">$K$127-EFEITO!$M$127*EFEITO!$Z$127</f>
        <v>0</v>
      </c>
      <c r="O127" s="55">
        <f>$L$127-EFEITO!$O$127*EFEITO!$AA$127</f>
        <v>0</v>
      </c>
      <c r="P127" s="39"/>
      <c r="Q127" s="39"/>
      <c r="R127" s="39"/>
      <c r="S127" s="39"/>
      <c r="T127" s="39"/>
      <c r="U127" s="39"/>
      <c r="V127" s="39"/>
      <c r="W127" s="39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1.25" customHeight="1" x14ac:dyDescent="0.2">
      <c r="A128" s="35" t="s">
        <v>21</v>
      </c>
      <c r="B128" s="35" t="s">
        <v>34</v>
      </c>
      <c r="C128" s="35" t="s">
        <v>38</v>
      </c>
      <c r="D128" s="35" t="s">
        <v>33</v>
      </c>
      <c r="E128" s="35" t="s">
        <v>25</v>
      </c>
      <c r="F128" s="35" t="s">
        <v>25</v>
      </c>
      <c r="G128" s="35" t="s">
        <v>25</v>
      </c>
      <c r="H128" s="35" t="s">
        <v>37</v>
      </c>
      <c r="I128" s="54">
        <v>44531</v>
      </c>
      <c r="J128" s="55">
        <f>EFEITO!$J$128*EFEITO!$Y$128</f>
        <v>0</v>
      </c>
      <c r="K128" s="55">
        <f ca="1">EFEITO!$L$128*EFEITO!$Z$128</f>
        <v>58406.503232032301</v>
      </c>
      <c r="L128" s="55">
        <f>EFEITO!$N$128*EFEITO!$AA$128</f>
        <v>111733.74157612205</v>
      </c>
      <c r="M128" s="55">
        <f>$J$128-EFEITO!$K$128*EFEITO!$Y$128</f>
        <v>0</v>
      </c>
      <c r="N128" s="55">
        <f ca="1">$K$128-EFEITO!$M$128*EFEITO!$Z$128</f>
        <v>0</v>
      </c>
      <c r="O128" s="55">
        <f>$L$128-EFEITO!$O$128*EFEITO!$AA$128</f>
        <v>0</v>
      </c>
      <c r="P128" s="39"/>
      <c r="Q128" s="39"/>
      <c r="R128" s="39"/>
      <c r="S128" s="39"/>
      <c r="T128" s="39"/>
      <c r="U128" s="39"/>
      <c r="V128" s="39"/>
      <c r="W128" s="39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1.25" customHeight="1" x14ac:dyDescent="0.2">
      <c r="A129" s="35" t="s">
        <v>27</v>
      </c>
      <c r="B129" s="35" t="s">
        <v>34</v>
      </c>
      <c r="C129" s="35" t="s">
        <v>38</v>
      </c>
      <c r="D129" s="35" t="s">
        <v>33</v>
      </c>
      <c r="E129" s="35" t="s">
        <v>25</v>
      </c>
      <c r="F129" s="35" t="s">
        <v>25</v>
      </c>
      <c r="G129" s="35" t="s">
        <v>25</v>
      </c>
      <c r="H129" s="35" t="s">
        <v>37</v>
      </c>
      <c r="I129" s="54">
        <v>44531</v>
      </c>
      <c r="J129" s="55">
        <f>EFEITO!$J$129*EFEITO!$Y$129</f>
        <v>0</v>
      </c>
      <c r="K129" s="55">
        <f ca="1">EFEITO!$L$129*EFEITO!$Z$129</f>
        <v>1647.0179330460749</v>
      </c>
      <c r="L129" s="55">
        <f>EFEITO!$N$129*EFEITO!$AA$129</f>
        <v>3150.8045494714925</v>
      </c>
      <c r="M129" s="55">
        <f>$J$129-EFEITO!$K$129*EFEITO!$Y$129</f>
        <v>0</v>
      </c>
      <c r="N129" s="55">
        <f ca="1">$K$129-EFEITO!$M$129*EFEITO!$Z$129</f>
        <v>0</v>
      </c>
      <c r="O129" s="55">
        <f>$L$129-EFEITO!$O$129*EFEITO!$AA$129</f>
        <v>0</v>
      </c>
      <c r="P129" s="39"/>
      <c r="Q129" s="39"/>
      <c r="R129" s="39"/>
      <c r="S129" s="39"/>
      <c r="T129" s="39"/>
      <c r="U129" s="39"/>
      <c r="V129" s="39"/>
      <c r="W129" s="39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1.25" customHeight="1" x14ac:dyDescent="0.2">
      <c r="A130" s="35" t="s">
        <v>21</v>
      </c>
      <c r="B130" s="35" t="s">
        <v>34</v>
      </c>
      <c r="C130" s="35" t="s">
        <v>38</v>
      </c>
      <c r="D130" s="35" t="s">
        <v>33</v>
      </c>
      <c r="E130" s="35" t="s">
        <v>25</v>
      </c>
      <c r="F130" s="35" t="s">
        <v>25</v>
      </c>
      <c r="G130" s="35" t="s">
        <v>25</v>
      </c>
      <c r="H130" s="35" t="s">
        <v>37</v>
      </c>
      <c r="I130" s="54">
        <v>44562</v>
      </c>
      <c r="J130" s="55">
        <f>EFEITO!$J$130*EFEITO!$Y$130</f>
        <v>0</v>
      </c>
      <c r="K130" s="55">
        <f ca="1">EFEITO!$L$130*EFEITO!$Z$130</f>
        <v>70009.492584085107</v>
      </c>
      <c r="L130" s="55">
        <f>EFEITO!$N$130*EFEITO!$AA$130</f>
        <v>133930.67756837545</v>
      </c>
      <c r="M130" s="55">
        <f>$J$130-EFEITO!$K$130*EFEITO!$Y$130</f>
        <v>0</v>
      </c>
      <c r="N130" s="55">
        <f ca="1">$K$130-EFEITO!$M$130*EFEITO!$Z$130</f>
        <v>0</v>
      </c>
      <c r="O130" s="55">
        <f>$L$130-EFEITO!$O$130*EFEITO!$AA$130</f>
        <v>0</v>
      </c>
      <c r="P130" s="39"/>
      <c r="Q130" s="39"/>
      <c r="R130" s="39"/>
      <c r="S130" s="39"/>
      <c r="T130" s="39"/>
      <c r="U130" s="39"/>
      <c r="V130" s="39"/>
      <c r="W130" s="39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1.25" customHeight="1" x14ac:dyDescent="0.2">
      <c r="A131" s="35" t="s">
        <v>27</v>
      </c>
      <c r="B131" s="35" t="s">
        <v>34</v>
      </c>
      <c r="C131" s="35" t="s">
        <v>38</v>
      </c>
      <c r="D131" s="35" t="s">
        <v>33</v>
      </c>
      <c r="E131" s="35" t="s">
        <v>25</v>
      </c>
      <c r="F131" s="35" t="s">
        <v>25</v>
      </c>
      <c r="G131" s="35" t="s">
        <v>25</v>
      </c>
      <c r="H131" s="35" t="s">
        <v>37</v>
      </c>
      <c r="I131" s="54">
        <v>44562</v>
      </c>
      <c r="J131" s="55">
        <f>EFEITO!$J$131*EFEITO!$Y$131</f>
        <v>0</v>
      </c>
      <c r="K131" s="55">
        <f ca="1">EFEITO!$L$131*EFEITO!$Z$131</f>
        <v>1996.3345799489873</v>
      </c>
      <c r="L131" s="55">
        <f>EFEITO!$N$131*EFEITO!$AA$131</f>
        <v>3819.0598599842733</v>
      </c>
      <c r="M131" s="55">
        <f>$J$131-EFEITO!$K$131*EFEITO!$Y$131</f>
        <v>0</v>
      </c>
      <c r="N131" s="55">
        <f ca="1">$K$131-EFEITO!$M$131*EFEITO!$Z$131</f>
        <v>0</v>
      </c>
      <c r="O131" s="55">
        <f>$L$131-EFEITO!$O$131*EFEITO!$AA$131</f>
        <v>0</v>
      </c>
      <c r="P131" s="39"/>
      <c r="Q131" s="39"/>
      <c r="R131" s="39"/>
      <c r="S131" s="39"/>
      <c r="T131" s="39"/>
      <c r="U131" s="39"/>
      <c r="V131" s="39"/>
      <c r="W131" s="39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1.25" customHeight="1" x14ac:dyDescent="0.2">
      <c r="A132" s="35" t="s">
        <v>21</v>
      </c>
      <c r="B132" s="35" t="s">
        <v>34</v>
      </c>
      <c r="C132" s="35" t="s">
        <v>38</v>
      </c>
      <c r="D132" s="35" t="s">
        <v>33</v>
      </c>
      <c r="E132" s="35" t="s">
        <v>25</v>
      </c>
      <c r="F132" s="35" t="s">
        <v>25</v>
      </c>
      <c r="G132" s="35" t="s">
        <v>25</v>
      </c>
      <c r="H132" s="35" t="s">
        <v>37</v>
      </c>
      <c r="I132" s="54">
        <v>44593</v>
      </c>
      <c r="J132" s="55">
        <f>EFEITO!$J$132*EFEITO!$Y$132</f>
        <v>0</v>
      </c>
      <c r="K132" s="55">
        <f ca="1">EFEITO!$L$132*EFEITO!$Z$132</f>
        <v>67521.589248625591</v>
      </c>
      <c r="L132" s="55">
        <f>EFEITO!$N$132*EFEITO!$AA$132</f>
        <v>129171.22899727611</v>
      </c>
      <c r="M132" s="55">
        <f>$J$132-EFEITO!$K$132*EFEITO!$Y$132</f>
        <v>0</v>
      </c>
      <c r="N132" s="55">
        <f ca="1">$K$132-EFEITO!$M$132*EFEITO!$Z$132</f>
        <v>0</v>
      </c>
      <c r="O132" s="55">
        <f>$L$132-EFEITO!$O$132*EFEITO!$AA$132</f>
        <v>0</v>
      </c>
      <c r="P132" s="39"/>
      <c r="Q132" s="39"/>
      <c r="R132" s="39"/>
      <c r="S132" s="39"/>
      <c r="T132" s="39"/>
      <c r="U132" s="39"/>
      <c r="V132" s="39"/>
      <c r="W132" s="39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1.25" customHeight="1" x14ac:dyDescent="0.2">
      <c r="A133" s="35" t="s">
        <v>27</v>
      </c>
      <c r="B133" s="35" t="s">
        <v>34</v>
      </c>
      <c r="C133" s="35" t="s">
        <v>38</v>
      </c>
      <c r="D133" s="35" t="s">
        <v>33</v>
      </c>
      <c r="E133" s="35" t="s">
        <v>25</v>
      </c>
      <c r="F133" s="35" t="s">
        <v>25</v>
      </c>
      <c r="G133" s="35" t="s">
        <v>25</v>
      </c>
      <c r="H133" s="35" t="s">
        <v>37</v>
      </c>
      <c r="I133" s="54">
        <v>44593</v>
      </c>
      <c r="J133" s="55">
        <f>EFEITO!$J$133*EFEITO!$Y$133</f>
        <v>0</v>
      </c>
      <c r="K133" s="55">
        <f ca="1">EFEITO!$L$133*EFEITO!$Z$133</f>
        <v>1955.7709386099737</v>
      </c>
      <c r="L133" s="55">
        <f>EFEITO!$N$133*EFEITO!$AA$133</f>
        <v>3741.4601550206971</v>
      </c>
      <c r="M133" s="55">
        <f>$J$133-EFEITO!$K$133*EFEITO!$Y$133</f>
        <v>0</v>
      </c>
      <c r="N133" s="55">
        <f ca="1">$K$133-EFEITO!$M$133*EFEITO!$Z$133</f>
        <v>0</v>
      </c>
      <c r="O133" s="55">
        <f>$L$133-EFEITO!$O$133*EFEITO!$AA$133</f>
        <v>0</v>
      </c>
      <c r="P133" s="39"/>
      <c r="Q133" s="39"/>
      <c r="R133" s="39"/>
      <c r="S133" s="39"/>
      <c r="T133" s="39"/>
      <c r="U133" s="39"/>
      <c r="V133" s="39"/>
      <c r="W133" s="39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1.25" customHeight="1" x14ac:dyDescent="0.2">
      <c r="A134" s="35" t="s">
        <v>21</v>
      </c>
      <c r="B134" s="35" t="s">
        <v>34</v>
      </c>
      <c r="C134" s="35" t="s">
        <v>38</v>
      </c>
      <c r="D134" s="35" t="s">
        <v>33</v>
      </c>
      <c r="E134" s="35" t="s">
        <v>25</v>
      </c>
      <c r="F134" s="35" t="s">
        <v>25</v>
      </c>
      <c r="G134" s="35" t="s">
        <v>25</v>
      </c>
      <c r="H134" s="35" t="s">
        <v>37</v>
      </c>
      <c r="I134" s="54">
        <v>44621</v>
      </c>
      <c r="J134" s="55">
        <f>EFEITO!$J$134*EFEITO!$Y$134</f>
        <v>0</v>
      </c>
      <c r="K134" s="55">
        <f ca="1">EFEITO!$L$134*EFEITO!$Z$134</f>
        <v>66854.691696253038</v>
      </c>
      <c r="L134" s="55">
        <f>EFEITO!$N$134*EFEITO!$AA$134</f>
        <v>127895.42999115316</v>
      </c>
      <c r="M134" s="55">
        <f>$J$134-EFEITO!$K$134*EFEITO!$Y$134</f>
        <v>0</v>
      </c>
      <c r="N134" s="55">
        <f ca="1">$K$134-EFEITO!$M$134*EFEITO!$Z$134</f>
        <v>0</v>
      </c>
      <c r="O134" s="55">
        <f>$L$134-EFEITO!$O$134*EFEITO!$AA$134</f>
        <v>0</v>
      </c>
      <c r="P134" s="39"/>
      <c r="Q134" s="39"/>
      <c r="R134" s="39"/>
      <c r="S134" s="39"/>
      <c r="T134" s="39"/>
      <c r="U134" s="39"/>
      <c r="V134" s="39"/>
      <c r="W134" s="39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1.25" customHeight="1" x14ac:dyDescent="0.2">
      <c r="A135" s="35" t="s">
        <v>27</v>
      </c>
      <c r="B135" s="35" t="s">
        <v>34</v>
      </c>
      <c r="C135" s="35" t="s">
        <v>38</v>
      </c>
      <c r="D135" s="35" t="s">
        <v>33</v>
      </c>
      <c r="E135" s="35" t="s">
        <v>25</v>
      </c>
      <c r="F135" s="35" t="s">
        <v>25</v>
      </c>
      <c r="G135" s="35" t="s">
        <v>25</v>
      </c>
      <c r="H135" s="35" t="s">
        <v>37</v>
      </c>
      <c r="I135" s="54">
        <v>44621</v>
      </c>
      <c r="J135" s="55">
        <f>EFEITO!$J$135*EFEITO!$Y$135</f>
        <v>0</v>
      </c>
      <c r="K135" s="55">
        <f ca="1">EFEITO!$L$135*EFEITO!$Z$135</f>
        <v>2904.4908145555046</v>
      </c>
      <c r="L135" s="55">
        <f>EFEITO!$N$135*EFEITO!$AA$135</f>
        <v>5556.3954033423597</v>
      </c>
      <c r="M135" s="55">
        <f>$J$135-EFEITO!$K$135*EFEITO!$Y$135</f>
        <v>0</v>
      </c>
      <c r="N135" s="55">
        <f ca="1">$K$135-EFEITO!$M$135*EFEITO!$Z$135</f>
        <v>0</v>
      </c>
      <c r="O135" s="55">
        <f>$L$135-EFEITO!$O$135*EFEITO!$AA$135</f>
        <v>0</v>
      </c>
      <c r="P135" s="39"/>
      <c r="Q135" s="39"/>
      <c r="R135" s="39"/>
      <c r="S135" s="39"/>
      <c r="T135" s="39"/>
      <c r="U135" s="39"/>
      <c r="V135" s="39"/>
      <c r="W135" s="39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1.25" customHeight="1" x14ac:dyDescent="0.2">
      <c r="A136" s="35" t="s">
        <v>21</v>
      </c>
      <c r="B136" s="35" t="s">
        <v>34</v>
      </c>
      <c r="C136" s="35" t="s">
        <v>38</v>
      </c>
      <c r="D136" s="35" t="s">
        <v>33</v>
      </c>
      <c r="E136" s="35" t="s">
        <v>25</v>
      </c>
      <c r="F136" s="35" t="s">
        <v>25</v>
      </c>
      <c r="G136" s="35" t="s">
        <v>25</v>
      </c>
      <c r="H136" s="35" t="s">
        <v>37</v>
      </c>
      <c r="I136" s="54">
        <v>44652</v>
      </c>
      <c r="J136" s="55">
        <f>EFEITO!$J$136*EFEITO!$Y$136</f>
        <v>0</v>
      </c>
      <c r="K136" s="55">
        <f ca="1">EFEITO!$L$136*EFEITO!$Z$136</f>
        <v>63463.884167903074</v>
      </c>
      <c r="L136" s="55">
        <f>EFEITO!$N$136*EFEITO!$AA$136</f>
        <v>121408.69322141554</v>
      </c>
      <c r="M136" s="55">
        <f>$J$136-EFEITO!$K$136*EFEITO!$Y$136</f>
        <v>0</v>
      </c>
      <c r="N136" s="55">
        <f ca="1">$K$136-EFEITO!$M$136*EFEITO!$Z$136</f>
        <v>0</v>
      </c>
      <c r="O136" s="55">
        <f>$L$136-EFEITO!$O$136*EFEITO!$AA$136</f>
        <v>0</v>
      </c>
      <c r="P136" s="39"/>
      <c r="Q136" s="39"/>
      <c r="R136" s="39"/>
      <c r="S136" s="39"/>
      <c r="T136" s="39"/>
      <c r="U136" s="39"/>
      <c r="V136" s="39"/>
      <c r="W136" s="39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1.25" customHeight="1" x14ac:dyDescent="0.2">
      <c r="A137" s="35" t="s">
        <v>27</v>
      </c>
      <c r="B137" s="35" t="s">
        <v>34</v>
      </c>
      <c r="C137" s="35" t="s">
        <v>38</v>
      </c>
      <c r="D137" s="35" t="s">
        <v>33</v>
      </c>
      <c r="E137" s="35" t="s">
        <v>25</v>
      </c>
      <c r="F137" s="35" t="s">
        <v>25</v>
      </c>
      <c r="G137" s="35" t="s">
        <v>25</v>
      </c>
      <c r="H137" s="35" t="s">
        <v>37</v>
      </c>
      <c r="I137" s="54">
        <v>44652</v>
      </c>
      <c r="J137" s="55">
        <f>EFEITO!$J$137*EFEITO!$Y$137</f>
        <v>0</v>
      </c>
      <c r="K137" s="55">
        <f ca="1">EFEITO!$L$137*EFEITO!$Z$137</f>
        <v>1716.1884399024098</v>
      </c>
      <c r="L137" s="55">
        <f>EFEITO!$N$137*EFEITO!$AA$137</f>
        <v>3283.1302171642028</v>
      </c>
      <c r="M137" s="55">
        <f>$J$137-EFEITO!$K$137*EFEITO!$Y$137</f>
        <v>0</v>
      </c>
      <c r="N137" s="55">
        <f ca="1">$K$137-EFEITO!$M$137*EFEITO!$Z$137</f>
        <v>0</v>
      </c>
      <c r="O137" s="55">
        <f>$L$137-EFEITO!$O$137*EFEITO!$AA$137</f>
        <v>0</v>
      </c>
      <c r="P137" s="39"/>
      <c r="Q137" s="39"/>
      <c r="R137" s="39"/>
      <c r="S137" s="39"/>
      <c r="T137" s="39"/>
      <c r="U137" s="39"/>
      <c r="V137" s="39"/>
      <c r="W137" s="39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1.25" customHeight="1" x14ac:dyDescent="0.2">
      <c r="A138" s="35" t="s">
        <v>21</v>
      </c>
      <c r="B138" s="35" t="s">
        <v>34</v>
      </c>
      <c r="C138" s="35" t="s">
        <v>38</v>
      </c>
      <c r="D138" s="35" t="s">
        <v>33</v>
      </c>
      <c r="E138" s="35" t="s">
        <v>25</v>
      </c>
      <c r="F138" s="35" t="s">
        <v>25</v>
      </c>
      <c r="G138" s="35" t="s">
        <v>25</v>
      </c>
      <c r="H138" s="35" t="s">
        <v>37</v>
      </c>
      <c r="I138" s="54">
        <v>44682</v>
      </c>
      <c r="J138" s="55">
        <f>EFEITO!$J$138*EFEITO!$Y$138</f>
        <v>0</v>
      </c>
      <c r="K138" s="55">
        <f ca="1">EFEITO!$L$138*EFEITO!$Z$138</f>
        <v>67270.273465233186</v>
      </c>
      <c r="L138" s="55">
        <f>EFEITO!$N$138*EFEITO!$AA$138</f>
        <v>128690.45286376898</v>
      </c>
      <c r="M138" s="55">
        <f>$J$138-EFEITO!$K$138*EFEITO!$Y$138</f>
        <v>0</v>
      </c>
      <c r="N138" s="55">
        <f ca="1">$K$138-EFEITO!$M$138*EFEITO!$Z$138</f>
        <v>0</v>
      </c>
      <c r="O138" s="55">
        <f>$L$138-EFEITO!$O$138*EFEITO!$AA$138</f>
        <v>0</v>
      </c>
      <c r="P138" s="39"/>
      <c r="Q138" s="39"/>
      <c r="R138" s="39"/>
      <c r="S138" s="39"/>
      <c r="T138" s="39"/>
      <c r="U138" s="39"/>
      <c r="V138" s="39"/>
      <c r="W138" s="39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1.25" customHeight="1" x14ac:dyDescent="0.2">
      <c r="A139" s="35" t="s">
        <v>27</v>
      </c>
      <c r="B139" s="35" t="s">
        <v>34</v>
      </c>
      <c r="C139" s="35" t="s">
        <v>38</v>
      </c>
      <c r="D139" s="35" t="s">
        <v>33</v>
      </c>
      <c r="E139" s="35" t="s">
        <v>25</v>
      </c>
      <c r="F139" s="35" t="s">
        <v>25</v>
      </c>
      <c r="G139" s="35" t="s">
        <v>25</v>
      </c>
      <c r="H139" s="35" t="s">
        <v>37</v>
      </c>
      <c r="I139" s="54">
        <v>44682</v>
      </c>
      <c r="J139" s="55">
        <f>EFEITO!$J$139*EFEITO!$Y$139</f>
        <v>0</v>
      </c>
      <c r="K139" s="55">
        <f ca="1">EFEITO!$L$139*EFEITO!$Z$139</f>
        <v>989.17177171611752</v>
      </c>
      <c r="L139" s="55">
        <f>EFEITO!$N$139*EFEITO!$AA$139</f>
        <v>1892.3211799933274</v>
      </c>
      <c r="M139" s="55">
        <f>$J$139-EFEITO!$K$139*EFEITO!$Y$139</f>
        <v>0</v>
      </c>
      <c r="N139" s="55">
        <f ca="1">$K$139-EFEITO!$M$139*EFEITO!$Z$139</f>
        <v>0</v>
      </c>
      <c r="O139" s="55">
        <f>$L$139-EFEITO!$O$139*EFEITO!$AA$139</f>
        <v>0</v>
      </c>
      <c r="P139" s="39"/>
      <c r="Q139" s="39"/>
      <c r="R139" s="39"/>
      <c r="S139" s="39"/>
      <c r="T139" s="39"/>
      <c r="U139" s="39"/>
      <c r="V139" s="39"/>
      <c r="W139" s="39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1.25" customHeight="1" x14ac:dyDescent="0.2">
      <c r="A140" s="35" t="s">
        <v>21</v>
      </c>
      <c r="B140" s="35" t="s">
        <v>34</v>
      </c>
      <c r="C140" s="35" t="s">
        <v>38</v>
      </c>
      <c r="D140" s="35" t="s">
        <v>33</v>
      </c>
      <c r="E140" s="35" t="s">
        <v>25</v>
      </c>
      <c r="F140" s="35" t="s">
        <v>25</v>
      </c>
      <c r="G140" s="35" t="s">
        <v>25</v>
      </c>
      <c r="H140" s="35" t="s">
        <v>37</v>
      </c>
      <c r="I140" s="54">
        <v>44713</v>
      </c>
      <c r="J140" s="55">
        <f>EFEITO!$J$140*EFEITO!$Y$140</f>
        <v>0</v>
      </c>
      <c r="K140" s="55">
        <f ca="1">EFEITO!$L$140*EFEITO!$Z$140</f>
        <v>65240.526960324511</v>
      </c>
      <c r="L140" s="55">
        <f>EFEITO!$N$140*EFEITO!$AA$140</f>
        <v>124807.47478950342</v>
      </c>
      <c r="M140" s="55">
        <f>$J$140-EFEITO!$K$140*EFEITO!$Y$140</f>
        <v>0</v>
      </c>
      <c r="N140" s="55">
        <f ca="1">$K$140-EFEITO!$M$140*EFEITO!$Z$140</f>
        <v>0</v>
      </c>
      <c r="O140" s="55">
        <f>$L$140-EFEITO!$O$140*EFEITO!$AA$140</f>
        <v>0</v>
      </c>
      <c r="P140" s="39"/>
      <c r="Q140" s="39"/>
      <c r="R140" s="39"/>
      <c r="S140" s="39"/>
      <c r="T140" s="39"/>
      <c r="U140" s="39"/>
      <c r="V140" s="39"/>
      <c r="W140" s="39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1.25" customHeight="1" x14ac:dyDescent="0.2">
      <c r="A141" s="35" t="s">
        <v>27</v>
      </c>
      <c r="B141" s="35" t="s">
        <v>34</v>
      </c>
      <c r="C141" s="35" t="s">
        <v>38</v>
      </c>
      <c r="D141" s="35" t="s">
        <v>33</v>
      </c>
      <c r="E141" s="35" t="s">
        <v>25</v>
      </c>
      <c r="F141" s="35" t="s">
        <v>25</v>
      </c>
      <c r="G141" s="35" t="s">
        <v>25</v>
      </c>
      <c r="H141" s="35" t="s">
        <v>37</v>
      </c>
      <c r="I141" s="54">
        <v>44713</v>
      </c>
      <c r="J141" s="55">
        <f>EFEITO!$J$141*EFEITO!$Y$141</f>
        <v>0</v>
      </c>
      <c r="K141" s="55">
        <f ca="1">EFEITO!$L$141*EFEITO!$Z$141</f>
        <v>2089.8656207224162</v>
      </c>
      <c r="L141" s="55">
        <f>EFEITO!$N$141*EFEITO!$AA$141</f>
        <v>3997.9881053135123</v>
      </c>
      <c r="M141" s="55">
        <f>$J$141-EFEITO!$K$141*EFEITO!$Y$141</f>
        <v>0</v>
      </c>
      <c r="N141" s="55">
        <f ca="1">$K$141-EFEITO!$M$141*EFEITO!$Z$141</f>
        <v>0</v>
      </c>
      <c r="O141" s="55">
        <f>$L$141-EFEITO!$O$141*EFEITO!$AA$141</f>
        <v>0</v>
      </c>
      <c r="P141" s="39"/>
      <c r="Q141" s="39"/>
      <c r="R141" s="39"/>
      <c r="S141" s="39"/>
      <c r="T141" s="39"/>
      <c r="U141" s="39"/>
      <c r="V141" s="39"/>
      <c r="W141" s="39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1.25" customHeight="1" x14ac:dyDescent="0.2">
      <c r="A142" s="35" t="s">
        <v>21</v>
      </c>
      <c r="B142" s="35" t="s">
        <v>34</v>
      </c>
      <c r="C142" s="35" t="s">
        <v>38</v>
      </c>
      <c r="D142" s="35" t="s">
        <v>33</v>
      </c>
      <c r="E142" s="35" t="s">
        <v>25</v>
      </c>
      <c r="F142" s="35" t="s">
        <v>25</v>
      </c>
      <c r="G142" s="35" t="s">
        <v>25</v>
      </c>
      <c r="H142" s="35" t="s">
        <v>37</v>
      </c>
      <c r="I142" s="54">
        <v>44743</v>
      </c>
      <c r="J142" s="55">
        <f>EFEITO!$J$142*EFEITO!$Y$142</f>
        <v>0</v>
      </c>
      <c r="K142" s="55">
        <f ca="1">EFEITO!$L$142*EFEITO!$Z$142</f>
        <v>59030.937468402575</v>
      </c>
      <c r="L142" s="55">
        <f>EFEITO!$N$142*EFEITO!$AA$142</f>
        <v>112928.30673131891</v>
      </c>
      <c r="M142" s="55">
        <f>$J$142-EFEITO!$K$142*EFEITO!$Y$142</f>
        <v>0</v>
      </c>
      <c r="N142" s="55">
        <f ca="1">$K$142-EFEITO!$M$142*EFEITO!$Z$142</f>
        <v>0</v>
      </c>
      <c r="O142" s="55">
        <f>$L$142-EFEITO!$O$142*EFEITO!$AA$142</f>
        <v>0</v>
      </c>
      <c r="P142" s="39"/>
      <c r="Q142" s="39"/>
      <c r="R142" s="39"/>
      <c r="S142" s="39"/>
      <c r="T142" s="39"/>
      <c r="U142" s="39"/>
      <c r="V142" s="39"/>
      <c r="W142" s="39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1.25" customHeight="1" x14ac:dyDescent="0.2">
      <c r="A143" s="35" t="s">
        <v>27</v>
      </c>
      <c r="B143" s="35" t="s">
        <v>34</v>
      </c>
      <c r="C143" s="35" t="s">
        <v>38</v>
      </c>
      <c r="D143" s="35" t="s">
        <v>33</v>
      </c>
      <c r="E143" s="35" t="s">
        <v>25</v>
      </c>
      <c r="F143" s="35" t="s">
        <v>25</v>
      </c>
      <c r="G143" s="35" t="s">
        <v>25</v>
      </c>
      <c r="H143" s="35" t="s">
        <v>37</v>
      </c>
      <c r="I143" s="54">
        <v>44743</v>
      </c>
      <c r="J143" s="55">
        <f>EFEITO!$J$143*EFEITO!$Y$143</f>
        <v>0</v>
      </c>
      <c r="K143" s="55">
        <f ca="1">EFEITO!$L$143*EFEITO!$Z$143</f>
        <v>1525.3270090290334</v>
      </c>
      <c r="L143" s="55">
        <f>EFEITO!$N$143*EFEITO!$AA$143</f>
        <v>2918.0054345807634</v>
      </c>
      <c r="M143" s="55">
        <f>$J$143-EFEITO!$K$143*EFEITO!$Y$143</f>
        <v>0</v>
      </c>
      <c r="N143" s="55">
        <f ca="1">$K$143-EFEITO!$M$143*EFEITO!$Z$143</f>
        <v>0</v>
      </c>
      <c r="O143" s="55">
        <f>$L$143-EFEITO!$O$143*EFEITO!$AA$143</f>
        <v>0</v>
      </c>
      <c r="P143" s="39"/>
      <c r="Q143" s="39"/>
      <c r="R143" s="39"/>
      <c r="S143" s="39"/>
      <c r="T143" s="39"/>
      <c r="U143" s="39"/>
      <c r="V143" s="39"/>
      <c r="W143" s="39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1.25" customHeight="1" x14ac:dyDescent="0.2">
      <c r="A144" s="35" t="s">
        <v>53</v>
      </c>
      <c r="B144" s="35" t="s">
        <v>34</v>
      </c>
      <c r="C144" s="35" t="s">
        <v>38</v>
      </c>
      <c r="D144" s="35" t="s">
        <v>33</v>
      </c>
      <c r="E144" s="35" t="s">
        <v>25</v>
      </c>
      <c r="F144" s="35" t="s">
        <v>25</v>
      </c>
      <c r="G144" s="35" t="s">
        <v>25</v>
      </c>
      <c r="H144" s="35" t="s">
        <v>37</v>
      </c>
      <c r="I144" s="54">
        <v>44774</v>
      </c>
      <c r="J144" s="55">
        <f>EFEITO!$J$144*EFEITO!$Y$144</f>
        <v>0</v>
      </c>
      <c r="K144" s="55">
        <f ca="1">EFEITO!$L$144*EFEITO!$Z$144</f>
        <v>59030.937468402575</v>
      </c>
      <c r="L144" s="55">
        <f>EFEITO!$N$144*EFEITO!$AA$144</f>
        <v>112928.30673131891</v>
      </c>
      <c r="M144" s="55">
        <f>$J$144-EFEITO!$K$144*EFEITO!$Y$144</f>
        <v>0</v>
      </c>
      <c r="N144" s="55">
        <f ca="1">$K$144-EFEITO!$M$144*EFEITO!$Z$144</f>
        <v>0</v>
      </c>
      <c r="O144" s="55">
        <f>$L$144-EFEITO!$O$144*EFEITO!$AA$144</f>
        <v>0</v>
      </c>
      <c r="P144" s="39"/>
      <c r="Q144" s="39"/>
      <c r="R144" s="39"/>
      <c r="S144" s="39"/>
      <c r="T144" s="39"/>
      <c r="U144" s="39"/>
      <c r="V144" s="39"/>
      <c r="W144" s="39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1.25" customHeight="1" x14ac:dyDescent="0.2">
      <c r="A145" s="35" t="s">
        <v>53</v>
      </c>
      <c r="B145" s="35" t="s">
        <v>34</v>
      </c>
      <c r="C145" s="35" t="s">
        <v>38</v>
      </c>
      <c r="D145" s="35" t="s">
        <v>33</v>
      </c>
      <c r="E145" s="35" t="s">
        <v>25</v>
      </c>
      <c r="F145" s="35" t="s">
        <v>25</v>
      </c>
      <c r="G145" s="35" t="s">
        <v>25</v>
      </c>
      <c r="H145" s="35" t="s">
        <v>37</v>
      </c>
      <c r="I145" s="54">
        <v>44774</v>
      </c>
      <c r="J145" s="55">
        <f>EFEITO!$J$145*EFEITO!$Y$145</f>
        <v>0</v>
      </c>
      <c r="K145" s="55">
        <f ca="1">EFEITO!$L$145*EFEITO!$Z$145</f>
        <v>1525.3270090290334</v>
      </c>
      <c r="L145" s="55">
        <f>EFEITO!$N$145*EFEITO!$AA$145</f>
        <v>2918.0054345807634</v>
      </c>
      <c r="M145" s="55">
        <f>$J$145-EFEITO!$K$145*EFEITO!$Y$145</f>
        <v>0</v>
      </c>
      <c r="N145" s="55">
        <f ca="1">$K$145-EFEITO!$M$145*EFEITO!$Z$145</f>
        <v>0</v>
      </c>
      <c r="O145" s="55">
        <f>$L$145-EFEITO!$O$145*EFEITO!$AA$145</f>
        <v>0</v>
      </c>
      <c r="P145" s="39"/>
      <c r="Q145" s="39"/>
      <c r="R145" s="39"/>
      <c r="S145" s="39"/>
      <c r="T145" s="39"/>
      <c r="U145" s="39"/>
      <c r="V145" s="39"/>
      <c r="W145" s="39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1.25" customHeight="1" x14ac:dyDescent="0.2">
      <c r="A146" s="35" t="s">
        <v>21</v>
      </c>
      <c r="B146" s="35" t="s">
        <v>34</v>
      </c>
      <c r="C146" s="35" t="s">
        <v>38</v>
      </c>
      <c r="D146" s="35" t="s">
        <v>33</v>
      </c>
      <c r="E146" s="35" t="s">
        <v>25</v>
      </c>
      <c r="F146" s="35" t="s">
        <v>25</v>
      </c>
      <c r="G146" s="35" t="s">
        <v>25</v>
      </c>
      <c r="H146" s="35" t="s">
        <v>25</v>
      </c>
      <c r="I146" s="54">
        <v>44440</v>
      </c>
      <c r="J146" s="55">
        <f ca="1">EFEITO!$J$146*EFEITO!$Y$146</f>
        <v>72289.021421604615</v>
      </c>
      <c r="K146" s="55">
        <f>EFEITO!$L$146*EFEITO!$Z$146</f>
        <v>0</v>
      </c>
      <c r="L146" s="55">
        <f>EFEITO!$N$146*EFEITO!$AA$146</f>
        <v>0</v>
      </c>
      <c r="M146" s="55">
        <f ca="1">$J$146-EFEITO!$K$146*EFEITO!$Y$146</f>
        <v>0</v>
      </c>
      <c r="N146" s="55">
        <f>$K$146-EFEITO!$M$146*EFEITO!$Z$146</f>
        <v>0</v>
      </c>
      <c r="O146" s="55">
        <f>$L$146-EFEITO!$O$146*EFEITO!$AA$146</f>
        <v>0</v>
      </c>
      <c r="P146" s="39"/>
      <c r="Q146" s="39"/>
      <c r="R146" s="39"/>
      <c r="S146" s="39"/>
      <c r="T146" s="39"/>
      <c r="U146" s="39"/>
      <c r="V146" s="39"/>
      <c r="W146" s="39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1.25" customHeight="1" x14ac:dyDescent="0.2">
      <c r="A147" s="35" t="s">
        <v>27</v>
      </c>
      <c r="B147" s="35" t="s">
        <v>34</v>
      </c>
      <c r="C147" s="35" t="s">
        <v>38</v>
      </c>
      <c r="D147" s="35" t="s">
        <v>33</v>
      </c>
      <c r="E147" s="35" t="s">
        <v>25</v>
      </c>
      <c r="F147" s="35" t="s">
        <v>25</v>
      </c>
      <c r="G147" s="35" t="s">
        <v>25</v>
      </c>
      <c r="H147" s="35" t="s">
        <v>25</v>
      </c>
      <c r="I147" s="54">
        <v>44440</v>
      </c>
      <c r="J147" s="55">
        <f ca="1">EFEITO!$J$147*EFEITO!$Y$147</f>
        <v>5158.522261522412</v>
      </c>
      <c r="K147" s="55">
        <f>EFEITO!$L$147*EFEITO!$Z$147</f>
        <v>0</v>
      </c>
      <c r="L147" s="55">
        <f>EFEITO!$N$147*EFEITO!$AA$147</f>
        <v>0</v>
      </c>
      <c r="M147" s="55">
        <f ca="1">$J$147-EFEITO!$K$147*EFEITO!$Y$147</f>
        <v>0</v>
      </c>
      <c r="N147" s="55">
        <f>$K$147-EFEITO!$M$147*EFEITO!$Z$147</f>
        <v>0</v>
      </c>
      <c r="O147" s="55">
        <f>$L$147-EFEITO!$O$147*EFEITO!$AA$147</f>
        <v>0</v>
      </c>
      <c r="P147" s="39"/>
      <c r="Q147" s="39"/>
      <c r="R147" s="39"/>
      <c r="S147" s="39"/>
      <c r="T147" s="39"/>
      <c r="U147" s="39"/>
      <c r="V147" s="39"/>
      <c r="W147" s="39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1.25" customHeight="1" x14ac:dyDescent="0.2">
      <c r="A148" s="35" t="s">
        <v>21</v>
      </c>
      <c r="B148" s="35" t="s">
        <v>34</v>
      </c>
      <c r="C148" s="35" t="s">
        <v>38</v>
      </c>
      <c r="D148" s="35" t="s">
        <v>33</v>
      </c>
      <c r="E148" s="35" t="s">
        <v>25</v>
      </c>
      <c r="F148" s="35" t="s">
        <v>25</v>
      </c>
      <c r="G148" s="35" t="s">
        <v>25</v>
      </c>
      <c r="H148" s="35" t="s">
        <v>25</v>
      </c>
      <c r="I148" s="54">
        <v>44470</v>
      </c>
      <c r="J148" s="55">
        <f ca="1">EFEITO!$J$148*EFEITO!$Y$148</f>
        <v>69314.738315861963</v>
      </c>
      <c r="K148" s="55">
        <f>EFEITO!$L$148*EFEITO!$Z$148</f>
        <v>0</v>
      </c>
      <c r="L148" s="55">
        <f>EFEITO!$N$148*EFEITO!$AA$148</f>
        <v>0</v>
      </c>
      <c r="M148" s="55">
        <f ca="1">$J$148-EFEITO!$K$148*EFEITO!$Y$148</f>
        <v>0</v>
      </c>
      <c r="N148" s="55">
        <f>$K$148-EFEITO!$M$148*EFEITO!$Z$148</f>
        <v>0</v>
      </c>
      <c r="O148" s="55">
        <f>$L$148-EFEITO!$O$148*EFEITO!$AA$148</f>
        <v>0</v>
      </c>
      <c r="P148" s="39"/>
      <c r="Q148" s="39"/>
      <c r="R148" s="39"/>
      <c r="S148" s="39"/>
      <c r="T148" s="39"/>
      <c r="U148" s="39"/>
      <c r="V148" s="39"/>
      <c r="W148" s="39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1.25" customHeight="1" x14ac:dyDescent="0.2">
      <c r="A149" s="35" t="s">
        <v>27</v>
      </c>
      <c r="B149" s="35" t="s">
        <v>34</v>
      </c>
      <c r="C149" s="35" t="s">
        <v>38</v>
      </c>
      <c r="D149" s="35" t="s">
        <v>33</v>
      </c>
      <c r="E149" s="35" t="s">
        <v>25</v>
      </c>
      <c r="F149" s="35" t="s">
        <v>25</v>
      </c>
      <c r="G149" s="35" t="s">
        <v>25</v>
      </c>
      <c r="H149" s="35" t="s">
        <v>25</v>
      </c>
      <c r="I149" s="54">
        <v>44470</v>
      </c>
      <c r="J149" s="55">
        <f ca="1">EFEITO!$J$149*EFEITO!$Y$149</f>
        <v>7784.256565810847</v>
      </c>
      <c r="K149" s="55">
        <f>EFEITO!$L$149*EFEITO!$Z$149</f>
        <v>0</v>
      </c>
      <c r="L149" s="55">
        <f>EFEITO!$N$149*EFEITO!$AA$149</f>
        <v>0</v>
      </c>
      <c r="M149" s="55">
        <f ca="1">$J$149-EFEITO!$K$149*EFEITO!$Y$149</f>
        <v>0</v>
      </c>
      <c r="N149" s="55">
        <f>$K$149-EFEITO!$M$149*EFEITO!$Z$149</f>
        <v>0</v>
      </c>
      <c r="O149" s="55">
        <f>$L$149-EFEITO!$O$149*EFEITO!$AA$149</f>
        <v>0</v>
      </c>
      <c r="P149" s="39"/>
      <c r="Q149" s="39"/>
      <c r="R149" s="39"/>
      <c r="S149" s="39"/>
      <c r="T149" s="39"/>
      <c r="U149" s="39"/>
      <c r="V149" s="39"/>
      <c r="W149" s="39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1.25" customHeight="1" x14ac:dyDescent="0.2">
      <c r="A150" s="35" t="s">
        <v>21</v>
      </c>
      <c r="B150" s="35" t="s">
        <v>34</v>
      </c>
      <c r="C150" s="35" t="s">
        <v>38</v>
      </c>
      <c r="D150" s="35" t="s">
        <v>33</v>
      </c>
      <c r="E150" s="35" t="s">
        <v>25</v>
      </c>
      <c r="F150" s="35" t="s">
        <v>25</v>
      </c>
      <c r="G150" s="35" t="s">
        <v>25</v>
      </c>
      <c r="H150" s="35" t="s">
        <v>25</v>
      </c>
      <c r="I150" s="54">
        <v>44501</v>
      </c>
      <c r="J150" s="55">
        <f ca="1">EFEITO!$J$150*EFEITO!$Y$150</f>
        <v>69732.996877607016</v>
      </c>
      <c r="K150" s="55">
        <f>EFEITO!$L$150*EFEITO!$Z$150</f>
        <v>0</v>
      </c>
      <c r="L150" s="55">
        <f>EFEITO!$N$150*EFEITO!$AA$150</f>
        <v>0</v>
      </c>
      <c r="M150" s="55">
        <f ca="1">$J$150-EFEITO!$K$150*EFEITO!$Y$150</f>
        <v>0</v>
      </c>
      <c r="N150" s="55">
        <f>$K$150-EFEITO!$M$150*EFEITO!$Z$150</f>
        <v>0</v>
      </c>
      <c r="O150" s="55">
        <f>$L$150-EFEITO!$O$150*EFEITO!$AA$150</f>
        <v>0</v>
      </c>
      <c r="P150" s="39"/>
      <c r="Q150" s="39"/>
      <c r="R150" s="39"/>
      <c r="S150" s="39"/>
      <c r="T150" s="39"/>
      <c r="U150" s="39"/>
      <c r="V150" s="39"/>
      <c r="W150" s="39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1.25" customHeight="1" x14ac:dyDescent="0.2">
      <c r="A151" s="35" t="s">
        <v>27</v>
      </c>
      <c r="B151" s="35" t="s">
        <v>34</v>
      </c>
      <c r="C151" s="35" t="s">
        <v>38</v>
      </c>
      <c r="D151" s="35" t="s">
        <v>33</v>
      </c>
      <c r="E151" s="35" t="s">
        <v>25</v>
      </c>
      <c r="F151" s="35" t="s">
        <v>25</v>
      </c>
      <c r="G151" s="35" t="s">
        <v>25</v>
      </c>
      <c r="H151" s="35" t="s">
        <v>25</v>
      </c>
      <c r="I151" s="54">
        <v>44501</v>
      </c>
      <c r="J151" s="55">
        <f ca="1">EFEITO!$J$151*EFEITO!$Y$151</f>
        <v>6622.4272276301235</v>
      </c>
      <c r="K151" s="55">
        <f>EFEITO!$L$151*EFEITO!$Z$151</f>
        <v>0</v>
      </c>
      <c r="L151" s="55">
        <f>EFEITO!$N$151*EFEITO!$AA$151</f>
        <v>0</v>
      </c>
      <c r="M151" s="55">
        <f ca="1">$J$151-EFEITO!$K$151*EFEITO!$Y$151</f>
        <v>0</v>
      </c>
      <c r="N151" s="55">
        <f>$K$151-EFEITO!$M$151*EFEITO!$Z$151</f>
        <v>0</v>
      </c>
      <c r="O151" s="55">
        <f>$L$151-EFEITO!$O$151*EFEITO!$AA$151</f>
        <v>0</v>
      </c>
      <c r="P151" s="39"/>
      <c r="Q151" s="39"/>
      <c r="R151" s="39"/>
      <c r="S151" s="39"/>
      <c r="T151" s="39"/>
      <c r="U151" s="39"/>
      <c r="V151" s="39"/>
      <c r="W151" s="39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1.25" customHeight="1" x14ac:dyDescent="0.2">
      <c r="A152" s="35" t="s">
        <v>21</v>
      </c>
      <c r="B152" s="35" t="s">
        <v>34</v>
      </c>
      <c r="C152" s="35" t="s">
        <v>38</v>
      </c>
      <c r="D152" s="35" t="s">
        <v>33</v>
      </c>
      <c r="E152" s="35" t="s">
        <v>25</v>
      </c>
      <c r="F152" s="35" t="s">
        <v>25</v>
      </c>
      <c r="G152" s="35" t="s">
        <v>25</v>
      </c>
      <c r="H152" s="35" t="s">
        <v>25</v>
      </c>
      <c r="I152" s="54">
        <v>44531</v>
      </c>
      <c r="J152" s="55">
        <f ca="1">EFEITO!$J$152*EFEITO!$Y$152</f>
        <v>65968.66982190148</v>
      </c>
      <c r="K152" s="55">
        <f>EFEITO!$L$152*EFEITO!$Z$152</f>
        <v>0</v>
      </c>
      <c r="L152" s="55">
        <f>EFEITO!$N$152*EFEITO!$AA$152</f>
        <v>0</v>
      </c>
      <c r="M152" s="55">
        <f ca="1">$J$152-EFEITO!$K$152*EFEITO!$Y$152</f>
        <v>0</v>
      </c>
      <c r="N152" s="55">
        <f>$K$152-EFEITO!$M$152*EFEITO!$Z$152</f>
        <v>0</v>
      </c>
      <c r="O152" s="55">
        <f>$L$152-EFEITO!$O$152*EFEITO!$AA$152</f>
        <v>0</v>
      </c>
      <c r="P152" s="39"/>
      <c r="Q152" s="39"/>
      <c r="R152" s="39"/>
      <c r="S152" s="39"/>
      <c r="T152" s="39"/>
      <c r="U152" s="39"/>
      <c r="V152" s="39"/>
      <c r="W152" s="39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1.25" customHeight="1" x14ac:dyDescent="0.2">
      <c r="A153" s="35" t="s">
        <v>27</v>
      </c>
      <c r="B153" s="35" t="s">
        <v>34</v>
      </c>
      <c r="C153" s="35" t="s">
        <v>38</v>
      </c>
      <c r="D153" s="35" t="s">
        <v>33</v>
      </c>
      <c r="E153" s="35" t="s">
        <v>25</v>
      </c>
      <c r="F153" s="35" t="s">
        <v>25</v>
      </c>
      <c r="G153" s="35" t="s">
        <v>25</v>
      </c>
      <c r="H153" s="35" t="s">
        <v>25</v>
      </c>
      <c r="I153" s="54">
        <v>44531</v>
      </c>
      <c r="J153" s="55">
        <f ca="1">EFEITO!$J$153*EFEITO!$Y$153</f>
        <v>11897.132422970608</v>
      </c>
      <c r="K153" s="55">
        <f>EFEITO!$L$153*EFEITO!$Z$153</f>
        <v>0</v>
      </c>
      <c r="L153" s="55">
        <f>EFEITO!$N$153*EFEITO!$AA$153</f>
        <v>0</v>
      </c>
      <c r="M153" s="55">
        <f ca="1">$J$153-EFEITO!$K$153*EFEITO!$Y$153</f>
        <v>0</v>
      </c>
      <c r="N153" s="55">
        <f>$K$153-EFEITO!$M$153*EFEITO!$Z$153</f>
        <v>0</v>
      </c>
      <c r="O153" s="55">
        <f>$L$153-EFEITO!$O$153*EFEITO!$AA$153</f>
        <v>0</v>
      </c>
      <c r="P153" s="39"/>
      <c r="Q153" s="39"/>
      <c r="R153" s="39"/>
      <c r="S153" s="39"/>
      <c r="T153" s="39"/>
      <c r="U153" s="39"/>
      <c r="V153" s="39"/>
      <c r="W153" s="39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1.25" customHeight="1" x14ac:dyDescent="0.2">
      <c r="A154" s="35" t="s">
        <v>21</v>
      </c>
      <c r="B154" s="35" t="s">
        <v>34</v>
      </c>
      <c r="C154" s="35" t="s">
        <v>38</v>
      </c>
      <c r="D154" s="35" t="s">
        <v>33</v>
      </c>
      <c r="E154" s="35" t="s">
        <v>25</v>
      </c>
      <c r="F154" s="35" t="s">
        <v>25</v>
      </c>
      <c r="G154" s="35" t="s">
        <v>25</v>
      </c>
      <c r="H154" s="35" t="s">
        <v>25</v>
      </c>
      <c r="I154" s="54">
        <v>44562</v>
      </c>
      <c r="J154" s="55">
        <f ca="1">EFEITO!$J$154*EFEITO!$Y$154</f>
        <v>68083.199217390385</v>
      </c>
      <c r="K154" s="55">
        <f>EFEITO!$L$154*EFEITO!$Z$154</f>
        <v>0</v>
      </c>
      <c r="L154" s="55">
        <f>EFEITO!$N$154*EFEITO!$AA$154</f>
        <v>0</v>
      </c>
      <c r="M154" s="55">
        <f ca="1">$J$154-EFEITO!$K$154*EFEITO!$Y$154</f>
        <v>0</v>
      </c>
      <c r="N154" s="55">
        <f>$K$154-EFEITO!$M$154*EFEITO!$Z$154</f>
        <v>0</v>
      </c>
      <c r="O154" s="55">
        <f>$L$154-EFEITO!$O$154*EFEITO!$AA$154</f>
        <v>0</v>
      </c>
      <c r="P154" s="39"/>
      <c r="Q154" s="39"/>
      <c r="R154" s="39"/>
      <c r="S154" s="39"/>
      <c r="T154" s="39"/>
      <c r="U154" s="39"/>
      <c r="V154" s="39"/>
      <c r="W154" s="39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1.25" customHeight="1" x14ac:dyDescent="0.2">
      <c r="A155" s="35" t="s">
        <v>27</v>
      </c>
      <c r="B155" s="35" t="s">
        <v>34</v>
      </c>
      <c r="C155" s="35" t="s">
        <v>38</v>
      </c>
      <c r="D155" s="35" t="s">
        <v>33</v>
      </c>
      <c r="E155" s="35" t="s">
        <v>25</v>
      </c>
      <c r="F155" s="35" t="s">
        <v>25</v>
      </c>
      <c r="G155" s="35" t="s">
        <v>25</v>
      </c>
      <c r="H155" s="35" t="s">
        <v>25</v>
      </c>
      <c r="I155" s="54">
        <v>44562</v>
      </c>
      <c r="J155" s="55">
        <f ca="1">EFEITO!$J$155*EFEITO!$Y$155</f>
        <v>11153.561646534945</v>
      </c>
      <c r="K155" s="55">
        <f>EFEITO!$L$155*EFEITO!$Z$155</f>
        <v>0</v>
      </c>
      <c r="L155" s="55">
        <f>EFEITO!$N$155*EFEITO!$AA$155</f>
        <v>0</v>
      </c>
      <c r="M155" s="55">
        <f ca="1">$J$155-EFEITO!$K$155*EFEITO!$Y$155</f>
        <v>0</v>
      </c>
      <c r="N155" s="55">
        <f>$K$155-EFEITO!$M$155*EFEITO!$Z$155</f>
        <v>0</v>
      </c>
      <c r="O155" s="55">
        <f>$L$155-EFEITO!$O$155*EFEITO!$AA$155</f>
        <v>0</v>
      </c>
      <c r="P155" s="39"/>
      <c r="Q155" s="39"/>
      <c r="R155" s="39"/>
      <c r="S155" s="39"/>
      <c r="T155" s="39"/>
      <c r="U155" s="39"/>
      <c r="V155" s="39"/>
      <c r="W155" s="39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1.25" customHeight="1" x14ac:dyDescent="0.2">
      <c r="A156" s="35" t="s">
        <v>21</v>
      </c>
      <c r="B156" s="35" t="s">
        <v>34</v>
      </c>
      <c r="C156" s="35" t="s">
        <v>38</v>
      </c>
      <c r="D156" s="35" t="s">
        <v>33</v>
      </c>
      <c r="E156" s="35" t="s">
        <v>25</v>
      </c>
      <c r="F156" s="35" t="s">
        <v>25</v>
      </c>
      <c r="G156" s="35" t="s">
        <v>25</v>
      </c>
      <c r="H156" s="35" t="s">
        <v>25</v>
      </c>
      <c r="I156" s="54">
        <v>44593</v>
      </c>
      <c r="J156" s="55">
        <f ca="1">EFEITO!$J$156*EFEITO!$Y$156</f>
        <v>67688.177242408943</v>
      </c>
      <c r="K156" s="55">
        <f>EFEITO!$L$156*EFEITO!$Z$156</f>
        <v>0</v>
      </c>
      <c r="L156" s="55">
        <f>EFEITO!$N$156*EFEITO!$AA$156</f>
        <v>0</v>
      </c>
      <c r="M156" s="55">
        <f ca="1">$J$156-EFEITO!$K$156*EFEITO!$Y$156</f>
        <v>0</v>
      </c>
      <c r="N156" s="55">
        <f>$K$156-EFEITO!$M$156*EFEITO!$Z$156</f>
        <v>0</v>
      </c>
      <c r="O156" s="55">
        <f>$L$156-EFEITO!$O$156*EFEITO!$AA$156</f>
        <v>0</v>
      </c>
      <c r="P156" s="39"/>
      <c r="Q156" s="39"/>
      <c r="R156" s="39"/>
      <c r="S156" s="39"/>
      <c r="T156" s="39"/>
      <c r="U156" s="39"/>
      <c r="V156" s="39"/>
      <c r="W156" s="39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1.25" customHeight="1" x14ac:dyDescent="0.2">
      <c r="A157" s="35" t="s">
        <v>27</v>
      </c>
      <c r="B157" s="35" t="s">
        <v>34</v>
      </c>
      <c r="C157" s="35" t="s">
        <v>38</v>
      </c>
      <c r="D157" s="35" t="s">
        <v>33</v>
      </c>
      <c r="E157" s="35" t="s">
        <v>25</v>
      </c>
      <c r="F157" s="35" t="s">
        <v>25</v>
      </c>
      <c r="G157" s="35" t="s">
        <v>25</v>
      </c>
      <c r="H157" s="35" t="s">
        <v>25</v>
      </c>
      <c r="I157" s="54">
        <v>44593</v>
      </c>
      <c r="J157" s="55">
        <f ca="1">EFEITO!$J$157*EFEITO!$Y$157</f>
        <v>9991.7323083542215</v>
      </c>
      <c r="K157" s="55">
        <f>EFEITO!$L$157*EFEITO!$Z$157</f>
        <v>0</v>
      </c>
      <c r="L157" s="55">
        <f>EFEITO!$N$157*EFEITO!$AA$157</f>
        <v>0</v>
      </c>
      <c r="M157" s="55">
        <f ca="1">$J$157-EFEITO!$K$157*EFEITO!$Y$157</f>
        <v>0</v>
      </c>
      <c r="N157" s="55">
        <f>$K$157-EFEITO!$M$157*EFEITO!$Z$157</f>
        <v>0</v>
      </c>
      <c r="O157" s="55">
        <f>$L$157-EFEITO!$O$157*EFEITO!$AA$157</f>
        <v>0</v>
      </c>
      <c r="P157" s="39"/>
      <c r="Q157" s="39"/>
      <c r="R157" s="39"/>
      <c r="S157" s="39"/>
      <c r="T157" s="39"/>
      <c r="U157" s="39"/>
      <c r="V157" s="39"/>
      <c r="W157" s="39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1.25" customHeight="1" x14ac:dyDescent="0.2">
      <c r="A158" s="35" t="s">
        <v>21</v>
      </c>
      <c r="B158" s="35" t="s">
        <v>34</v>
      </c>
      <c r="C158" s="35" t="s">
        <v>38</v>
      </c>
      <c r="D158" s="35" t="s">
        <v>33</v>
      </c>
      <c r="E158" s="35" t="s">
        <v>25</v>
      </c>
      <c r="F158" s="35" t="s">
        <v>25</v>
      </c>
      <c r="G158" s="35" t="s">
        <v>25</v>
      </c>
      <c r="H158" s="35" t="s">
        <v>25</v>
      </c>
      <c r="I158" s="54">
        <v>44621</v>
      </c>
      <c r="J158" s="55">
        <f ca="1">EFEITO!$J$158*EFEITO!$Y$158</f>
        <v>75425.960634692572</v>
      </c>
      <c r="K158" s="55">
        <f>EFEITO!$L$158*EFEITO!$Z$158</f>
        <v>0</v>
      </c>
      <c r="L158" s="55">
        <f>EFEITO!$N$158*EFEITO!$AA$158</f>
        <v>0</v>
      </c>
      <c r="M158" s="55">
        <f ca="1">$J$158-EFEITO!$K$158*EFEITO!$Y$158</f>
        <v>0</v>
      </c>
      <c r="N158" s="55">
        <f>$K$158-EFEITO!$M$158*EFEITO!$Z$158</f>
        <v>0</v>
      </c>
      <c r="O158" s="55">
        <f>$L$158-EFEITO!$O$158*EFEITO!$AA$158</f>
        <v>0</v>
      </c>
      <c r="P158" s="39"/>
      <c r="Q158" s="39"/>
      <c r="R158" s="39"/>
      <c r="S158" s="39"/>
      <c r="T158" s="39"/>
      <c r="U158" s="39"/>
      <c r="V158" s="39"/>
      <c r="W158" s="39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1.25" customHeight="1" x14ac:dyDescent="0.2">
      <c r="A159" s="35" t="s">
        <v>27</v>
      </c>
      <c r="B159" s="35" t="s">
        <v>34</v>
      </c>
      <c r="C159" s="35" t="s">
        <v>38</v>
      </c>
      <c r="D159" s="35" t="s">
        <v>33</v>
      </c>
      <c r="E159" s="35" t="s">
        <v>25</v>
      </c>
      <c r="F159" s="35" t="s">
        <v>25</v>
      </c>
      <c r="G159" s="35" t="s">
        <v>25</v>
      </c>
      <c r="H159" s="35" t="s">
        <v>25</v>
      </c>
      <c r="I159" s="54">
        <v>44621</v>
      </c>
      <c r="J159" s="55">
        <f ca="1">EFEITO!$J$159*EFEITO!$Y$159</f>
        <v>10317.044523044824</v>
      </c>
      <c r="K159" s="55">
        <f>EFEITO!$L$159*EFEITO!$Z$159</f>
        <v>0</v>
      </c>
      <c r="L159" s="55">
        <f>EFEITO!$N$159*EFEITO!$AA$159</f>
        <v>0</v>
      </c>
      <c r="M159" s="55">
        <f ca="1">$J$159-EFEITO!$K$159*EFEITO!$Y$159</f>
        <v>0</v>
      </c>
      <c r="N159" s="55">
        <f>$K$159-EFEITO!$M$159*EFEITO!$Z$159</f>
        <v>0</v>
      </c>
      <c r="O159" s="55">
        <f>$L$159-EFEITO!$O$159*EFEITO!$AA$159</f>
        <v>0</v>
      </c>
      <c r="P159" s="39"/>
      <c r="Q159" s="39"/>
      <c r="R159" s="39"/>
      <c r="S159" s="39"/>
      <c r="T159" s="39"/>
      <c r="U159" s="39"/>
      <c r="V159" s="39"/>
      <c r="W159" s="39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1.25" customHeight="1" x14ac:dyDescent="0.2">
      <c r="A160" s="35" t="s">
        <v>21</v>
      </c>
      <c r="B160" s="35" t="s">
        <v>34</v>
      </c>
      <c r="C160" s="35" t="s">
        <v>38</v>
      </c>
      <c r="D160" s="35" t="s">
        <v>33</v>
      </c>
      <c r="E160" s="35" t="s">
        <v>25</v>
      </c>
      <c r="F160" s="35" t="s">
        <v>25</v>
      </c>
      <c r="G160" s="35" t="s">
        <v>25</v>
      </c>
      <c r="H160" s="35" t="s">
        <v>25</v>
      </c>
      <c r="I160" s="54">
        <v>44652</v>
      </c>
      <c r="J160" s="55">
        <f ca="1">EFEITO!$J$160*EFEITO!$Y$160</f>
        <v>74612.680097966062</v>
      </c>
      <c r="K160" s="55">
        <f>EFEITO!$L$160*EFEITO!$Z$160</f>
        <v>0</v>
      </c>
      <c r="L160" s="55">
        <f>EFEITO!$N$160*EFEITO!$AA$160</f>
        <v>0</v>
      </c>
      <c r="M160" s="55">
        <f ca="1">$J$160-EFEITO!$K$160*EFEITO!$Y$160</f>
        <v>0</v>
      </c>
      <c r="N160" s="55">
        <f>$K$160-EFEITO!$M$160*EFEITO!$Z$160</f>
        <v>0</v>
      </c>
      <c r="O160" s="55">
        <f>$L$160-EFEITO!$O$160*EFEITO!$AA$160</f>
        <v>0</v>
      </c>
      <c r="P160" s="39"/>
      <c r="Q160" s="39"/>
      <c r="R160" s="39"/>
      <c r="S160" s="39"/>
      <c r="T160" s="39"/>
      <c r="U160" s="39"/>
      <c r="V160" s="39"/>
      <c r="W160" s="39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1.25" customHeight="1" x14ac:dyDescent="0.2">
      <c r="A161" s="35" t="s">
        <v>27</v>
      </c>
      <c r="B161" s="35" t="s">
        <v>34</v>
      </c>
      <c r="C161" s="35" t="s">
        <v>38</v>
      </c>
      <c r="D161" s="35" t="s">
        <v>33</v>
      </c>
      <c r="E161" s="35" t="s">
        <v>25</v>
      </c>
      <c r="F161" s="35" t="s">
        <v>25</v>
      </c>
      <c r="G161" s="35" t="s">
        <v>25</v>
      </c>
      <c r="H161" s="35" t="s">
        <v>25</v>
      </c>
      <c r="I161" s="54">
        <v>44652</v>
      </c>
      <c r="J161" s="55">
        <f ca="1">EFEITO!$J$161*EFEITO!$Y$161</f>
        <v>10619.120150971812</v>
      </c>
      <c r="K161" s="55">
        <f>EFEITO!$L$161*EFEITO!$Z$161</f>
        <v>0</v>
      </c>
      <c r="L161" s="55">
        <f>EFEITO!$N$161*EFEITO!$AA$161</f>
        <v>0</v>
      </c>
      <c r="M161" s="55">
        <f ca="1">$J$161-EFEITO!$K$161*EFEITO!$Y$161</f>
        <v>0</v>
      </c>
      <c r="N161" s="55">
        <f>$K$161-EFEITO!$M$161*EFEITO!$Z$161</f>
        <v>0</v>
      </c>
      <c r="O161" s="55">
        <f>$L$161-EFEITO!$O$161*EFEITO!$AA$161</f>
        <v>0</v>
      </c>
      <c r="P161" s="39"/>
      <c r="Q161" s="39"/>
      <c r="R161" s="39"/>
      <c r="S161" s="39"/>
      <c r="T161" s="39"/>
      <c r="U161" s="39"/>
      <c r="V161" s="39"/>
      <c r="W161" s="39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1.25" customHeight="1" x14ac:dyDescent="0.2">
      <c r="A162" s="35" t="s">
        <v>21</v>
      </c>
      <c r="B162" s="35" t="s">
        <v>34</v>
      </c>
      <c r="C162" s="35" t="s">
        <v>38</v>
      </c>
      <c r="D162" s="35" t="s">
        <v>33</v>
      </c>
      <c r="E162" s="35" t="s">
        <v>25</v>
      </c>
      <c r="F162" s="35" t="s">
        <v>25</v>
      </c>
      <c r="G162" s="35" t="s">
        <v>25</v>
      </c>
      <c r="H162" s="35" t="s">
        <v>25</v>
      </c>
      <c r="I162" s="54">
        <v>44682</v>
      </c>
      <c r="J162" s="55">
        <f ca="1">EFEITO!$J$162*EFEITO!$Y$162</f>
        <v>74566.206924438826</v>
      </c>
      <c r="K162" s="55">
        <f>EFEITO!$L$162*EFEITO!$Z$162</f>
        <v>0</v>
      </c>
      <c r="L162" s="55">
        <f>EFEITO!$N$162*EFEITO!$AA$162</f>
        <v>0</v>
      </c>
      <c r="M162" s="55">
        <f ca="1">$J$162-EFEITO!$K$162*EFEITO!$Y$162</f>
        <v>0</v>
      </c>
      <c r="N162" s="55">
        <f>$K$162-EFEITO!$M$162*EFEITO!$Z$162</f>
        <v>0</v>
      </c>
      <c r="O162" s="55">
        <f>$L$162-EFEITO!$O$162*EFEITO!$AA$162</f>
        <v>0</v>
      </c>
      <c r="P162" s="39"/>
      <c r="Q162" s="39"/>
      <c r="R162" s="39"/>
      <c r="S162" s="39"/>
      <c r="T162" s="39"/>
      <c r="U162" s="39"/>
      <c r="V162" s="39"/>
      <c r="W162" s="39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1.25" customHeight="1" x14ac:dyDescent="0.2">
      <c r="A163" s="35" t="s">
        <v>27</v>
      </c>
      <c r="B163" s="35" t="s">
        <v>34</v>
      </c>
      <c r="C163" s="35" t="s">
        <v>38</v>
      </c>
      <c r="D163" s="35" t="s">
        <v>33</v>
      </c>
      <c r="E163" s="35" t="s">
        <v>25</v>
      </c>
      <c r="F163" s="35" t="s">
        <v>25</v>
      </c>
      <c r="G163" s="35" t="s">
        <v>25</v>
      </c>
      <c r="H163" s="35" t="s">
        <v>25</v>
      </c>
      <c r="I163" s="54">
        <v>44682</v>
      </c>
      <c r="J163" s="55">
        <f ca="1">EFEITO!$J$163*EFEITO!$Y$163</f>
        <v>10433.227456862896</v>
      </c>
      <c r="K163" s="55">
        <f>EFEITO!$L$163*EFEITO!$Z$163</f>
        <v>0</v>
      </c>
      <c r="L163" s="55">
        <f>EFEITO!$N$163*EFEITO!$AA$163</f>
        <v>0</v>
      </c>
      <c r="M163" s="55">
        <f ca="1">$J$163-EFEITO!$K$163*EFEITO!$Y$163</f>
        <v>0</v>
      </c>
      <c r="N163" s="55">
        <f>$K$163-EFEITO!$M$163*EFEITO!$Z$163</f>
        <v>0</v>
      </c>
      <c r="O163" s="55">
        <f>$L$163-EFEITO!$O$163*EFEITO!$AA$163</f>
        <v>0</v>
      </c>
      <c r="P163" s="39"/>
      <c r="Q163" s="39"/>
      <c r="R163" s="39"/>
      <c r="S163" s="39"/>
      <c r="T163" s="39"/>
      <c r="U163" s="39"/>
      <c r="V163" s="39"/>
      <c r="W163" s="39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1.25" customHeight="1" x14ac:dyDescent="0.2">
      <c r="A164" s="35" t="s">
        <v>21</v>
      </c>
      <c r="B164" s="35" t="s">
        <v>34</v>
      </c>
      <c r="C164" s="35" t="s">
        <v>38</v>
      </c>
      <c r="D164" s="35" t="s">
        <v>33</v>
      </c>
      <c r="E164" s="35" t="s">
        <v>25</v>
      </c>
      <c r="F164" s="35" t="s">
        <v>25</v>
      </c>
      <c r="G164" s="35" t="s">
        <v>25</v>
      </c>
      <c r="H164" s="35" t="s">
        <v>25</v>
      </c>
      <c r="I164" s="54">
        <v>44713</v>
      </c>
      <c r="J164" s="55">
        <f ca="1">EFEITO!$J$164*EFEITO!$Y$164</f>
        <v>74287.367883275452</v>
      </c>
      <c r="K164" s="55">
        <f>EFEITO!$L$164*EFEITO!$Z$164</f>
        <v>0</v>
      </c>
      <c r="L164" s="55">
        <f>EFEITO!$N$164*EFEITO!$AA$164</f>
        <v>0</v>
      </c>
      <c r="M164" s="55">
        <f ca="1">$J$164-EFEITO!$K$164*EFEITO!$Y$164</f>
        <v>0</v>
      </c>
      <c r="N164" s="55">
        <f>$K$164-EFEITO!$M$164*EFEITO!$Z$164</f>
        <v>0</v>
      </c>
      <c r="O164" s="55">
        <f>$L$164-EFEITO!$O$164*EFEITO!$AA$164</f>
        <v>0</v>
      </c>
      <c r="P164" s="39"/>
      <c r="Q164" s="39"/>
      <c r="R164" s="39"/>
      <c r="S164" s="39"/>
      <c r="T164" s="39"/>
      <c r="U164" s="39"/>
      <c r="V164" s="39"/>
      <c r="W164" s="39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1.25" customHeight="1" x14ac:dyDescent="0.2">
      <c r="A165" s="35" t="s">
        <v>27</v>
      </c>
      <c r="B165" s="35" t="s">
        <v>34</v>
      </c>
      <c r="C165" s="35" t="s">
        <v>38</v>
      </c>
      <c r="D165" s="35" t="s">
        <v>33</v>
      </c>
      <c r="E165" s="35" t="s">
        <v>25</v>
      </c>
      <c r="F165" s="35" t="s">
        <v>25</v>
      </c>
      <c r="G165" s="35" t="s">
        <v>25</v>
      </c>
      <c r="H165" s="35" t="s">
        <v>25</v>
      </c>
      <c r="I165" s="54">
        <v>44713</v>
      </c>
      <c r="J165" s="55">
        <f ca="1">EFEITO!$J$165*EFEITO!$Y$165</f>
        <v>10990.905539189644</v>
      </c>
      <c r="K165" s="55">
        <f>EFEITO!$L$165*EFEITO!$Z$165</f>
        <v>0</v>
      </c>
      <c r="L165" s="55">
        <f>EFEITO!$N$165*EFEITO!$AA$165</f>
        <v>0</v>
      </c>
      <c r="M165" s="55">
        <f ca="1">$J$165-EFEITO!$K$165*EFEITO!$Y$165</f>
        <v>0</v>
      </c>
      <c r="N165" s="55">
        <f>$K$165-EFEITO!$M$165*EFEITO!$Z$165</f>
        <v>0</v>
      </c>
      <c r="O165" s="55">
        <f>$L$165-EFEITO!$O$165*EFEITO!$AA$165</f>
        <v>0</v>
      </c>
      <c r="P165" s="39"/>
      <c r="Q165" s="39"/>
      <c r="R165" s="39"/>
      <c r="S165" s="39"/>
      <c r="T165" s="39"/>
      <c r="U165" s="39"/>
      <c r="V165" s="39"/>
      <c r="W165" s="39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1.25" customHeight="1" x14ac:dyDescent="0.2">
      <c r="A166" s="35" t="s">
        <v>21</v>
      </c>
      <c r="B166" s="35" t="s">
        <v>34</v>
      </c>
      <c r="C166" s="35" t="s">
        <v>38</v>
      </c>
      <c r="D166" s="35" t="s">
        <v>33</v>
      </c>
      <c r="E166" s="35" t="s">
        <v>25</v>
      </c>
      <c r="F166" s="35" t="s">
        <v>25</v>
      </c>
      <c r="G166" s="35" t="s">
        <v>25</v>
      </c>
      <c r="H166" s="35" t="s">
        <v>25</v>
      </c>
      <c r="I166" s="54">
        <v>44743</v>
      </c>
      <c r="J166" s="55">
        <f ca="1">EFEITO!$J$166*EFEITO!$Y$166</f>
        <v>70128.018852588459</v>
      </c>
      <c r="K166" s="55">
        <f>EFEITO!$L$166*EFEITO!$Z$166</f>
        <v>0</v>
      </c>
      <c r="L166" s="55">
        <f>EFEITO!$N$166*EFEITO!$AA$166</f>
        <v>0</v>
      </c>
      <c r="M166" s="55">
        <f ca="1">$J$166-EFEITO!$K$166*EFEITO!$Y$166</f>
        <v>0</v>
      </c>
      <c r="N166" s="55">
        <f>$K$166-EFEITO!$M$166*EFEITO!$Z$166</f>
        <v>0</v>
      </c>
      <c r="O166" s="55">
        <f>$L$166-EFEITO!$O$166*EFEITO!$AA$166</f>
        <v>0</v>
      </c>
      <c r="P166" s="39"/>
      <c r="Q166" s="39"/>
      <c r="R166" s="39"/>
      <c r="S166" s="39"/>
      <c r="T166" s="39"/>
      <c r="U166" s="39"/>
      <c r="V166" s="39"/>
      <c r="W166" s="39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1.25" customHeight="1" x14ac:dyDescent="0.2">
      <c r="A167" s="35" t="s">
        <v>27</v>
      </c>
      <c r="B167" s="35" t="s">
        <v>34</v>
      </c>
      <c r="C167" s="35" t="s">
        <v>38</v>
      </c>
      <c r="D167" s="35" t="s">
        <v>33</v>
      </c>
      <c r="E167" s="35" t="s">
        <v>25</v>
      </c>
      <c r="F167" s="35" t="s">
        <v>25</v>
      </c>
      <c r="G167" s="35" t="s">
        <v>25</v>
      </c>
      <c r="H167" s="35" t="s">
        <v>25</v>
      </c>
      <c r="I167" s="54">
        <v>44743</v>
      </c>
      <c r="J167" s="55">
        <f ca="1">EFEITO!$J$167*EFEITO!$Y$167</f>
        <v>10921.1957788988</v>
      </c>
      <c r="K167" s="55">
        <f>EFEITO!$L$167*EFEITO!$Z$167</f>
        <v>0</v>
      </c>
      <c r="L167" s="55">
        <f>EFEITO!$N$167*EFEITO!$AA$167</f>
        <v>0</v>
      </c>
      <c r="M167" s="55">
        <f ca="1">$J$167-EFEITO!$K$167*EFEITO!$Y$167</f>
        <v>0</v>
      </c>
      <c r="N167" s="55">
        <f>$K$167-EFEITO!$M$167*EFEITO!$Z$167</f>
        <v>0</v>
      </c>
      <c r="O167" s="55">
        <f>$L$167-EFEITO!$O$167*EFEITO!$AA$167</f>
        <v>0</v>
      </c>
      <c r="P167" s="39"/>
      <c r="Q167" s="39"/>
      <c r="R167" s="39"/>
      <c r="S167" s="39"/>
      <c r="T167" s="39"/>
      <c r="U167" s="39"/>
      <c r="V167" s="39"/>
      <c r="W167" s="39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1.25" customHeight="1" x14ac:dyDescent="0.2">
      <c r="A168" s="35" t="s">
        <v>53</v>
      </c>
      <c r="B168" s="35" t="s">
        <v>34</v>
      </c>
      <c r="C168" s="35" t="s">
        <v>38</v>
      </c>
      <c r="D168" s="35" t="s">
        <v>33</v>
      </c>
      <c r="E168" s="35" t="s">
        <v>25</v>
      </c>
      <c r="F168" s="35" t="s">
        <v>25</v>
      </c>
      <c r="G168" s="35" t="s">
        <v>25</v>
      </c>
      <c r="H168" s="35" t="s">
        <v>25</v>
      </c>
      <c r="I168" s="54">
        <v>44774</v>
      </c>
      <c r="J168" s="55">
        <f ca="1">EFEITO!$J$168*EFEITO!$Y$168</f>
        <v>70128.018852588459</v>
      </c>
      <c r="K168" s="55">
        <f>EFEITO!$L$168*EFEITO!$Z$168</f>
        <v>0</v>
      </c>
      <c r="L168" s="55">
        <f>EFEITO!$N$168*EFEITO!$AA$168</f>
        <v>0</v>
      </c>
      <c r="M168" s="55">
        <f ca="1">$J$168-EFEITO!$K$168*EFEITO!$Y$168</f>
        <v>0</v>
      </c>
      <c r="N168" s="55">
        <f>$K$168-EFEITO!$M$168*EFEITO!$Z$168</f>
        <v>0</v>
      </c>
      <c r="O168" s="55">
        <f>$L$168-EFEITO!$O$168*EFEITO!$AA$168</f>
        <v>0</v>
      </c>
      <c r="P168" s="39"/>
      <c r="Q168" s="39"/>
      <c r="R168" s="39"/>
      <c r="S168" s="39"/>
      <c r="T168" s="39"/>
      <c r="U168" s="39"/>
      <c r="V168" s="39"/>
      <c r="W168" s="39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1.25" customHeight="1" x14ac:dyDescent="0.2">
      <c r="A169" s="35" t="s">
        <v>53</v>
      </c>
      <c r="B169" s="35" t="s">
        <v>34</v>
      </c>
      <c r="C169" s="35" t="s">
        <v>38</v>
      </c>
      <c r="D169" s="35" t="s">
        <v>33</v>
      </c>
      <c r="E169" s="35" t="s">
        <v>25</v>
      </c>
      <c r="F169" s="35" t="s">
        <v>25</v>
      </c>
      <c r="G169" s="35" t="s">
        <v>25</v>
      </c>
      <c r="H169" s="35" t="s">
        <v>25</v>
      </c>
      <c r="I169" s="54">
        <v>44774</v>
      </c>
      <c r="J169" s="55">
        <f ca="1">EFEITO!$J$169*EFEITO!$Y$169</f>
        <v>10921.1957788988</v>
      </c>
      <c r="K169" s="55">
        <f>EFEITO!$L$169*EFEITO!$Z$169</f>
        <v>0</v>
      </c>
      <c r="L169" s="55">
        <f>EFEITO!$N$169*EFEITO!$AA$169</f>
        <v>0</v>
      </c>
      <c r="M169" s="55">
        <f ca="1">$J$169-EFEITO!$K$169*EFEITO!$Y$169</f>
        <v>0</v>
      </c>
      <c r="N169" s="55">
        <f>$K$169-EFEITO!$M$169*EFEITO!$Z$169</f>
        <v>0</v>
      </c>
      <c r="O169" s="55">
        <f>$L$169-EFEITO!$O$169*EFEITO!$AA$169</f>
        <v>0</v>
      </c>
      <c r="P169" s="39"/>
      <c r="Q169" s="39"/>
      <c r="R169" s="39"/>
      <c r="S169" s="39"/>
      <c r="T169" s="39"/>
      <c r="U169" s="39"/>
      <c r="V169" s="39"/>
      <c r="W169" s="39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1.25" customHeight="1" x14ac:dyDescent="0.2">
      <c r="A170" s="35" t="s">
        <v>21</v>
      </c>
      <c r="B170" s="35" t="s">
        <v>34</v>
      </c>
      <c r="C170" s="35" t="s">
        <v>38</v>
      </c>
      <c r="D170" s="35" t="s">
        <v>33</v>
      </c>
      <c r="E170" s="35" t="s">
        <v>25</v>
      </c>
      <c r="F170" s="35" t="s">
        <v>25</v>
      </c>
      <c r="G170" s="35" t="s">
        <v>25</v>
      </c>
      <c r="H170" s="35" t="s">
        <v>36</v>
      </c>
      <c r="I170" s="54">
        <v>44440</v>
      </c>
      <c r="J170" s="55">
        <f>EFEITO!$J$170*EFEITO!$Y$170</f>
        <v>0</v>
      </c>
      <c r="K170" s="55">
        <f ca="1">EFEITO!$L$170*EFEITO!$Z$170</f>
        <v>30000.358552710088</v>
      </c>
      <c r="L170" s="55">
        <f>EFEITO!$N$170*EFEITO!$AA$170</f>
        <v>3908.8446425867587</v>
      </c>
      <c r="M170" s="55">
        <f>$J$170-EFEITO!$K$170*EFEITO!$Y$170</f>
        <v>0</v>
      </c>
      <c r="N170" s="55">
        <f ca="1">$K$170-EFEITO!$M$170*EFEITO!$Z$170</f>
        <v>0</v>
      </c>
      <c r="O170" s="55">
        <f>$L$170-EFEITO!$O$170*EFEITO!$AA$170</f>
        <v>0</v>
      </c>
      <c r="P170" s="39"/>
      <c r="Q170" s="39"/>
      <c r="R170" s="39"/>
      <c r="S170" s="39"/>
      <c r="T170" s="39"/>
      <c r="U170" s="39"/>
      <c r="V170" s="39"/>
      <c r="W170" s="39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1.25" customHeight="1" x14ac:dyDescent="0.2">
      <c r="A171" s="35" t="s">
        <v>27</v>
      </c>
      <c r="B171" s="35" t="s">
        <v>34</v>
      </c>
      <c r="C171" s="35" t="s">
        <v>38</v>
      </c>
      <c r="D171" s="35" t="s">
        <v>33</v>
      </c>
      <c r="E171" s="35" t="s">
        <v>25</v>
      </c>
      <c r="F171" s="35" t="s">
        <v>25</v>
      </c>
      <c r="G171" s="35" t="s">
        <v>25</v>
      </c>
      <c r="H171" s="35" t="s">
        <v>36</v>
      </c>
      <c r="I171" s="54">
        <v>44440</v>
      </c>
      <c r="J171" s="55">
        <f>EFEITO!$J$171*EFEITO!$Y$171</f>
        <v>0</v>
      </c>
      <c r="K171" s="55">
        <f ca="1">EFEITO!$L$171*EFEITO!$Z$171</f>
        <v>756.36671002457479</v>
      </c>
      <c r="L171" s="55">
        <f>EFEITO!$N$171*EFEITO!$AA$171</f>
        <v>98.549487570822862</v>
      </c>
      <c r="M171" s="55">
        <f>$J$171-EFEITO!$K$171*EFEITO!$Y$171</f>
        <v>0</v>
      </c>
      <c r="N171" s="55">
        <f ca="1">$K$171-EFEITO!$M$171*EFEITO!$Z$171</f>
        <v>0</v>
      </c>
      <c r="O171" s="55">
        <f>$L$171-EFEITO!$O$171*EFEITO!$AA$171</f>
        <v>0</v>
      </c>
      <c r="P171" s="39"/>
      <c r="Q171" s="39"/>
      <c r="R171" s="39"/>
      <c r="S171" s="39"/>
      <c r="T171" s="39"/>
      <c r="U171" s="39"/>
      <c r="V171" s="39"/>
      <c r="W171" s="39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1.25" customHeight="1" x14ac:dyDescent="0.2">
      <c r="A172" s="35" t="s">
        <v>21</v>
      </c>
      <c r="B172" s="35" t="s">
        <v>34</v>
      </c>
      <c r="C172" s="35" t="s">
        <v>38</v>
      </c>
      <c r="D172" s="35" t="s">
        <v>33</v>
      </c>
      <c r="E172" s="35" t="s">
        <v>25</v>
      </c>
      <c r="F172" s="35" t="s">
        <v>25</v>
      </c>
      <c r="G172" s="35" t="s">
        <v>25</v>
      </c>
      <c r="H172" s="35" t="s">
        <v>36</v>
      </c>
      <c r="I172" s="54">
        <v>44470</v>
      </c>
      <c r="J172" s="55">
        <f>EFEITO!$J$172*EFEITO!$Y$172</f>
        <v>0</v>
      </c>
      <c r="K172" s="55">
        <f ca="1">EFEITO!$L$172*EFEITO!$Z$172</f>
        <v>29898.634613400925</v>
      </c>
      <c r="L172" s="55">
        <f>EFEITO!$N$172*EFEITO!$AA$172</f>
        <v>3895.5906984882968</v>
      </c>
      <c r="M172" s="55">
        <f>$J$172-EFEITO!$K$172*EFEITO!$Y$172</f>
        <v>0</v>
      </c>
      <c r="N172" s="55">
        <f ca="1">$K$172-EFEITO!$M$172*EFEITO!$Z$172</f>
        <v>0</v>
      </c>
      <c r="O172" s="55">
        <f>$L$172-EFEITO!$O$172*EFEITO!$AA$172</f>
        <v>0</v>
      </c>
      <c r="P172" s="39"/>
      <c r="Q172" s="39"/>
      <c r="R172" s="39"/>
      <c r="S172" s="39"/>
      <c r="T172" s="39"/>
      <c r="U172" s="39"/>
      <c r="V172" s="39"/>
      <c r="W172" s="39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1.25" customHeight="1" x14ac:dyDescent="0.2">
      <c r="A173" s="35" t="s">
        <v>27</v>
      </c>
      <c r="B173" s="35" t="s">
        <v>34</v>
      </c>
      <c r="C173" s="35" t="s">
        <v>38</v>
      </c>
      <c r="D173" s="35" t="s">
        <v>33</v>
      </c>
      <c r="E173" s="35" t="s">
        <v>25</v>
      </c>
      <c r="F173" s="35" t="s">
        <v>25</v>
      </c>
      <c r="G173" s="35" t="s">
        <v>25</v>
      </c>
      <c r="H173" s="35" t="s">
        <v>36</v>
      </c>
      <c r="I173" s="54">
        <v>44470</v>
      </c>
      <c r="J173" s="55">
        <f>EFEITO!$J$173*EFEITO!$Y$173</f>
        <v>0</v>
      </c>
      <c r="K173" s="55">
        <f ca="1">EFEITO!$L$173*EFEITO!$Z$173</f>
        <v>679.25340119343593</v>
      </c>
      <c r="L173" s="55">
        <f>EFEITO!$N$173*EFEITO!$AA$173</f>
        <v>88.502142851020949</v>
      </c>
      <c r="M173" s="55">
        <f>$J$173-EFEITO!$K$173*EFEITO!$Y$173</f>
        <v>0</v>
      </c>
      <c r="N173" s="55">
        <f ca="1">$K$173-EFEITO!$M$173*EFEITO!$Z$173</f>
        <v>0</v>
      </c>
      <c r="O173" s="55">
        <f>$L$173-EFEITO!$O$173*EFEITO!$AA$173</f>
        <v>0</v>
      </c>
      <c r="P173" s="39"/>
      <c r="Q173" s="39"/>
      <c r="R173" s="39"/>
      <c r="S173" s="39"/>
      <c r="T173" s="39"/>
      <c r="U173" s="39"/>
      <c r="V173" s="39"/>
      <c r="W173" s="39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1.25" customHeight="1" x14ac:dyDescent="0.2">
      <c r="A174" s="35" t="s">
        <v>21</v>
      </c>
      <c r="B174" s="35" t="s">
        <v>34</v>
      </c>
      <c r="C174" s="35" t="s">
        <v>38</v>
      </c>
      <c r="D174" s="35" t="s">
        <v>33</v>
      </c>
      <c r="E174" s="35" t="s">
        <v>25</v>
      </c>
      <c r="F174" s="35" t="s">
        <v>25</v>
      </c>
      <c r="G174" s="35" t="s">
        <v>25</v>
      </c>
      <c r="H174" s="35" t="s">
        <v>36</v>
      </c>
      <c r="I174" s="54">
        <v>44501</v>
      </c>
      <c r="J174" s="55">
        <f>EFEITO!$J$174*EFEITO!$Y$174</f>
        <v>0</v>
      </c>
      <c r="K174" s="55">
        <f ca="1">EFEITO!$L$174*EFEITO!$Z$174</f>
        <v>28874.832385515168</v>
      </c>
      <c r="L174" s="55">
        <f>EFEITO!$N$174*EFEITO!$AA$174</f>
        <v>3762.1961643360332</v>
      </c>
      <c r="M174" s="55">
        <f>$J$174-EFEITO!$K$174*EFEITO!$Y$174</f>
        <v>0</v>
      </c>
      <c r="N174" s="55">
        <f ca="1">$K$174-EFEITO!$M$174*EFEITO!$Z$174</f>
        <v>0</v>
      </c>
      <c r="O174" s="55">
        <f>$L$174-EFEITO!$O$174*EFEITO!$AA$174</f>
        <v>0</v>
      </c>
      <c r="P174" s="39"/>
      <c r="Q174" s="39"/>
      <c r="R174" s="39"/>
      <c r="S174" s="39"/>
      <c r="T174" s="39"/>
      <c r="U174" s="39"/>
      <c r="V174" s="39"/>
      <c r="W174" s="39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1.25" customHeight="1" x14ac:dyDescent="0.2">
      <c r="A175" s="35" t="s">
        <v>27</v>
      </c>
      <c r="B175" s="35" t="s">
        <v>34</v>
      </c>
      <c r="C175" s="35" t="s">
        <v>38</v>
      </c>
      <c r="D175" s="35" t="s">
        <v>33</v>
      </c>
      <c r="E175" s="35" t="s">
        <v>25</v>
      </c>
      <c r="F175" s="35" t="s">
        <v>25</v>
      </c>
      <c r="G175" s="35" t="s">
        <v>25</v>
      </c>
      <c r="H175" s="35" t="s">
        <v>36</v>
      </c>
      <c r="I175" s="54">
        <v>44501</v>
      </c>
      <c r="J175" s="55">
        <f>EFEITO!$J$175*EFEITO!$Y$175</f>
        <v>0</v>
      </c>
      <c r="K175" s="55">
        <f ca="1">EFEITO!$L$175*EFEITO!$Z$175</f>
        <v>14.766378286813824</v>
      </c>
      <c r="L175" s="55">
        <f>EFEITO!$N$175*EFEITO!$AA$175</f>
        <v>1.9239596271961077</v>
      </c>
      <c r="M175" s="55">
        <f>$J$175-EFEITO!$K$175*EFEITO!$Y$175</f>
        <v>0</v>
      </c>
      <c r="N175" s="55">
        <f ca="1">$K$175-EFEITO!$M$175*EFEITO!$Z$175</f>
        <v>0</v>
      </c>
      <c r="O175" s="55">
        <f>$L$175-EFEITO!$O$175*EFEITO!$AA$175</f>
        <v>0</v>
      </c>
      <c r="P175" s="39"/>
      <c r="Q175" s="39"/>
      <c r="R175" s="39"/>
      <c r="S175" s="39"/>
      <c r="T175" s="39"/>
      <c r="U175" s="39"/>
      <c r="V175" s="39"/>
      <c r="W175" s="39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1.25" customHeight="1" x14ac:dyDescent="0.2">
      <c r="A176" s="35" t="s">
        <v>21</v>
      </c>
      <c r="B176" s="35" t="s">
        <v>34</v>
      </c>
      <c r="C176" s="35" t="s">
        <v>38</v>
      </c>
      <c r="D176" s="35" t="s">
        <v>33</v>
      </c>
      <c r="E176" s="35" t="s">
        <v>25</v>
      </c>
      <c r="F176" s="35" t="s">
        <v>25</v>
      </c>
      <c r="G176" s="35" t="s">
        <v>25</v>
      </c>
      <c r="H176" s="35" t="s">
        <v>36</v>
      </c>
      <c r="I176" s="54">
        <v>44531</v>
      </c>
      <c r="J176" s="55">
        <f>EFEITO!$J$176*EFEITO!$Y$176</f>
        <v>0</v>
      </c>
      <c r="K176" s="55">
        <f ca="1">EFEITO!$L$176*EFEITO!$Z$176</f>
        <v>29600.025630267581</v>
      </c>
      <c r="L176" s="55">
        <f>EFEITO!$N$176*EFEITO!$AA$176</f>
        <v>3856.6839593605532</v>
      </c>
      <c r="M176" s="55">
        <f>$J$176-EFEITO!$K$176*EFEITO!$Y$176</f>
        <v>0</v>
      </c>
      <c r="N176" s="55">
        <f ca="1">$K$176-EFEITO!$M$176*EFEITO!$Z$176</f>
        <v>0</v>
      </c>
      <c r="O176" s="55">
        <f>$L$176-EFEITO!$O$176*EFEITO!$AA$176</f>
        <v>0</v>
      </c>
      <c r="P176" s="39"/>
      <c r="Q176" s="39"/>
      <c r="R176" s="39"/>
      <c r="S176" s="39"/>
      <c r="T176" s="39"/>
      <c r="U176" s="39"/>
      <c r="V176" s="39"/>
      <c r="W176" s="39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1.25" customHeight="1" x14ac:dyDescent="0.2">
      <c r="A177" s="35" t="s">
        <v>27</v>
      </c>
      <c r="B177" s="35" t="s">
        <v>34</v>
      </c>
      <c r="C177" s="35" t="s">
        <v>38</v>
      </c>
      <c r="D177" s="35" t="s">
        <v>33</v>
      </c>
      <c r="E177" s="35" t="s">
        <v>25</v>
      </c>
      <c r="F177" s="35" t="s">
        <v>25</v>
      </c>
      <c r="G177" s="35" t="s">
        <v>25</v>
      </c>
      <c r="H177" s="35" t="s">
        <v>36</v>
      </c>
      <c r="I177" s="54">
        <v>44531</v>
      </c>
      <c r="J177" s="55">
        <f>EFEITO!$J$177*EFEITO!$Y$177</f>
        <v>0</v>
      </c>
      <c r="K177" s="55">
        <f ca="1">EFEITO!$L$177*EFEITO!$Z$177</f>
        <v>1082.8677410330138</v>
      </c>
      <c r="L177" s="55">
        <f>EFEITO!$N$177*EFEITO!$AA$177</f>
        <v>141.09037266104789</v>
      </c>
      <c r="M177" s="55">
        <f>$J$177-EFEITO!$K$177*EFEITO!$Y$177</f>
        <v>0</v>
      </c>
      <c r="N177" s="55">
        <f ca="1">$K$177-EFEITO!$M$177*EFEITO!$Z$177</f>
        <v>0</v>
      </c>
      <c r="O177" s="55">
        <f>$L$177-EFEITO!$O$177*EFEITO!$AA$177</f>
        <v>0</v>
      </c>
      <c r="P177" s="39"/>
      <c r="Q177" s="39"/>
      <c r="R177" s="39"/>
      <c r="S177" s="39"/>
      <c r="T177" s="39"/>
      <c r="U177" s="39"/>
      <c r="V177" s="39"/>
      <c r="W177" s="39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1.25" customHeight="1" x14ac:dyDescent="0.2">
      <c r="A178" s="35" t="s">
        <v>21</v>
      </c>
      <c r="B178" s="35" t="s">
        <v>34</v>
      </c>
      <c r="C178" s="35" t="s">
        <v>38</v>
      </c>
      <c r="D178" s="35" t="s">
        <v>33</v>
      </c>
      <c r="E178" s="35" t="s">
        <v>25</v>
      </c>
      <c r="F178" s="35" t="s">
        <v>25</v>
      </c>
      <c r="G178" s="35" t="s">
        <v>25</v>
      </c>
      <c r="H178" s="35" t="s">
        <v>36</v>
      </c>
      <c r="I178" s="54">
        <v>44562</v>
      </c>
      <c r="J178" s="55">
        <f>EFEITO!$J$178*EFEITO!$Y$178</f>
        <v>0</v>
      </c>
      <c r="K178" s="55">
        <f ca="1">EFEITO!$L$178*EFEITO!$Z$178</f>
        <v>35244.063553227534</v>
      </c>
      <c r="L178" s="55">
        <f>EFEITO!$N$178*EFEITO!$AA$178</f>
        <v>4592.0640835332879</v>
      </c>
      <c r="M178" s="55">
        <f>$J$178-EFEITO!$K$178*EFEITO!$Y$178</f>
        <v>0</v>
      </c>
      <c r="N178" s="55">
        <f ca="1">$K$178-EFEITO!$M$178*EFEITO!$Z$178</f>
        <v>0</v>
      </c>
      <c r="O178" s="55">
        <f>$L$178-EFEITO!$O$178*EFEITO!$AA$178</f>
        <v>0</v>
      </c>
      <c r="P178" s="39"/>
      <c r="Q178" s="39"/>
      <c r="R178" s="39"/>
      <c r="S178" s="39"/>
      <c r="T178" s="39"/>
      <c r="U178" s="39"/>
      <c r="V178" s="39"/>
      <c r="W178" s="39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1.25" customHeight="1" x14ac:dyDescent="0.2">
      <c r="A179" s="35" t="s">
        <v>27</v>
      </c>
      <c r="B179" s="35" t="s">
        <v>34</v>
      </c>
      <c r="C179" s="35" t="s">
        <v>38</v>
      </c>
      <c r="D179" s="35" t="s">
        <v>33</v>
      </c>
      <c r="E179" s="35" t="s">
        <v>25</v>
      </c>
      <c r="F179" s="35" t="s">
        <v>25</v>
      </c>
      <c r="G179" s="35" t="s">
        <v>25</v>
      </c>
      <c r="H179" s="35" t="s">
        <v>36</v>
      </c>
      <c r="I179" s="54">
        <v>44562</v>
      </c>
      <c r="J179" s="55">
        <f>EFEITO!$J$179*EFEITO!$Y$179</f>
        <v>0</v>
      </c>
      <c r="K179" s="55">
        <f ca="1">EFEITO!$L$179*EFEITO!$Z$179</f>
        <v>177.19653944176591</v>
      </c>
      <c r="L179" s="55">
        <f>EFEITO!$N$179*EFEITO!$AA$179</f>
        <v>23.087515526353293</v>
      </c>
      <c r="M179" s="55">
        <f>$J$179-EFEITO!$K$179*EFEITO!$Y$179</f>
        <v>0</v>
      </c>
      <c r="N179" s="55">
        <f ca="1">$K$179-EFEITO!$M$179*EFEITO!$Z$179</f>
        <v>0</v>
      </c>
      <c r="O179" s="55">
        <f>$L$179-EFEITO!$O$179*EFEITO!$AA$179</f>
        <v>0</v>
      </c>
      <c r="P179" s="39"/>
      <c r="Q179" s="39"/>
      <c r="R179" s="39"/>
      <c r="S179" s="39"/>
      <c r="T179" s="39"/>
      <c r="U179" s="39"/>
      <c r="V179" s="39"/>
      <c r="W179" s="39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1.25" customHeight="1" x14ac:dyDescent="0.2">
      <c r="A180" s="35" t="s">
        <v>21</v>
      </c>
      <c r="B180" s="35" t="s">
        <v>34</v>
      </c>
      <c r="C180" s="35" t="s">
        <v>38</v>
      </c>
      <c r="D180" s="35" t="s">
        <v>33</v>
      </c>
      <c r="E180" s="35" t="s">
        <v>25</v>
      </c>
      <c r="F180" s="35" t="s">
        <v>25</v>
      </c>
      <c r="G180" s="35" t="s">
        <v>25</v>
      </c>
      <c r="H180" s="35" t="s">
        <v>36</v>
      </c>
      <c r="I180" s="54">
        <v>44593</v>
      </c>
      <c r="J180" s="55">
        <f>EFEITO!$J$180*EFEITO!$Y$180</f>
        <v>0</v>
      </c>
      <c r="K180" s="55">
        <f ca="1">EFEITO!$L$180*EFEITO!$Z$180</f>
        <v>32407.278213460741</v>
      </c>
      <c r="L180" s="55">
        <f>EFEITO!$N$180*EFEITO!$AA$180</f>
        <v>4222.4500618197244</v>
      </c>
      <c r="M180" s="55">
        <f>$J$180-EFEITO!$K$180*EFEITO!$Y$180</f>
        <v>0</v>
      </c>
      <c r="N180" s="55">
        <f ca="1">$K$180-EFEITO!$M$180*EFEITO!$Z$180</f>
        <v>0</v>
      </c>
      <c r="O180" s="55">
        <f>$L$180-EFEITO!$O$180*EFEITO!$AA$180</f>
        <v>0</v>
      </c>
      <c r="P180" s="39"/>
      <c r="Q180" s="39"/>
      <c r="R180" s="39"/>
      <c r="S180" s="39"/>
      <c r="T180" s="39"/>
      <c r="U180" s="39"/>
      <c r="V180" s="39"/>
      <c r="W180" s="39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1.25" customHeight="1" x14ac:dyDescent="0.2">
      <c r="A181" s="35" t="s">
        <v>27</v>
      </c>
      <c r="B181" s="35" t="s">
        <v>34</v>
      </c>
      <c r="C181" s="35" t="s">
        <v>38</v>
      </c>
      <c r="D181" s="35" t="s">
        <v>33</v>
      </c>
      <c r="E181" s="35" t="s">
        <v>25</v>
      </c>
      <c r="F181" s="35" t="s">
        <v>25</v>
      </c>
      <c r="G181" s="35" t="s">
        <v>25</v>
      </c>
      <c r="H181" s="35" t="s">
        <v>36</v>
      </c>
      <c r="I181" s="54">
        <v>44593</v>
      </c>
      <c r="J181" s="55">
        <f>EFEITO!$J$181*EFEITO!$Y$181</f>
        <v>0</v>
      </c>
      <c r="K181" s="55">
        <f ca="1">EFEITO!$L$181*EFEITO!$Z$181</f>
        <v>9.8442521912092165</v>
      </c>
      <c r="L181" s="55">
        <f>EFEITO!$N$181*EFEITO!$AA$181</f>
        <v>1.2826397514640719</v>
      </c>
      <c r="M181" s="55">
        <f>$J$181-EFEITO!$K$181*EFEITO!$Y$181</f>
        <v>0</v>
      </c>
      <c r="N181" s="55">
        <f ca="1">$K$181-EFEITO!$M$181*EFEITO!$Z$181</f>
        <v>0</v>
      </c>
      <c r="O181" s="55">
        <f>$L$181-EFEITO!$O$181*EFEITO!$AA$181</f>
        <v>0</v>
      </c>
      <c r="P181" s="39"/>
      <c r="Q181" s="39"/>
      <c r="R181" s="39"/>
      <c r="S181" s="39"/>
      <c r="T181" s="39"/>
      <c r="U181" s="39"/>
      <c r="V181" s="39"/>
      <c r="W181" s="39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1.25" customHeight="1" x14ac:dyDescent="0.2">
      <c r="A182" s="35" t="s">
        <v>21</v>
      </c>
      <c r="B182" s="35" t="s">
        <v>34</v>
      </c>
      <c r="C182" s="35" t="s">
        <v>38</v>
      </c>
      <c r="D182" s="35" t="s">
        <v>33</v>
      </c>
      <c r="E182" s="35" t="s">
        <v>25</v>
      </c>
      <c r="F182" s="35" t="s">
        <v>25</v>
      </c>
      <c r="G182" s="35" t="s">
        <v>25</v>
      </c>
      <c r="H182" s="35" t="s">
        <v>36</v>
      </c>
      <c r="I182" s="54">
        <v>44621</v>
      </c>
      <c r="J182" s="55">
        <f>EFEITO!$J$182*EFEITO!$Y$182</f>
        <v>0</v>
      </c>
      <c r="K182" s="55">
        <f ca="1">EFEITO!$L$182*EFEITO!$Z$182</f>
        <v>86363.624473478456</v>
      </c>
      <c r="L182" s="55">
        <f>EFEITO!$N$182*EFEITO!$AA$182</f>
        <v>11252.598539594303</v>
      </c>
      <c r="M182" s="55">
        <f>$J$182-EFEITO!$K$182*EFEITO!$Y$182</f>
        <v>0</v>
      </c>
      <c r="N182" s="55">
        <f ca="1">$K$182-EFEITO!$M$182*EFEITO!$Z$182</f>
        <v>0</v>
      </c>
      <c r="O182" s="55">
        <f>$L$182-EFEITO!$O$182*EFEITO!$AA$182</f>
        <v>0</v>
      </c>
      <c r="P182" s="39"/>
      <c r="Q182" s="39"/>
      <c r="R182" s="39"/>
      <c r="S182" s="39"/>
      <c r="T182" s="39"/>
      <c r="U182" s="39"/>
      <c r="V182" s="39"/>
      <c r="W182" s="39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1.25" customHeight="1" x14ac:dyDescent="0.2">
      <c r="A183" s="35" t="s">
        <v>27</v>
      </c>
      <c r="B183" s="35" t="s">
        <v>34</v>
      </c>
      <c r="C183" s="35" t="s">
        <v>38</v>
      </c>
      <c r="D183" s="35" t="s">
        <v>33</v>
      </c>
      <c r="E183" s="35" t="s">
        <v>25</v>
      </c>
      <c r="F183" s="35" t="s">
        <v>25</v>
      </c>
      <c r="G183" s="35" t="s">
        <v>25</v>
      </c>
      <c r="H183" s="35" t="s">
        <v>36</v>
      </c>
      <c r="I183" s="54">
        <v>44621</v>
      </c>
      <c r="J183" s="55">
        <f>EFEITO!$J$183*EFEITO!$Y$183</f>
        <v>0</v>
      </c>
      <c r="K183" s="55">
        <f ca="1">EFEITO!$L$183*EFEITO!$Z$183</f>
        <v>42.658426161906604</v>
      </c>
      <c r="L183" s="55">
        <f>EFEITO!$N$183*EFEITO!$AA$183</f>
        <v>5.5581055896776439</v>
      </c>
      <c r="M183" s="55">
        <f>$J$183-EFEITO!$K$183*EFEITO!$Y$183</f>
        <v>0</v>
      </c>
      <c r="N183" s="55">
        <f ca="1">$K$183-EFEITO!$M$183*EFEITO!$Z$183</f>
        <v>0</v>
      </c>
      <c r="O183" s="55">
        <f>$L$183-EFEITO!$O$183*EFEITO!$AA$183</f>
        <v>0</v>
      </c>
      <c r="P183" s="39"/>
      <c r="Q183" s="39"/>
      <c r="R183" s="39"/>
      <c r="S183" s="39"/>
      <c r="T183" s="39"/>
      <c r="U183" s="39"/>
      <c r="V183" s="39"/>
      <c r="W183" s="39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1.25" customHeight="1" x14ac:dyDescent="0.2">
      <c r="A184" s="35" t="s">
        <v>21</v>
      </c>
      <c r="B184" s="35" t="s">
        <v>34</v>
      </c>
      <c r="C184" s="35" t="s">
        <v>38</v>
      </c>
      <c r="D184" s="35" t="s">
        <v>33</v>
      </c>
      <c r="E184" s="35" t="s">
        <v>25</v>
      </c>
      <c r="F184" s="35" t="s">
        <v>25</v>
      </c>
      <c r="G184" s="35" t="s">
        <v>25</v>
      </c>
      <c r="H184" s="35" t="s">
        <v>36</v>
      </c>
      <c r="I184" s="54">
        <v>44652</v>
      </c>
      <c r="J184" s="55">
        <f>EFEITO!$J$184*EFEITO!$Y$184</f>
        <v>0</v>
      </c>
      <c r="K184" s="55">
        <f ca="1">EFEITO!$L$184*EFEITO!$Z$184</f>
        <v>66739.107730302887</v>
      </c>
      <c r="L184" s="55">
        <f>EFEITO!$N$184*EFEITO!$AA$184</f>
        <v>8695.6561950506748</v>
      </c>
      <c r="M184" s="55">
        <f>$J$184-EFEITO!$K$184*EFEITO!$Y$184</f>
        <v>0</v>
      </c>
      <c r="N184" s="55">
        <f ca="1">$K$184-EFEITO!$M$184*EFEITO!$Z$184</f>
        <v>0</v>
      </c>
      <c r="O184" s="55">
        <f>$L$184-EFEITO!$O$184*EFEITO!$AA$184</f>
        <v>0</v>
      </c>
      <c r="P184" s="39"/>
      <c r="Q184" s="39"/>
      <c r="R184" s="39"/>
      <c r="S184" s="39"/>
      <c r="T184" s="39"/>
      <c r="U184" s="39"/>
      <c r="V184" s="39"/>
      <c r="W184" s="39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1.25" customHeight="1" x14ac:dyDescent="0.2">
      <c r="A185" s="35" t="s">
        <v>27</v>
      </c>
      <c r="B185" s="35" t="s">
        <v>34</v>
      </c>
      <c r="C185" s="35" t="s">
        <v>38</v>
      </c>
      <c r="D185" s="35" t="s">
        <v>33</v>
      </c>
      <c r="E185" s="35" t="s">
        <v>25</v>
      </c>
      <c r="F185" s="35" t="s">
        <v>25</v>
      </c>
      <c r="G185" s="35" t="s">
        <v>25</v>
      </c>
      <c r="H185" s="35" t="s">
        <v>36</v>
      </c>
      <c r="I185" s="54">
        <v>44652</v>
      </c>
      <c r="J185" s="55">
        <f>EFEITO!$J$185*EFEITO!$Y$185</f>
        <v>0</v>
      </c>
      <c r="K185" s="55">
        <f ca="1">EFEITO!$L$185*EFEITO!$Z$185</f>
        <v>247.74701347876527</v>
      </c>
      <c r="L185" s="55">
        <f>EFEITO!$N$185*EFEITO!$AA$185</f>
        <v>32.279767078512471</v>
      </c>
      <c r="M185" s="55">
        <f>$J$185-EFEITO!$K$185*EFEITO!$Y$185</f>
        <v>0</v>
      </c>
      <c r="N185" s="55">
        <f ca="1">$K$185-EFEITO!$M$185*EFEITO!$Z$185</f>
        <v>0</v>
      </c>
      <c r="O185" s="55">
        <f>$L$185-EFEITO!$O$185*EFEITO!$AA$185</f>
        <v>0</v>
      </c>
      <c r="P185" s="39"/>
      <c r="Q185" s="39"/>
      <c r="R185" s="39"/>
      <c r="S185" s="39"/>
      <c r="T185" s="39"/>
      <c r="U185" s="39"/>
      <c r="V185" s="39"/>
      <c r="W185" s="39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1.25" customHeight="1" x14ac:dyDescent="0.2">
      <c r="A186" s="35" t="s">
        <v>21</v>
      </c>
      <c r="B186" s="35" t="s">
        <v>34</v>
      </c>
      <c r="C186" s="35" t="s">
        <v>38</v>
      </c>
      <c r="D186" s="35" t="s">
        <v>33</v>
      </c>
      <c r="E186" s="35" t="s">
        <v>25</v>
      </c>
      <c r="F186" s="35" t="s">
        <v>25</v>
      </c>
      <c r="G186" s="35" t="s">
        <v>25</v>
      </c>
      <c r="H186" s="35" t="s">
        <v>36</v>
      </c>
      <c r="I186" s="54">
        <v>44682</v>
      </c>
      <c r="J186" s="55">
        <f>EFEITO!$J$186*EFEITO!$Y$186</f>
        <v>0</v>
      </c>
      <c r="K186" s="55">
        <f ca="1">EFEITO!$L$186*EFEITO!$Z$186</f>
        <v>27106.148408494581</v>
      </c>
      <c r="L186" s="55">
        <f>EFEITO!$N$186*EFEITO!$AA$186</f>
        <v>3531.748555656322</v>
      </c>
      <c r="M186" s="55">
        <f>$J$186-EFEITO!$K$186*EFEITO!$Y$186</f>
        <v>0</v>
      </c>
      <c r="N186" s="55">
        <f ca="1">$K$186-EFEITO!$M$186*EFEITO!$Z$186</f>
        <v>0</v>
      </c>
      <c r="O186" s="55">
        <f>$L$186-EFEITO!$O$186*EFEITO!$AA$186</f>
        <v>0</v>
      </c>
      <c r="P186" s="39"/>
      <c r="Q186" s="39"/>
      <c r="R186" s="39"/>
      <c r="S186" s="39"/>
      <c r="T186" s="39"/>
      <c r="U186" s="39"/>
      <c r="V186" s="39"/>
      <c r="W186" s="39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1.25" customHeight="1" x14ac:dyDescent="0.2">
      <c r="A187" s="35" t="s">
        <v>27</v>
      </c>
      <c r="B187" s="35" t="s">
        <v>34</v>
      </c>
      <c r="C187" s="35" t="s">
        <v>38</v>
      </c>
      <c r="D187" s="35" t="s">
        <v>33</v>
      </c>
      <c r="E187" s="35" t="s">
        <v>25</v>
      </c>
      <c r="F187" s="35" t="s">
        <v>25</v>
      </c>
      <c r="G187" s="35" t="s">
        <v>25</v>
      </c>
      <c r="H187" s="35" t="s">
        <v>36</v>
      </c>
      <c r="I187" s="54">
        <v>44682</v>
      </c>
      <c r="J187" s="55">
        <f>EFEITO!$J$187*EFEITO!$Y$187</f>
        <v>0</v>
      </c>
      <c r="K187" s="55">
        <f ca="1">EFEITO!$L$187*EFEITO!$Z$187</f>
        <v>178.83724814030077</v>
      </c>
      <c r="L187" s="55">
        <f>EFEITO!$N$187*EFEITO!$AA$187</f>
        <v>23.30128881826397</v>
      </c>
      <c r="M187" s="55">
        <f>$J$187-EFEITO!$K$187*EFEITO!$Y$187</f>
        <v>0</v>
      </c>
      <c r="N187" s="55">
        <f ca="1">$K$187-EFEITO!$M$187*EFEITO!$Z$187</f>
        <v>0</v>
      </c>
      <c r="O187" s="55">
        <f>$L$187-EFEITO!$O$187*EFEITO!$AA$187</f>
        <v>0</v>
      </c>
      <c r="P187" s="39"/>
      <c r="Q187" s="39"/>
      <c r="R187" s="39"/>
      <c r="S187" s="39"/>
      <c r="T187" s="39"/>
      <c r="U187" s="39"/>
      <c r="V187" s="39"/>
      <c r="W187" s="39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1.25" customHeight="1" x14ac:dyDescent="0.2">
      <c r="A188" s="35" t="s">
        <v>21</v>
      </c>
      <c r="B188" s="35" t="s">
        <v>34</v>
      </c>
      <c r="C188" s="35" t="s">
        <v>38</v>
      </c>
      <c r="D188" s="35" t="s">
        <v>33</v>
      </c>
      <c r="E188" s="35" t="s">
        <v>25</v>
      </c>
      <c r="F188" s="35" t="s">
        <v>25</v>
      </c>
      <c r="G188" s="35" t="s">
        <v>25</v>
      </c>
      <c r="H188" s="35" t="s">
        <v>36</v>
      </c>
      <c r="I188" s="54">
        <v>44713</v>
      </c>
      <c r="J188" s="55">
        <f>EFEITO!$J$188*EFEITO!$Y$188</f>
        <v>0</v>
      </c>
      <c r="K188" s="55">
        <f ca="1">EFEITO!$L$188*EFEITO!$Z$188</f>
        <v>30505.696831858826</v>
      </c>
      <c r="L188" s="55">
        <f>EFEITO!$N$188*EFEITO!$AA$188</f>
        <v>3974.686816495248</v>
      </c>
      <c r="M188" s="55">
        <f>$J$188-EFEITO!$K$188*EFEITO!$Y$188</f>
        <v>0</v>
      </c>
      <c r="N188" s="55">
        <f ca="1">$K$188-EFEITO!$M$188*EFEITO!$Z$188</f>
        <v>0</v>
      </c>
      <c r="O188" s="55">
        <f>$L$188-EFEITO!$O$188*EFEITO!$AA$188</f>
        <v>0</v>
      </c>
      <c r="P188" s="39"/>
      <c r="Q188" s="39"/>
      <c r="R188" s="39"/>
      <c r="S188" s="39"/>
      <c r="T188" s="39"/>
      <c r="U188" s="39"/>
      <c r="V188" s="39"/>
      <c r="W188" s="39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1.25" customHeight="1" x14ac:dyDescent="0.2">
      <c r="A189" s="35" t="s">
        <v>27</v>
      </c>
      <c r="B189" s="35" t="s">
        <v>34</v>
      </c>
      <c r="C189" s="35" t="s">
        <v>38</v>
      </c>
      <c r="D189" s="35" t="s">
        <v>33</v>
      </c>
      <c r="E189" s="35" t="s">
        <v>25</v>
      </c>
      <c r="F189" s="35" t="s">
        <v>25</v>
      </c>
      <c r="G189" s="35" t="s">
        <v>25</v>
      </c>
      <c r="H189" s="35" t="s">
        <v>36</v>
      </c>
      <c r="I189" s="54">
        <v>44713</v>
      </c>
      <c r="J189" s="55">
        <f>EFEITO!$J$189*EFEITO!$Y$189</f>
        <v>0</v>
      </c>
      <c r="K189" s="55">
        <f ca="1">EFEITO!$L$189*EFEITO!$Z$189</f>
        <v>2536.5356479349084</v>
      </c>
      <c r="L189" s="55">
        <f>EFEITO!$N$189*EFEITO!$AA$189</f>
        <v>330.4935092939092</v>
      </c>
      <c r="M189" s="55">
        <f>$J$189-EFEITO!$K$189*EFEITO!$Y$189</f>
        <v>0</v>
      </c>
      <c r="N189" s="55">
        <f ca="1">$K$189-EFEITO!$M$189*EFEITO!$Z$189</f>
        <v>0</v>
      </c>
      <c r="O189" s="55">
        <f>$L$189-EFEITO!$O$189*EFEITO!$AA$189</f>
        <v>0</v>
      </c>
      <c r="P189" s="39"/>
      <c r="Q189" s="39"/>
      <c r="R189" s="39"/>
      <c r="S189" s="39"/>
      <c r="T189" s="39"/>
      <c r="U189" s="39"/>
      <c r="V189" s="39"/>
      <c r="W189" s="39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1.25" customHeight="1" x14ac:dyDescent="0.2">
      <c r="A190" s="35" t="s">
        <v>21</v>
      </c>
      <c r="B190" s="35" t="s">
        <v>34</v>
      </c>
      <c r="C190" s="35" t="s">
        <v>38</v>
      </c>
      <c r="D190" s="35" t="s">
        <v>33</v>
      </c>
      <c r="E190" s="35" t="s">
        <v>25</v>
      </c>
      <c r="F190" s="35" t="s">
        <v>25</v>
      </c>
      <c r="G190" s="35" t="s">
        <v>25</v>
      </c>
      <c r="H190" s="35" t="s">
        <v>36</v>
      </c>
      <c r="I190" s="54">
        <v>44743</v>
      </c>
      <c r="J190" s="55">
        <f>EFEITO!$J$190*EFEITO!$Y$190</f>
        <v>0</v>
      </c>
      <c r="K190" s="55">
        <f ca="1">EFEITO!$L$190*EFEITO!$Z$190</f>
        <v>35877.377110861991</v>
      </c>
      <c r="L190" s="55">
        <f>EFEITO!$N$190*EFEITO!$AA$190</f>
        <v>4674.5805742108096</v>
      </c>
      <c r="M190" s="55">
        <f>$J$190-EFEITO!$K$190*EFEITO!$Y$190</f>
        <v>0</v>
      </c>
      <c r="N190" s="55">
        <f ca="1">$K$190-EFEITO!$M$190*EFEITO!$Z$190</f>
        <v>0</v>
      </c>
      <c r="O190" s="55">
        <f>$L$190-EFEITO!$O$190*EFEITO!$AA$190</f>
        <v>0</v>
      </c>
      <c r="P190" s="39"/>
      <c r="Q190" s="39"/>
      <c r="R190" s="39"/>
      <c r="S190" s="39"/>
      <c r="T190" s="39"/>
      <c r="U190" s="39"/>
      <c r="V190" s="39"/>
      <c r="W190" s="39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1.25" customHeight="1" x14ac:dyDescent="0.2">
      <c r="A191" s="35" t="s">
        <v>27</v>
      </c>
      <c r="B191" s="35" t="s">
        <v>34</v>
      </c>
      <c r="C191" s="35" t="s">
        <v>38</v>
      </c>
      <c r="D191" s="35" t="s">
        <v>33</v>
      </c>
      <c r="E191" s="35" t="s">
        <v>25</v>
      </c>
      <c r="F191" s="35" t="s">
        <v>25</v>
      </c>
      <c r="G191" s="35" t="s">
        <v>25</v>
      </c>
      <c r="H191" s="35" t="s">
        <v>36</v>
      </c>
      <c r="I191" s="54">
        <v>44743</v>
      </c>
      <c r="J191" s="55">
        <f>EFEITO!$J$191*EFEITO!$Y$191</f>
        <v>0</v>
      </c>
      <c r="K191" s="55">
        <f ca="1">EFEITO!$L$191*EFEITO!$Z$191</f>
        <v>2292.0700518532126</v>
      </c>
      <c r="L191" s="55">
        <f>EFEITO!$N$191*EFEITO!$AA$191</f>
        <v>298.64128879921805</v>
      </c>
      <c r="M191" s="55">
        <f>$J$191-EFEITO!$K$191*EFEITO!$Y$191</f>
        <v>0</v>
      </c>
      <c r="N191" s="55">
        <f ca="1">$K$191-EFEITO!$M$191*EFEITO!$Z$191</f>
        <v>0</v>
      </c>
      <c r="O191" s="55">
        <f>$L$191-EFEITO!$O$191*EFEITO!$AA$191</f>
        <v>0</v>
      </c>
      <c r="P191" s="39"/>
      <c r="Q191" s="39"/>
      <c r="R191" s="39"/>
      <c r="S191" s="39"/>
      <c r="T191" s="39"/>
      <c r="U191" s="39"/>
      <c r="V191" s="39"/>
      <c r="W191" s="39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1.25" customHeight="1" x14ac:dyDescent="0.2">
      <c r="A192" s="35" t="s">
        <v>53</v>
      </c>
      <c r="B192" s="35" t="s">
        <v>34</v>
      </c>
      <c r="C192" s="35" t="s">
        <v>38</v>
      </c>
      <c r="D192" s="35" t="s">
        <v>33</v>
      </c>
      <c r="E192" s="35" t="s">
        <v>25</v>
      </c>
      <c r="F192" s="35" t="s">
        <v>25</v>
      </c>
      <c r="G192" s="35" t="s">
        <v>25</v>
      </c>
      <c r="H192" s="35" t="s">
        <v>36</v>
      </c>
      <c r="I192" s="54">
        <v>44774</v>
      </c>
      <c r="J192" s="55">
        <f>EFEITO!$J$192*EFEITO!$Y$192</f>
        <v>0</v>
      </c>
      <c r="K192" s="55">
        <f ca="1">EFEITO!$L$192*EFEITO!$Z$192</f>
        <v>35877.377110861991</v>
      </c>
      <c r="L192" s="55">
        <f>EFEITO!$N$192*EFEITO!$AA$192</f>
        <v>4674.5805742108096</v>
      </c>
      <c r="M192" s="55">
        <f>$J$192-EFEITO!$K$192*EFEITO!$Y$192</f>
        <v>0</v>
      </c>
      <c r="N192" s="55">
        <f ca="1">$K$192-EFEITO!$M$192*EFEITO!$Z$192</f>
        <v>0</v>
      </c>
      <c r="O192" s="55">
        <f>$L$192-EFEITO!$O$192*EFEITO!$AA$192</f>
        <v>0</v>
      </c>
      <c r="P192" s="39"/>
      <c r="Q192" s="39"/>
      <c r="R192" s="39"/>
      <c r="S192" s="39"/>
      <c r="T192" s="39"/>
      <c r="U192" s="39"/>
      <c r="V192" s="39"/>
      <c r="W192" s="39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1.25" customHeight="1" x14ac:dyDescent="0.2">
      <c r="A193" s="35" t="s">
        <v>53</v>
      </c>
      <c r="B193" s="35" t="s">
        <v>34</v>
      </c>
      <c r="C193" s="35" t="s">
        <v>38</v>
      </c>
      <c r="D193" s="35" t="s">
        <v>33</v>
      </c>
      <c r="E193" s="35" t="s">
        <v>25</v>
      </c>
      <c r="F193" s="35" t="s">
        <v>25</v>
      </c>
      <c r="G193" s="35" t="s">
        <v>25</v>
      </c>
      <c r="H193" s="35" t="s">
        <v>36</v>
      </c>
      <c r="I193" s="54">
        <v>44774</v>
      </c>
      <c r="J193" s="55">
        <f>EFEITO!$J$193*EFEITO!$Y$193</f>
        <v>0</v>
      </c>
      <c r="K193" s="55">
        <f ca="1">EFEITO!$L$193*EFEITO!$Z$193</f>
        <v>2292.0700518532126</v>
      </c>
      <c r="L193" s="55">
        <f>EFEITO!$N$193*EFEITO!$AA$193</f>
        <v>298.64128879921805</v>
      </c>
      <c r="M193" s="55">
        <f>$J$193-EFEITO!$K$193*EFEITO!$Y$193</f>
        <v>0</v>
      </c>
      <c r="N193" s="55">
        <f ca="1">$K$193-EFEITO!$M$193*EFEITO!$Z$193</f>
        <v>0</v>
      </c>
      <c r="O193" s="55">
        <f>$L$193-EFEITO!$O$193*EFEITO!$AA$193</f>
        <v>0</v>
      </c>
      <c r="P193" s="39"/>
      <c r="Q193" s="39"/>
      <c r="R193" s="39"/>
      <c r="S193" s="39"/>
      <c r="T193" s="39"/>
      <c r="U193" s="39"/>
      <c r="V193" s="39"/>
      <c r="W193" s="39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1.25" customHeight="1" x14ac:dyDescent="0.2">
      <c r="A194" s="35" t="s">
        <v>27</v>
      </c>
      <c r="B194" s="35" t="s">
        <v>34</v>
      </c>
      <c r="C194" s="35" t="s">
        <v>38</v>
      </c>
      <c r="D194" s="35" t="s">
        <v>41</v>
      </c>
      <c r="E194" s="35" t="s">
        <v>25</v>
      </c>
      <c r="F194" s="35" t="s">
        <v>25</v>
      </c>
      <c r="G194" s="35" t="s">
        <v>25</v>
      </c>
      <c r="H194" s="35" t="s">
        <v>37</v>
      </c>
      <c r="I194" s="54">
        <v>44501</v>
      </c>
      <c r="J194" s="55">
        <f>EFEITO!$J$194*EFEITO!$Y$145</f>
        <v>0</v>
      </c>
      <c r="K194" s="55">
        <f ca="1">EFEITO!$L$194*EFEITO!$Z$145</f>
        <v>257.68528079274364</v>
      </c>
      <c r="L194" s="55">
        <f>EFEITO!$N$194*EFEITO!$AA$145</f>
        <v>492.96121114602494</v>
      </c>
      <c r="M194" s="55">
        <f>$J$194-EFEITO!$K$194*EFEITO!$Y$194</f>
        <v>0</v>
      </c>
      <c r="N194" s="55">
        <f ca="1">$K$194-EFEITO!$M$194*EFEITO!$Z$194</f>
        <v>5.1537056158548467</v>
      </c>
      <c r="O194" s="55">
        <f>$L$194-EFEITO!$O$194*EFEITO!$AA$194</f>
        <v>9.8592242229204885</v>
      </c>
      <c r="P194" s="39"/>
      <c r="Q194" s="39"/>
      <c r="R194" s="39"/>
      <c r="S194" s="39"/>
      <c r="T194" s="39"/>
      <c r="U194" s="39"/>
      <c r="V194" s="39"/>
      <c r="W194" s="39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1.25" customHeight="1" x14ac:dyDescent="0.2">
      <c r="A195" s="35" t="s">
        <v>27</v>
      </c>
      <c r="B195" s="35" t="s">
        <v>34</v>
      </c>
      <c r="C195" s="35" t="s">
        <v>38</v>
      </c>
      <c r="D195" s="35" t="s">
        <v>41</v>
      </c>
      <c r="E195" s="35" t="s">
        <v>25</v>
      </c>
      <c r="F195" s="35" t="s">
        <v>25</v>
      </c>
      <c r="G195" s="35" t="s">
        <v>25</v>
      </c>
      <c r="H195" s="35" t="s">
        <v>37</v>
      </c>
      <c r="I195" s="54">
        <v>44531</v>
      </c>
      <c r="J195" s="55">
        <f>EFEITO!$J$195*EFEITO!$Y$145</f>
        <v>0</v>
      </c>
      <c r="K195" s="55">
        <f ca="1">EFEITO!$L$195*EFEITO!$Z$145</f>
        <v>810.15537109600666</v>
      </c>
      <c r="L195" s="55">
        <f>EFEITO!$N$195*EFEITO!$AA$145</f>
        <v>1549.8563663524201</v>
      </c>
      <c r="M195" s="55">
        <f>$J$195-EFEITO!$K$195*EFEITO!$Y$195</f>
        <v>0</v>
      </c>
      <c r="N195" s="55">
        <f ca="1">$K$195-EFEITO!$M$195*EFEITO!$Z$195</f>
        <v>16.203107421920095</v>
      </c>
      <c r="O195" s="55">
        <f>$L$195-EFEITO!$O$195*EFEITO!$AA$195</f>
        <v>30.997127327048247</v>
      </c>
      <c r="P195" s="39"/>
      <c r="Q195" s="39"/>
      <c r="R195" s="39"/>
      <c r="S195" s="39"/>
      <c r="T195" s="39"/>
      <c r="U195" s="39"/>
      <c r="V195" s="39"/>
      <c r="W195" s="39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1.25" customHeight="1" x14ac:dyDescent="0.2">
      <c r="A196" s="35" t="s">
        <v>27</v>
      </c>
      <c r="B196" s="35" t="s">
        <v>34</v>
      </c>
      <c r="C196" s="35" t="s">
        <v>38</v>
      </c>
      <c r="D196" s="35" t="s">
        <v>41</v>
      </c>
      <c r="E196" s="35" t="s">
        <v>25</v>
      </c>
      <c r="F196" s="35" t="s">
        <v>25</v>
      </c>
      <c r="G196" s="35" t="s">
        <v>25</v>
      </c>
      <c r="H196" s="35" t="s">
        <v>37</v>
      </c>
      <c r="I196" s="54">
        <v>44562</v>
      </c>
      <c r="J196" s="55">
        <f>EFEITO!$J$196*EFEITO!$Y$145</f>
        <v>0</v>
      </c>
      <c r="K196" s="55">
        <f ca="1">EFEITO!$L$196*EFEITO!$Z$145</f>
        <v>1395.8138952220993</v>
      </c>
      <c r="L196" s="55">
        <f>EFEITO!$N$196*EFEITO!$AA$145</f>
        <v>2670.2421892562866</v>
      </c>
      <c r="M196" s="55">
        <f>$J$196-EFEITO!$K$196*EFEITO!$Y$196</f>
        <v>0</v>
      </c>
      <c r="N196" s="55">
        <f ca="1">$K$196-EFEITO!$M$196*EFEITO!$Z$196</f>
        <v>27.91627790444204</v>
      </c>
      <c r="O196" s="55">
        <f>$L$196-EFEITO!$O$196*EFEITO!$AA$196</f>
        <v>53.404843785125195</v>
      </c>
      <c r="P196" s="39"/>
      <c r="Q196" s="39"/>
      <c r="R196" s="39"/>
      <c r="S196" s="39"/>
      <c r="T196" s="39"/>
      <c r="U196" s="39"/>
      <c r="V196" s="39"/>
      <c r="W196" s="39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1.25" customHeight="1" x14ac:dyDescent="0.2">
      <c r="A197" s="35" t="s">
        <v>27</v>
      </c>
      <c r="B197" s="35" t="s">
        <v>34</v>
      </c>
      <c r="C197" s="35" t="s">
        <v>38</v>
      </c>
      <c r="D197" s="35" t="s">
        <v>41</v>
      </c>
      <c r="E197" s="35" t="s">
        <v>25</v>
      </c>
      <c r="F197" s="35" t="s">
        <v>25</v>
      </c>
      <c r="G197" s="35" t="s">
        <v>25</v>
      </c>
      <c r="H197" s="35" t="s">
        <v>37</v>
      </c>
      <c r="I197" s="54">
        <v>44593</v>
      </c>
      <c r="J197" s="55">
        <f>EFEITO!$J$197*EFEITO!$Y$145</f>
        <v>0</v>
      </c>
      <c r="K197" s="55">
        <f ca="1">EFEITO!$L$197*EFEITO!$Z$145</f>
        <v>987.04860591600379</v>
      </c>
      <c r="L197" s="55">
        <f>EFEITO!$N$197*EFEITO!$AA$145</f>
        <v>1888.2594874470244</v>
      </c>
      <c r="M197" s="55">
        <f>$J$197-EFEITO!$K$197*EFEITO!$Y$197</f>
        <v>0</v>
      </c>
      <c r="N197" s="55">
        <f ca="1">$K$197-EFEITO!$M$197*EFEITO!$Z$197</f>
        <v>19.740972118320087</v>
      </c>
      <c r="O197" s="55">
        <f>$L$197-EFEITO!$O$197*EFEITO!$AA$197</f>
        <v>37.765189748940429</v>
      </c>
      <c r="P197" s="39"/>
      <c r="Q197" s="39"/>
      <c r="R197" s="39"/>
      <c r="S197" s="39"/>
      <c r="T197" s="39"/>
      <c r="U197" s="39"/>
      <c r="V197" s="39"/>
      <c r="W197" s="39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1.25" customHeight="1" x14ac:dyDescent="0.2">
      <c r="A198" s="35" t="s">
        <v>27</v>
      </c>
      <c r="B198" s="35" t="s">
        <v>34</v>
      </c>
      <c r="C198" s="35" t="s">
        <v>38</v>
      </c>
      <c r="D198" s="35" t="s">
        <v>41</v>
      </c>
      <c r="E198" s="35" t="s">
        <v>25</v>
      </c>
      <c r="F198" s="35" t="s">
        <v>25</v>
      </c>
      <c r="G198" s="35" t="s">
        <v>25</v>
      </c>
      <c r="H198" s="35" t="s">
        <v>37</v>
      </c>
      <c r="I198" s="54">
        <v>44621</v>
      </c>
      <c r="J198" s="55">
        <f>EFEITO!$J$198*EFEITO!$Y$145</f>
        <v>0</v>
      </c>
      <c r="K198" s="55">
        <f ca="1">EFEITO!$L$198*EFEITO!$Z$145</f>
        <v>1355.8089817252205</v>
      </c>
      <c r="L198" s="55">
        <f>EFEITO!$N$198*EFEITO!$AA$145</f>
        <v>2593.7113507522636</v>
      </c>
      <c r="M198" s="55">
        <f>$J$198-EFEITO!$K$198*EFEITO!$Y$198</f>
        <v>0</v>
      </c>
      <c r="N198" s="55">
        <f ca="1">$K$198-EFEITO!$M$198*EFEITO!$Z$198</f>
        <v>27.116179634504306</v>
      </c>
      <c r="O198" s="55">
        <f>$L$198-EFEITO!$O$198*EFEITO!$AA$198</f>
        <v>51.874227015045108</v>
      </c>
      <c r="P198" s="39"/>
      <c r="Q198" s="39"/>
      <c r="R198" s="39"/>
      <c r="S198" s="39"/>
      <c r="T198" s="39"/>
      <c r="U198" s="39"/>
      <c r="V198" s="39"/>
      <c r="W198" s="39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1.25" customHeight="1" x14ac:dyDescent="0.2">
      <c r="A199" s="35" t="s">
        <v>27</v>
      </c>
      <c r="B199" s="35" t="s">
        <v>34</v>
      </c>
      <c r="C199" s="35" t="s">
        <v>38</v>
      </c>
      <c r="D199" s="35" t="s">
        <v>41</v>
      </c>
      <c r="E199" s="35" t="s">
        <v>25</v>
      </c>
      <c r="F199" s="35" t="s">
        <v>25</v>
      </c>
      <c r="G199" s="35" t="s">
        <v>25</v>
      </c>
      <c r="H199" s="35" t="s">
        <v>37</v>
      </c>
      <c r="I199" s="54">
        <v>44652</v>
      </c>
      <c r="J199" s="55">
        <f>EFEITO!$J$199*EFEITO!$Y$145</f>
        <v>0</v>
      </c>
      <c r="K199" s="55">
        <f ca="1">EFEITO!$L$199*EFEITO!$Z$145</f>
        <v>1103.1522515116935</v>
      </c>
      <c r="L199" s="55">
        <f>EFEITO!$N$199*EFEITO!$AA$145</f>
        <v>2110.3699377422195</v>
      </c>
      <c r="M199" s="55">
        <f>$J$199-EFEITO!$K$199*EFEITO!$Y$199</f>
        <v>0</v>
      </c>
      <c r="N199" s="55">
        <f ca="1">$K$199-EFEITO!$M$199*EFEITO!$Z$199</f>
        <v>22.063045030233752</v>
      </c>
      <c r="O199" s="55">
        <f>$L$199-EFEITO!$O$199*EFEITO!$AA$199</f>
        <v>42.207398754844235</v>
      </c>
      <c r="P199" s="39"/>
      <c r="Q199" s="39"/>
      <c r="R199" s="39"/>
      <c r="S199" s="39"/>
      <c r="T199" s="39"/>
      <c r="U199" s="39"/>
      <c r="V199" s="39"/>
      <c r="W199" s="39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1.25" customHeight="1" x14ac:dyDescent="0.2">
      <c r="A200" s="35" t="s">
        <v>27</v>
      </c>
      <c r="B200" s="35" t="s">
        <v>34</v>
      </c>
      <c r="C200" s="35" t="s">
        <v>38</v>
      </c>
      <c r="D200" s="35" t="s">
        <v>41</v>
      </c>
      <c r="E200" s="35" t="s">
        <v>25</v>
      </c>
      <c r="F200" s="35" t="s">
        <v>25</v>
      </c>
      <c r="G200" s="35" t="s">
        <v>25</v>
      </c>
      <c r="H200" s="35" t="s">
        <v>37</v>
      </c>
      <c r="I200" s="54">
        <v>44682</v>
      </c>
      <c r="J200" s="55">
        <f>EFEITO!$J$200*EFEITO!$Y$145</f>
        <v>0</v>
      </c>
      <c r="K200" s="55">
        <f ca="1">EFEITO!$L$200*EFEITO!$Z$145</f>
        <v>800.21001550600056</v>
      </c>
      <c r="L200" s="55">
        <f>EFEITO!$N$200*EFEITO!$AA$145</f>
        <v>1530.8305433723697</v>
      </c>
      <c r="M200" s="55">
        <f>$J$200-EFEITO!$K$200*EFEITO!$Y$200</f>
        <v>0</v>
      </c>
      <c r="N200" s="55">
        <f ca="1">$K$200-EFEITO!$M$200*EFEITO!$Z$200</f>
        <v>16.004200310120041</v>
      </c>
      <c r="O200" s="55">
        <f>$L$200-EFEITO!$O$200*EFEITO!$AA$200</f>
        <v>30.616610867447434</v>
      </c>
      <c r="P200" s="39"/>
      <c r="Q200" s="39"/>
      <c r="R200" s="39"/>
      <c r="S200" s="39"/>
      <c r="T200" s="39"/>
      <c r="U200" s="39"/>
      <c r="V200" s="39"/>
      <c r="W200" s="39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1.25" customHeight="1" x14ac:dyDescent="0.2">
      <c r="A201" s="35" t="s">
        <v>27</v>
      </c>
      <c r="B201" s="35" t="s">
        <v>34</v>
      </c>
      <c r="C201" s="35" t="s">
        <v>38</v>
      </c>
      <c r="D201" s="35" t="s">
        <v>41</v>
      </c>
      <c r="E201" s="35" t="s">
        <v>25</v>
      </c>
      <c r="F201" s="35" t="s">
        <v>25</v>
      </c>
      <c r="G201" s="35" t="s">
        <v>25</v>
      </c>
      <c r="H201" s="35" t="s">
        <v>37</v>
      </c>
      <c r="I201" s="54">
        <v>44713</v>
      </c>
      <c r="J201" s="55">
        <f>EFEITO!$J$201*EFEITO!$Y$145</f>
        <v>0</v>
      </c>
      <c r="K201" s="55">
        <f ca="1">EFEITO!$L$201*EFEITO!$Z$145</f>
        <v>825.12927726522946</v>
      </c>
      <c r="L201" s="55">
        <f>EFEITO!$N$201*EFEITO!$AA$145</f>
        <v>1578.501987468451</v>
      </c>
      <c r="M201" s="55">
        <f>$J$201-EFEITO!$K$201*EFEITO!$Y$201</f>
        <v>0</v>
      </c>
      <c r="N201" s="55">
        <f ca="1">$K$201-EFEITO!$M$201*EFEITO!$Z$201</f>
        <v>16.502585545304555</v>
      </c>
      <c r="O201" s="55">
        <f>$L$201-EFEITO!$O$201*EFEITO!$AA$201</f>
        <v>31.570039749368789</v>
      </c>
      <c r="P201" s="39"/>
      <c r="Q201" s="39"/>
      <c r="R201" s="39"/>
      <c r="S201" s="39"/>
      <c r="T201" s="39"/>
      <c r="U201" s="39"/>
      <c r="V201" s="39"/>
      <c r="W201" s="39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1.25" customHeight="1" x14ac:dyDescent="0.2">
      <c r="A202" s="35" t="s">
        <v>27</v>
      </c>
      <c r="B202" s="35" t="s">
        <v>34</v>
      </c>
      <c r="C202" s="35" t="s">
        <v>38</v>
      </c>
      <c r="D202" s="35" t="s">
        <v>41</v>
      </c>
      <c r="E202" s="35" t="s">
        <v>25</v>
      </c>
      <c r="F202" s="35" t="s">
        <v>25</v>
      </c>
      <c r="G202" s="35" t="s">
        <v>25</v>
      </c>
      <c r="H202" s="35" t="s">
        <v>37</v>
      </c>
      <c r="I202" s="54">
        <v>44743</v>
      </c>
      <c r="J202" s="55">
        <f>EFEITO!$J$202*EFEITO!$Y$145</f>
        <v>0</v>
      </c>
      <c r="K202" s="55">
        <f ca="1">EFEITO!$L$202*EFEITO!$Z$145</f>
        <v>897.98738787965647</v>
      </c>
      <c r="L202" s="55">
        <f>EFEITO!$N$202*EFEITO!$AA$145</f>
        <v>1717.8821737942135</v>
      </c>
      <c r="M202" s="55">
        <f>$J$202-EFEITO!$K$202*EFEITO!$Y$202</f>
        <v>0</v>
      </c>
      <c r="N202" s="55">
        <f ca="1">$K$202-EFEITO!$M$202*EFEITO!$Z$202</f>
        <v>17.95974775759305</v>
      </c>
      <c r="O202" s="55">
        <f>$L$202-EFEITO!$O$202*EFEITO!$AA$202</f>
        <v>34.357643475884288</v>
      </c>
      <c r="P202" s="39"/>
      <c r="Q202" s="39"/>
      <c r="R202" s="39"/>
      <c r="S202" s="39"/>
      <c r="T202" s="39"/>
      <c r="U202" s="39"/>
      <c r="V202" s="39"/>
      <c r="W202" s="39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1.25" customHeight="1" x14ac:dyDescent="0.2">
      <c r="A203" s="35" t="s">
        <v>53</v>
      </c>
      <c r="B203" s="35" t="s">
        <v>34</v>
      </c>
      <c r="C203" s="35" t="s">
        <v>38</v>
      </c>
      <c r="D203" s="35" t="s">
        <v>41</v>
      </c>
      <c r="E203" s="35" t="s">
        <v>25</v>
      </c>
      <c r="F203" s="35" t="s">
        <v>25</v>
      </c>
      <c r="G203" s="35" t="s">
        <v>25</v>
      </c>
      <c r="H203" s="35" t="s">
        <v>37</v>
      </c>
      <c r="I203" s="54">
        <v>44774</v>
      </c>
      <c r="J203" s="55">
        <f>EFEITO!$J$203*EFEITO!$Y$145</f>
        <v>0</v>
      </c>
      <c r="K203" s="55">
        <f ca="1">EFEITO!$L$203*EFEITO!$Z$145</f>
        <v>897.98738787965647</v>
      </c>
      <c r="L203" s="55">
        <f>EFEITO!$N$203*EFEITO!$AA$145</f>
        <v>1717.8821737942135</v>
      </c>
      <c r="M203" s="55">
        <f>$J$203-EFEITO!$K$203*EFEITO!$Y$203</f>
        <v>0</v>
      </c>
      <c r="N203" s="55">
        <f ca="1">$K$203-EFEITO!$M$203*EFEITO!$Z$203</f>
        <v>17.95974775759305</v>
      </c>
      <c r="O203" s="55">
        <f>$L$203-EFEITO!$O$203*EFEITO!$AA$203</f>
        <v>34.357643475884288</v>
      </c>
      <c r="P203" s="39"/>
      <c r="Q203" s="39"/>
      <c r="R203" s="39"/>
      <c r="S203" s="39"/>
      <c r="T203" s="39"/>
      <c r="U203" s="39"/>
      <c r="V203" s="39"/>
      <c r="W203" s="39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1.25" customHeight="1" x14ac:dyDescent="0.2">
      <c r="A204" s="35" t="s">
        <v>27</v>
      </c>
      <c r="B204" s="35" t="s">
        <v>34</v>
      </c>
      <c r="C204" s="35" t="s">
        <v>38</v>
      </c>
      <c r="D204" s="35" t="s">
        <v>41</v>
      </c>
      <c r="E204" s="35" t="s">
        <v>25</v>
      </c>
      <c r="F204" s="35" t="s">
        <v>25</v>
      </c>
      <c r="G204" s="35" t="s">
        <v>25</v>
      </c>
      <c r="H204" s="35" t="s">
        <v>25</v>
      </c>
      <c r="I204" s="54">
        <v>44501</v>
      </c>
      <c r="J204" s="55">
        <f ca="1">EFEITO!$J$204*EFEITO!$Y$169</f>
        <v>1161.8293381807234</v>
      </c>
      <c r="K204" s="55">
        <f>EFEITO!$L$204*EFEITO!$Z$169</f>
        <v>0</v>
      </c>
      <c r="L204" s="55">
        <f>EFEITO!$N$204*EFEITO!$AA$169</f>
        <v>0</v>
      </c>
      <c r="M204" s="55">
        <f ca="1">$J$204-EFEITO!$K$204*EFEITO!$Y$204</f>
        <v>23.236586763614469</v>
      </c>
      <c r="N204" s="55">
        <f>$K$204-EFEITO!$M$204*EFEITO!$Z$204</f>
        <v>0</v>
      </c>
      <c r="O204" s="55">
        <f>$L$204-EFEITO!$O$204*EFEITO!$AA$204</f>
        <v>0</v>
      </c>
      <c r="P204" s="39"/>
      <c r="Q204" s="39"/>
      <c r="R204" s="39"/>
      <c r="S204" s="39"/>
      <c r="T204" s="39"/>
      <c r="U204" s="39"/>
      <c r="V204" s="39"/>
      <c r="W204" s="39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1.25" customHeight="1" x14ac:dyDescent="0.2">
      <c r="A205" s="35" t="s">
        <v>27</v>
      </c>
      <c r="B205" s="35" t="s">
        <v>34</v>
      </c>
      <c r="C205" s="35" t="s">
        <v>38</v>
      </c>
      <c r="D205" s="35" t="s">
        <v>41</v>
      </c>
      <c r="E205" s="35" t="s">
        <v>25</v>
      </c>
      <c r="F205" s="35" t="s">
        <v>25</v>
      </c>
      <c r="G205" s="35" t="s">
        <v>25</v>
      </c>
      <c r="H205" s="35" t="s">
        <v>25</v>
      </c>
      <c r="I205" s="54">
        <v>44531</v>
      </c>
      <c r="J205" s="55">
        <f ca="1">EFEITO!$J$205*EFEITO!$Y$169</f>
        <v>1161.8293381807234</v>
      </c>
      <c r="K205" s="55">
        <f>EFEITO!$L$205*EFEITO!$Z$169</f>
        <v>0</v>
      </c>
      <c r="L205" s="55">
        <f>EFEITO!$N$205*EFEITO!$AA$169</f>
        <v>0</v>
      </c>
      <c r="M205" s="55">
        <f ca="1">$J$205-EFEITO!$K$205*EFEITO!$Y$205</f>
        <v>23.236586763614469</v>
      </c>
      <c r="N205" s="55">
        <f>$K$205-EFEITO!$M$205*EFEITO!$Z$205</f>
        <v>0</v>
      </c>
      <c r="O205" s="55">
        <f>$L$205-EFEITO!$O$205*EFEITO!$AA$205</f>
        <v>0</v>
      </c>
      <c r="P205" s="39"/>
      <c r="Q205" s="39"/>
      <c r="R205" s="39"/>
      <c r="S205" s="39"/>
      <c r="T205" s="39"/>
      <c r="U205" s="39"/>
      <c r="V205" s="39"/>
      <c r="W205" s="39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1.25" customHeight="1" x14ac:dyDescent="0.2">
      <c r="A206" s="35" t="s">
        <v>27</v>
      </c>
      <c r="B206" s="35" t="s">
        <v>34</v>
      </c>
      <c r="C206" s="35" t="s">
        <v>38</v>
      </c>
      <c r="D206" s="35" t="s">
        <v>41</v>
      </c>
      <c r="E206" s="35" t="s">
        <v>25</v>
      </c>
      <c r="F206" s="35" t="s">
        <v>25</v>
      </c>
      <c r="G206" s="35" t="s">
        <v>25</v>
      </c>
      <c r="H206" s="35" t="s">
        <v>25</v>
      </c>
      <c r="I206" s="54">
        <v>44562</v>
      </c>
      <c r="J206" s="55">
        <f ca="1">EFEITO!$J$206*EFEITO!$Y$169</f>
        <v>1278.0122719987958</v>
      </c>
      <c r="K206" s="55">
        <f>EFEITO!$L$206*EFEITO!$Z$169</f>
        <v>0</v>
      </c>
      <c r="L206" s="55">
        <f>EFEITO!$N$206*EFEITO!$AA$169</f>
        <v>0</v>
      </c>
      <c r="M206" s="55">
        <f ca="1">$J$206-EFEITO!$K$206*EFEITO!$Y$206</f>
        <v>25.560245439976143</v>
      </c>
      <c r="N206" s="55">
        <f>$K$206-EFEITO!$M$206*EFEITO!$Z$206</f>
        <v>0</v>
      </c>
      <c r="O206" s="55">
        <f>$L$206-EFEITO!$O$206*EFEITO!$AA$206</f>
        <v>0</v>
      </c>
      <c r="P206" s="39"/>
      <c r="Q206" s="39"/>
      <c r="R206" s="39"/>
      <c r="S206" s="39"/>
      <c r="T206" s="39"/>
      <c r="U206" s="39"/>
      <c r="V206" s="39"/>
      <c r="W206" s="39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1.25" customHeight="1" x14ac:dyDescent="0.2">
      <c r="A207" s="35" t="s">
        <v>27</v>
      </c>
      <c r="B207" s="35" t="s">
        <v>34</v>
      </c>
      <c r="C207" s="35" t="s">
        <v>38</v>
      </c>
      <c r="D207" s="35" t="s">
        <v>41</v>
      </c>
      <c r="E207" s="35" t="s">
        <v>25</v>
      </c>
      <c r="F207" s="35" t="s">
        <v>25</v>
      </c>
      <c r="G207" s="35" t="s">
        <v>25</v>
      </c>
      <c r="H207" s="35" t="s">
        <v>25</v>
      </c>
      <c r="I207" s="54">
        <v>44593</v>
      </c>
      <c r="J207" s="55">
        <f ca="1">EFEITO!$J$207*EFEITO!$Y$169</f>
        <v>1161.8293381807234</v>
      </c>
      <c r="K207" s="55">
        <f>EFEITO!$L$207*EFEITO!$Z$169</f>
        <v>0</v>
      </c>
      <c r="L207" s="55">
        <f>EFEITO!$N$207*EFEITO!$AA$169</f>
        <v>0</v>
      </c>
      <c r="M207" s="55">
        <f ca="1">$J$207-EFEITO!$K$207*EFEITO!$Y$207</f>
        <v>23.236586763614469</v>
      </c>
      <c r="N207" s="55">
        <f>$K$207-EFEITO!$M$207*EFEITO!$Z$207</f>
        <v>0</v>
      </c>
      <c r="O207" s="55">
        <f>$L$207-EFEITO!$O$207*EFEITO!$AA$207</f>
        <v>0</v>
      </c>
      <c r="P207" s="39"/>
      <c r="Q207" s="39"/>
      <c r="R207" s="39"/>
      <c r="S207" s="39"/>
      <c r="T207" s="39"/>
      <c r="U207" s="39"/>
      <c r="V207" s="39"/>
      <c r="W207" s="39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1.25" customHeight="1" x14ac:dyDescent="0.2">
      <c r="A208" s="35" t="s">
        <v>27</v>
      </c>
      <c r="B208" s="35" t="s">
        <v>34</v>
      </c>
      <c r="C208" s="35" t="s">
        <v>38</v>
      </c>
      <c r="D208" s="35" t="s">
        <v>41</v>
      </c>
      <c r="E208" s="35" t="s">
        <v>25</v>
      </c>
      <c r="F208" s="35" t="s">
        <v>25</v>
      </c>
      <c r="G208" s="35" t="s">
        <v>25</v>
      </c>
      <c r="H208" s="35" t="s">
        <v>25</v>
      </c>
      <c r="I208" s="54">
        <v>44621</v>
      </c>
      <c r="J208" s="55">
        <f ca="1">EFEITO!$J$208*EFEITO!$Y$169</f>
        <v>1254.7756852351813</v>
      </c>
      <c r="K208" s="55">
        <f>EFEITO!$L$208*EFEITO!$Z$169</f>
        <v>0</v>
      </c>
      <c r="L208" s="55">
        <f>EFEITO!$N$208*EFEITO!$AA$169</f>
        <v>0</v>
      </c>
      <c r="M208" s="55">
        <f ca="1">$J$208-EFEITO!$K$208*EFEITO!$Y$208</f>
        <v>25.095513704703762</v>
      </c>
      <c r="N208" s="55">
        <f>$K$208-EFEITO!$M$208*EFEITO!$Z$208</f>
        <v>0</v>
      </c>
      <c r="O208" s="55">
        <f>$L$208-EFEITO!$O$208*EFEITO!$AA$208</f>
        <v>0</v>
      </c>
      <c r="P208" s="39"/>
      <c r="Q208" s="39"/>
      <c r="R208" s="39"/>
      <c r="S208" s="39"/>
      <c r="T208" s="39"/>
      <c r="U208" s="39"/>
      <c r="V208" s="39"/>
      <c r="W208" s="39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1.25" customHeight="1" x14ac:dyDescent="0.2">
      <c r="A209" s="35" t="s">
        <v>27</v>
      </c>
      <c r="B209" s="35" t="s">
        <v>34</v>
      </c>
      <c r="C209" s="35" t="s">
        <v>38</v>
      </c>
      <c r="D209" s="35" t="s">
        <v>41</v>
      </c>
      <c r="E209" s="35" t="s">
        <v>25</v>
      </c>
      <c r="F209" s="35" t="s">
        <v>25</v>
      </c>
      <c r="G209" s="35" t="s">
        <v>25</v>
      </c>
      <c r="H209" s="35" t="s">
        <v>25</v>
      </c>
      <c r="I209" s="54">
        <v>44652</v>
      </c>
      <c r="J209" s="55">
        <f ca="1">EFEITO!$J$209*EFEITO!$Y$169</f>
        <v>1208.3025117079524</v>
      </c>
      <c r="K209" s="55">
        <f>EFEITO!$L$209*EFEITO!$Z$169</f>
        <v>0</v>
      </c>
      <c r="L209" s="55">
        <f>EFEITO!$N$209*EFEITO!$AA$169</f>
        <v>0</v>
      </c>
      <c r="M209" s="55">
        <f ca="1">$J$209-EFEITO!$K$209*EFEITO!$Y$209</f>
        <v>24.166050234159229</v>
      </c>
      <c r="N209" s="55">
        <f>$K$209-EFEITO!$M$209*EFEITO!$Z$209</f>
        <v>0</v>
      </c>
      <c r="O209" s="55">
        <f>$L$209-EFEITO!$O$209*EFEITO!$AA$209</f>
        <v>0</v>
      </c>
      <c r="P209" s="39"/>
      <c r="Q209" s="39"/>
      <c r="R209" s="39"/>
      <c r="S209" s="39"/>
      <c r="T209" s="39"/>
      <c r="U209" s="39"/>
      <c r="V209" s="39"/>
      <c r="W209" s="39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1.25" customHeight="1" x14ac:dyDescent="0.2">
      <c r="A210" s="35" t="s">
        <v>27</v>
      </c>
      <c r="B210" s="35" t="s">
        <v>34</v>
      </c>
      <c r="C210" s="35" t="s">
        <v>38</v>
      </c>
      <c r="D210" s="35" t="s">
        <v>41</v>
      </c>
      <c r="E210" s="35" t="s">
        <v>25</v>
      </c>
      <c r="F210" s="35" t="s">
        <v>25</v>
      </c>
      <c r="G210" s="35" t="s">
        <v>25</v>
      </c>
      <c r="H210" s="35" t="s">
        <v>25</v>
      </c>
      <c r="I210" s="54">
        <v>44682</v>
      </c>
      <c r="J210" s="55">
        <f ca="1">EFEITO!$J$210*EFEITO!$Y$169</f>
        <v>1161.8293381807234</v>
      </c>
      <c r="K210" s="55">
        <f>EFEITO!$L$210*EFEITO!$Z$169</f>
        <v>0</v>
      </c>
      <c r="L210" s="55">
        <f>EFEITO!$N$210*EFEITO!$AA$169</f>
        <v>0</v>
      </c>
      <c r="M210" s="55">
        <f ca="1">$J$210-EFEITO!$K$210*EFEITO!$Y$210</f>
        <v>23.236586763614469</v>
      </c>
      <c r="N210" s="55">
        <f>$K$210-EFEITO!$M$210*EFEITO!$Z$210</f>
        <v>0</v>
      </c>
      <c r="O210" s="55">
        <f>$L$210-EFEITO!$O$210*EFEITO!$AA$210</f>
        <v>0</v>
      </c>
      <c r="P210" s="39"/>
      <c r="Q210" s="39"/>
      <c r="R210" s="39"/>
      <c r="S210" s="39"/>
      <c r="T210" s="39"/>
      <c r="U210" s="39"/>
      <c r="V210" s="39"/>
      <c r="W210" s="39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1.25" customHeight="1" x14ac:dyDescent="0.2">
      <c r="A211" s="35" t="s">
        <v>27</v>
      </c>
      <c r="B211" s="35" t="s">
        <v>34</v>
      </c>
      <c r="C211" s="35" t="s">
        <v>38</v>
      </c>
      <c r="D211" s="35" t="s">
        <v>41</v>
      </c>
      <c r="E211" s="35" t="s">
        <v>25</v>
      </c>
      <c r="F211" s="35" t="s">
        <v>25</v>
      </c>
      <c r="G211" s="35" t="s">
        <v>25</v>
      </c>
      <c r="H211" s="35" t="s">
        <v>25</v>
      </c>
      <c r="I211" s="54">
        <v>44713</v>
      </c>
      <c r="J211" s="55">
        <f ca="1">EFEITO!$J$211*EFEITO!$Y$169</f>
        <v>1161.8293381807234</v>
      </c>
      <c r="K211" s="55">
        <f>EFEITO!$L$211*EFEITO!$Z$169</f>
        <v>0</v>
      </c>
      <c r="L211" s="55">
        <f>EFEITO!$N$211*EFEITO!$AA$169</f>
        <v>0</v>
      </c>
      <c r="M211" s="55">
        <f ca="1">$J$211-EFEITO!$K$211*EFEITO!$Y$211</f>
        <v>23.236586763614469</v>
      </c>
      <c r="N211" s="55">
        <f>$K$211-EFEITO!$M$211*EFEITO!$Z$211</f>
        <v>0</v>
      </c>
      <c r="O211" s="55">
        <f>$L$211-EFEITO!$O$211*EFEITO!$AA$211</f>
        <v>0</v>
      </c>
      <c r="P211" s="39"/>
      <c r="Q211" s="39"/>
      <c r="R211" s="39"/>
      <c r="S211" s="39"/>
      <c r="T211" s="39"/>
      <c r="U211" s="39"/>
      <c r="V211" s="39"/>
      <c r="W211" s="39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1.25" customHeight="1" x14ac:dyDescent="0.2">
      <c r="A212" s="35" t="s">
        <v>27</v>
      </c>
      <c r="B212" s="35" t="s">
        <v>34</v>
      </c>
      <c r="C212" s="35" t="s">
        <v>38</v>
      </c>
      <c r="D212" s="35" t="s">
        <v>41</v>
      </c>
      <c r="E212" s="35" t="s">
        <v>25</v>
      </c>
      <c r="F212" s="35" t="s">
        <v>25</v>
      </c>
      <c r="G212" s="35" t="s">
        <v>25</v>
      </c>
      <c r="H212" s="35" t="s">
        <v>25</v>
      </c>
      <c r="I212" s="54">
        <v>44743</v>
      </c>
      <c r="J212" s="55">
        <f ca="1">EFEITO!$J$212*EFEITO!$Y$169</f>
        <v>1161.8293381807234</v>
      </c>
      <c r="K212" s="55">
        <f>EFEITO!$L$212*EFEITO!$Z$169</f>
        <v>0</v>
      </c>
      <c r="L212" s="55">
        <f>EFEITO!$N$212*EFEITO!$AA$169</f>
        <v>0</v>
      </c>
      <c r="M212" s="55">
        <f ca="1">$J$212-EFEITO!$K$212*EFEITO!$Y$212</f>
        <v>23.236586763614469</v>
      </c>
      <c r="N212" s="55">
        <f>$K$212-EFEITO!$M$212*EFEITO!$Z$212</f>
        <v>0</v>
      </c>
      <c r="O212" s="55">
        <f>$L$212-EFEITO!$O$212*EFEITO!$AA$212</f>
        <v>0</v>
      </c>
      <c r="P212" s="39"/>
      <c r="Q212" s="39"/>
      <c r="R212" s="39"/>
      <c r="S212" s="39"/>
      <c r="T212" s="39"/>
      <c r="U212" s="39"/>
      <c r="V212" s="39"/>
      <c r="W212" s="39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1.25" customHeight="1" x14ac:dyDescent="0.2">
      <c r="A213" s="35" t="s">
        <v>53</v>
      </c>
      <c r="B213" s="35" t="s">
        <v>34</v>
      </c>
      <c r="C213" s="35" t="s">
        <v>38</v>
      </c>
      <c r="D213" s="35" t="s">
        <v>41</v>
      </c>
      <c r="E213" s="35" t="s">
        <v>25</v>
      </c>
      <c r="F213" s="35" t="s">
        <v>25</v>
      </c>
      <c r="G213" s="35" t="s">
        <v>25</v>
      </c>
      <c r="H213" s="35" t="s">
        <v>25</v>
      </c>
      <c r="I213" s="54">
        <v>44774</v>
      </c>
      <c r="J213" s="55">
        <f ca="1">EFEITO!$J$213*EFEITO!$Y$169</f>
        <v>1161.8293381807234</v>
      </c>
      <c r="K213" s="55">
        <f>EFEITO!$L$213*EFEITO!$Z$169</f>
        <v>0</v>
      </c>
      <c r="L213" s="55">
        <f>EFEITO!$N$213*EFEITO!$AA$169</f>
        <v>0</v>
      </c>
      <c r="M213" s="55">
        <f ca="1">$J$213-EFEITO!$K$213*EFEITO!$Y$213</f>
        <v>23.236586763614469</v>
      </c>
      <c r="N213" s="55">
        <f>$K$213-EFEITO!$M$213*EFEITO!$Z$213</f>
        <v>0</v>
      </c>
      <c r="O213" s="55">
        <f>$L$213-EFEITO!$O$213*EFEITO!$AA$213</f>
        <v>0</v>
      </c>
      <c r="P213" s="39"/>
      <c r="Q213" s="39"/>
      <c r="R213" s="39"/>
      <c r="S213" s="39"/>
      <c r="T213" s="39"/>
      <c r="U213" s="39"/>
      <c r="V213" s="39"/>
      <c r="W213" s="39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1.25" customHeight="1" x14ac:dyDescent="0.2">
      <c r="A214" s="35" t="s">
        <v>27</v>
      </c>
      <c r="B214" s="35" t="s">
        <v>34</v>
      </c>
      <c r="C214" s="35" t="s">
        <v>38</v>
      </c>
      <c r="D214" s="35" t="s">
        <v>41</v>
      </c>
      <c r="E214" s="35" t="s">
        <v>25</v>
      </c>
      <c r="F214" s="35" t="s">
        <v>25</v>
      </c>
      <c r="G214" s="35" t="s">
        <v>25</v>
      </c>
      <c r="H214" s="35" t="s">
        <v>36</v>
      </c>
      <c r="I214" s="54">
        <v>44501</v>
      </c>
      <c r="J214" s="55">
        <f>EFEITO!$J$214*EFEITO!$Y$193</f>
        <v>0</v>
      </c>
      <c r="K214" s="55">
        <f ca="1">EFEITO!$L$214*EFEITO!$Z$193</f>
        <v>1151.7775063714782</v>
      </c>
      <c r="L214" s="55">
        <f>EFEITO!$N$214*EFEITO!$AA$193</f>
        <v>150.06885092129639</v>
      </c>
      <c r="M214" s="55">
        <f>$J$214-EFEITO!$K$214*EFEITO!$Y$214</f>
        <v>0</v>
      </c>
      <c r="N214" s="55">
        <f ca="1">$K$214-EFEITO!$M$214*EFEITO!$Z$214</f>
        <v>23.035550127429588</v>
      </c>
      <c r="O214" s="55">
        <f>$L$214-EFEITO!$O$214*EFEITO!$AA$214</f>
        <v>3.0013770184259272</v>
      </c>
      <c r="P214" s="39"/>
      <c r="Q214" s="39"/>
      <c r="R214" s="39"/>
      <c r="S214" s="39"/>
      <c r="T214" s="39"/>
      <c r="U214" s="39"/>
      <c r="V214" s="39"/>
      <c r="W214" s="39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1.25" customHeight="1" x14ac:dyDescent="0.2">
      <c r="A215" s="35" t="s">
        <v>27</v>
      </c>
      <c r="B215" s="35" t="s">
        <v>34</v>
      </c>
      <c r="C215" s="35" t="s">
        <v>38</v>
      </c>
      <c r="D215" s="35" t="s">
        <v>41</v>
      </c>
      <c r="E215" s="35" t="s">
        <v>25</v>
      </c>
      <c r="F215" s="35" t="s">
        <v>25</v>
      </c>
      <c r="G215" s="35" t="s">
        <v>25</v>
      </c>
      <c r="H215" s="35" t="s">
        <v>36</v>
      </c>
      <c r="I215" s="54">
        <v>44531</v>
      </c>
      <c r="J215" s="55">
        <f>EFEITO!$J$215*EFEITO!$Y$193</f>
        <v>0</v>
      </c>
      <c r="K215" s="55">
        <f ca="1">EFEITO!$L$215*EFEITO!$Z$193</f>
        <v>1312.5669588278956</v>
      </c>
      <c r="L215" s="55">
        <f>EFEITO!$N$215*EFEITO!$AA$193</f>
        <v>171.01863352854292</v>
      </c>
      <c r="M215" s="55">
        <f>$J$215-EFEITO!$K$215*EFEITO!$Y$215</f>
        <v>0</v>
      </c>
      <c r="N215" s="55">
        <f ca="1">$K$215-EFEITO!$M$215*EFEITO!$Z$215</f>
        <v>26.251339176557849</v>
      </c>
      <c r="O215" s="55">
        <f>$L$215-EFEITO!$O$215*EFEITO!$AA$215</f>
        <v>3.4203726705708561</v>
      </c>
      <c r="P215" s="39"/>
      <c r="Q215" s="39"/>
      <c r="R215" s="39"/>
      <c r="S215" s="39"/>
      <c r="T215" s="39"/>
      <c r="U215" s="39"/>
      <c r="V215" s="39"/>
      <c r="W215" s="39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1.25" customHeight="1" x14ac:dyDescent="0.2">
      <c r="A216" s="35" t="s">
        <v>27</v>
      </c>
      <c r="B216" s="35" t="s">
        <v>34</v>
      </c>
      <c r="C216" s="35" t="s">
        <v>38</v>
      </c>
      <c r="D216" s="35" t="s">
        <v>41</v>
      </c>
      <c r="E216" s="35" t="s">
        <v>25</v>
      </c>
      <c r="F216" s="35" t="s">
        <v>25</v>
      </c>
      <c r="G216" s="35" t="s">
        <v>25</v>
      </c>
      <c r="H216" s="35" t="s">
        <v>36</v>
      </c>
      <c r="I216" s="54">
        <v>44562</v>
      </c>
      <c r="J216" s="55">
        <f>EFEITO!$J$216*EFEITO!$Y$193</f>
        <v>0</v>
      </c>
      <c r="K216" s="55">
        <f ca="1">EFEITO!$L$216*EFEITO!$Z$193</f>
        <v>1429.0572764238714</v>
      </c>
      <c r="L216" s="55">
        <f>EFEITO!$N$216*EFEITO!$AA$193</f>
        <v>186.1965372542011</v>
      </c>
      <c r="M216" s="55">
        <f>$J$216-EFEITO!$K$216*EFEITO!$Y$216</f>
        <v>0</v>
      </c>
      <c r="N216" s="55">
        <f ca="1">$K$216-EFEITO!$M$216*EFEITO!$Z$216</f>
        <v>28.581145528477464</v>
      </c>
      <c r="O216" s="55">
        <f>$L$216-EFEITO!$O$216*EFEITO!$AA$216</f>
        <v>3.7239307450840329</v>
      </c>
      <c r="P216" s="39"/>
      <c r="Q216" s="39"/>
      <c r="R216" s="39"/>
      <c r="S216" s="39"/>
      <c r="T216" s="39"/>
      <c r="U216" s="39"/>
      <c r="V216" s="39"/>
      <c r="W216" s="39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1.25" customHeight="1" x14ac:dyDescent="0.2">
      <c r="A217" s="35" t="s">
        <v>27</v>
      </c>
      <c r="B217" s="35" t="s">
        <v>34</v>
      </c>
      <c r="C217" s="35" t="s">
        <v>38</v>
      </c>
      <c r="D217" s="35" t="s">
        <v>41</v>
      </c>
      <c r="E217" s="35" t="s">
        <v>25</v>
      </c>
      <c r="F217" s="35" t="s">
        <v>25</v>
      </c>
      <c r="G217" s="35" t="s">
        <v>25</v>
      </c>
      <c r="H217" s="35" t="s">
        <v>36</v>
      </c>
      <c r="I217" s="54">
        <v>44593</v>
      </c>
      <c r="J217" s="55">
        <f>EFEITO!$J$217*EFEITO!$Y$193</f>
        <v>0</v>
      </c>
      <c r="K217" s="55">
        <f ca="1">EFEITO!$L$217*EFEITO!$Z$193</f>
        <v>1123.8854584963856</v>
      </c>
      <c r="L217" s="55">
        <f>EFEITO!$N$217*EFEITO!$AA$193</f>
        <v>146.43470495881488</v>
      </c>
      <c r="M217" s="55">
        <f>$J$217-EFEITO!$K$217*EFEITO!$Y$217</f>
        <v>0</v>
      </c>
      <c r="N217" s="55">
        <f ca="1">$K$217-EFEITO!$M$217*EFEITO!$Z$217</f>
        <v>22.477709169927493</v>
      </c>
      <c r="O217" s="55">
        <f>$L$217-EFEITO!$O$217*EFEITO!$AA$217</f>
        <v>2.9286940991762833</v>
      </c>
      <c r="P217" s="39"/>
      <c r="Q217" s="39"/>
      <c r="R217" s="39"/>
      <c r="S217" s="39"/>
      <c r="T217" s="39"/>
      <c r="U217" s="39"/>
      <c r="V217" s="39"/>
      <c r="W217" s="39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1.25" customHeight="1" x14ac:dyDescent="0.2">
      <c r="A218" s="35" t="s">
        <v>27</v>
      </c>
      <c r="B218" s="35" t="s">
        <v>34</v>
      </c>
      <c r="C218" s="35" t="s">
        <v>38</v>
      </c>
      <c r="D218" s="35" t="s">
        <v>41</v>
      </c>
      <c r="E218" s="35" t="s">
        <v>25</v>
      </c>
      <c r="F218" s="35" t="s">
        <v>25</v>
      </c>
      <c r="G218" s="35" t="s">
        <v>25</v>
      </c>
      <c r="H218" s="35" t="s">
        <v>36</v>
      </c>
      <c r="I218" s="54">
        <v>44621</v>
      </c>
      <c r="J218" s="55">
        <f>EFEITO!$J$218*EFEITO!$Y$193</f>
        <v>0</v>
      </c>
      <c r="K218" s="55">
        <f ca="1">EFEITO!$L$218*EFEITO!$Z$193</f>
        <v>792.46230139234194</v>
      </c>
      <c r="L218" s="55">
        <f>EFEITO!$N$218*EFEITO!$AA$193</f>
        <v>103.25249999285778</v>
      </c>
      <c r="M218" s="55">
        <f>$J$218-EFEITO!$K$218*EFEITO!$Y$218</f>
        <v>0</v>
      </c>
      <c r="N218" s="55">
        <f ca="1">$K$218-EFEITO!$M$218*EFEITO!$Z$218</f>
        <v>15.849246027846789</v>
      </c>
      <c r="O218" s="55">
        <f>$L$218-EFEITO!$O$218*EFEITO!$AA$218</f>
        <v>2.0650499998571519</v>
      </c>
      <c r="P218" s="39"/>
      <c r="Q218" s="39"/>
      <c r="R218" s="39"/>
      <c r="S218" s="39"/>
      <c r="T218" s="39"/>
      <c r="U218" s="39"/>
      <c r="V218" s="39"/>
      <c r="W218" s="39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1.25" customHeight="1" x14ac:dyDescent="0.2">
      <c r="A219" s="35" t="s">
        <v>27</v>
      </c>
      <c r="B219" s="35" t="s">
        <v>34</v>
      </c>
      <c r="C219" s="35" t="s">
        <v>38</v>
      </c>
      <c r="D219" s="35" t="s">
        <v>41</v>
      </c>
      <c r="E219" s="35" t="s">
        <v>25</v>
      </c>
      <c r="F219" s="35" t="s">
        <v>25</v>
      </c>
      <c r="G219" s="35" t="s">
        <v>25</v>
      </c>
      <c r="H219" s="35" t="s">
        <v>36</v>
      </c>
      <c r="I219" s="54">
        <v>44652</v>
      </c>
      <c r="J219" s="55">
        <f>EFEITO!$J$219*EFEITO!$Y$193</f>
        <v>0</v>
      </c>
      <c r="K219" s="55">
        <f ca="1">EFEITO!$L$219*EFEITO!$Z$193</f>
        <v>575.88875318573912</v>
      </c>
      <c r="L219" s="55">
        <f>EFEITO!$N$219*EFEITO!$AA$193</f>
        <v>75.034425460648194</v>
      </c>
      <c r="M219" s="55">
        <f>$J$219-EFEITO!$K$219*EFEITO!$Y$219</f>
        <v>0</v>
      </c>
      <c r="N219" s="55">
        <f ca="1">$K$219-EFEITO!$M$219*EFEITO!$Z$219</f>
        <v>11.517775063714794</v>
      </c>
      <c r="O219" s="55">
        <f>$L$219-EFEITO!$O$219*EFEITO!$AA$219</f>
        <v>1.5006885092129636</v>
      </c>
      <c r="P219" s="39"/>
      <c r="Q219" s="39"/>
      <c r="R219" s="39"/>
      <c r="S219" s="39"/>
      <c r="T219" s="39"/>
      <c r="U219" s="39"/>
      <c r="V219" s="39"/>
      <c r="W219" s="39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1.25" customHeight="1" x14ac:dyDescent="0.2">
      <c r="A220" s="35" t="s">
        <v>27</v>
      </c>
      <c r="B220" s="35" t="s">
        <v>34</v>
      </c>
      <c r="C220" s="35" t="s">
        <v>38</v>
      </c>
      <c r="D220" s="35" t="s">
        <v>41</v>
      </c>
      <c r="E220" s="35" t="s">
        <v>25</v>
      </c>
      <c r="F220" s="35" t="s">
        <v>25</v>
      </c>
      <c r="G220" s="35" t="s">
        <v>25</v>
      </c>
      <c r="H220" s="35" t="s">
        <v>36</v>
      </c>
      <c r="I220" s="54">
        <v>44682</v>
      </c>
      <c r="J220" s="55">
        <f>EFEITO!$J$220*EFEITO!$Y$193</f>
        <v>0</v>
      </c>
      <c r="K220" s="55">
        <f ca="1">EFEITO!$L$220*EFEITO!$Z$193</f>
        <v>659.56489681101755</v>
      </c>
      <c r="L220" s="55">
        <f>EFEITO!$N$220*EFEITO!$AA$193</f>
        <v>85.936863348092814</v>
      </c>
      <c r="M220" s="55">
        <f>$J$220-EFEITO!$K$220*EFEITO!$Y$220</f>
        <v>0</v>
      </c>
      <c r="N220" s="55">
        <f ca="1">$K$220-EFEITO!$M$220*EFEITO!$Z$220</f>
        <v>13.19129793622028</v>
      </c>
      <c r="O220" s="55">
        <f>$L$220-EFEITO!$O$220*EFEITO!$AA$220</f>
        <v>1.7187372669618526</v>
      </c>
      <c r="P220" s="39"/>
      <c r="Q220" s="39"/>
      <c r="R220" s="39"/>
      <c r="S220" s="39"/>
      <c r="T220" s="39"/>
      <c r="U220" s="39"/>
      <c r="V220" s="39"/>
      <c r="W220" s="39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1.25" customHeight="1" x14ac:dyDescent="0.2">
      <c r="A221" s="35" t="s">
        <v>27</v>
      </c>
      <c r="B221" s="35" t="s">
        <v>34</v>
      </c>
      <c r="C221" s="35" t="s">
        <v>38</v>
      </c>
      <c r="D221" s="35" t="s">
        <v>41</v>
      </c>
      <c r="E221" s="35" t="s">
        <v>25</v>
      </c>
      <c r="F221" s="35" t="s">
        <v>25</v>
      </c>
      <c r="G221" s="35" t="s">
        <v>25</v>
      </c>
      <c r="H221" s="35" t="s">
        <v>36</v>
      </c>
      <c r="I221" s="54">
        <v>44713</v>
      </c>
      <c r="J221" s="55">
        <f>EFEITO!$J$221*EFEITO!$Y$193</f>
        <v>0</v>
      </c>
      <c r="K221" s="55">
        <f ca="1">EFEITO!$L$221*EFEITO!$Z$193</f>
        <v>833.48001885571364</v>
      </c>
      <c r="L221" s="55">
        <f>EFEITO!$N$221*EFEITO!$AA$193</f>
        <v>108.59683229062475</v>
      </c>
      <c r="M221" s="55">
        <f>$J$221-EFEITO!$K$221*EFEITO!$Y$221</f>
        <v>0</v>
      </c>
      <c r="N221" s="55">
        <f ca="1">$K$221-EFEITO!$M$221*EFEITO!$Z$221</f>
        <v>16.669600377114193</v>
      </c>
      <c r="O221" s="55">
        <f>$L$221-EFEITO!$O$221*EFEITO!$AA$221</f>
        <v>2.1719366458124938</v>
      </c>
      <c r="P221" s="39"/>
      <c r="Q221" s="39"/>
      <c r="R221" s="39"/>
      <c r="S221" s="39"/>
      <c r="T221" s="39"/>
      <c r="U221" s="39"/>
      <c r="V221" s="39"/>
      <c r="W221" s="39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1.25" customHeight="1" x14ac:dyDescent="0.2">
      <c r="A222" s="35" t="s">
        <v>27</v>
      </c>
      <c r="B222" s="35" t="s">
        <v>34</v>
      </c>
      <c r="C222" s="35" t="s">
        <v>38</v>
      </c>
      <c r="D222" s="35" t="s">
        <v>41</v>
      </c>
      <c r="E222" s="35" t="s">
        <v>25</v>
      </c>
      <c r="F222" s="35" t="s">
        <v>25</v>
      </c>
      <c r="G222" s="35" t="s">
        <v>25</v>
      </c>
      <c r="H222" s="35" t="s">
        <v>36</v>
      </c>
      <c r="I222" s="54">
        <v>44743</v>
      </c>
      <c r="J222" s="55">
        <f>EFEITO!$J$222*EFEITO!$Y$193</f>
        <v>0</v>
      </c>
      <c r="K222" s="55">
        <f ca="1">EFEITO!$L$222*EFEITO!$Z$193</f>
        <v>713.70828386266817</v>
      </c>
      <c r="L222" s="55">
        <f>EFEITO!$N$222*EFEITO!$AA$193</f>
        <v>92.99138198114521</v>
      </c>
      <c r="M222" s="55">
        <f>$J$222-EFEITO!$K$222*EFEITO!$Y$222</f>
        <v>0</v>
      </c>
      <c r="N222" s="55">
        <f ca="1">$K$222-EFEITO!$M$222*EFEITO!$Z$222</f>
        <v>14.274165677253336</v>
      </c>
      <c r="O222" s="55">
        <f>$L$222-EFEITO!$O$222*EFEITO!$AA$222</f>
        <v>1.8598276396229068</v>
      </c>
      <c r="P222" s="39"/>
      <c r="Q222" s="39"/>
      <c r="R222" s="39"/>
      <c r="S222" s="39"/>
      <c r="T222" s="39"/>
      <c r="U222" s="39"/>
      <c r="V222" s="39"/>
      <c r="W222" s="39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1.25" customHeight="1" x14ac:dyDescent="0.2">
      <c r="A223" s="35" t="s">
        <v>53</v>
      </c>
      <c r="B223" s="35" t="s">
        <v>34</v>
      </c>
      <c r="C223" s="35" t="s">
        <v>38</v>
      </c>
      <c r="D223" s="35" t="s">
        <v>41</v>
      </c>
      <c r="E223" s="35" t="s">
        <v>25</v>
      </c>
      <c r="F223" s="35" t="s">
        <v>25</v>
      </c>
      <c r="G223" s="35" t="s">
        <v>25</v>
      </c>
      <c r="H223" s="35" t="s">
        <v>36</v>
      </c>
      <c r="I223" s="54">
        <v>44774</v>
      </c>
      <c r="J223" s="55">
        <f>EFEITO!$J$223*EFEITO!$Y$193</f>
        <v>0</v>
      </c>
      <c r="K223" s="55">
        <f ca="1">EFEITO!$L$223*EFEITO!$Z$193</f>
        <v>713.70828386266817</v>
      </c>
      <c r="L223" s="55">
        <f>EFEITO!$N$223*EFEITO!$AA$193</f>
        <v>92.99138198114521</v>
      </c>
      <c r="M223" s="55">
        <f>$J$223-EFEITO!$K$223*EFEITO!$Y$223</f>
        <v>0</v>
      </c>
      <c r="N223" s="55">
        <f ca="1">$K$223-EFEITO!$M$223*EFEITO!$Z$223</f>
        <v>14.274165677253336</v>
      </c>
      <c r="O223" s="55">
        <f>$L$223-EFEITO!$O$223*EFEITO!$AA$223</f>
        <v>1.8598276396229068</v>
      </c>
      <c r="P223" s="39"/>
      <c r="Q223" s="39"/>
      <c r="R223" s="39"/>
      <c r="S223" s="39"/>
      <c r="T223" s="39"/>
      <c r="U223" s="39"/>
      <c r="V223" s="39"/>
      <c r="W223" s="39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1.25" customHeight="1" x14ac:dyDescent="0.2">
      <c r="A224" s="35" t="s">
        <v>21</v>
      </c>
      <c r="B224" s="35" t="s">
        <v>22</v>
      </c>
      <c r="C224" s="35" t="s">
        <v>23</v>
      </c>
      <c r="D224" s="35" t="s">
        <v>24</v>
      </c>
      <c r="E224" s="35" t="s">
        <v>24</v>
      </c>
      <c r="F224" s="35" t="s">
        <v>25</v>
      </c>
      <c r="G224" s="35" t="s">
        <v>25</v>
      </c>
      <c r="H224" s="35" t="s">
        <v>25</v>
      </c>
      <c r="I224" s="54">
        <v>44440</v>
      </c>
      <c r="J224" s="55">
        <f>EFEITO!$J$224*EFEITO!$Y$224</f>
        <v>0</v>
      </c>
      <c r="K224" s="55">
        <f ca="1">EFEITO!$L$224*EFEITO!$Z$224</f>
        <v>370199.51503878954</v>
      </c>
      <c r="L224" s="55">
        <f>EFEITO!$N$224*EFEITO!$AA$224</f>
        <v>184382.02955246324</v>
      </c>
      <c r="M224" s="55">
        <f>$J$224-EFEITO!$K$224*EFEITO!$Y$224</f>
        <v>0</v>
      </c>
      <c r="N224" s="55">
        <f ca="1">$K$224-EFEITO!$M$224*EFEITO!$Z$224</f>
        <v>0</v>
      </c>
      <c r="O224" s="55">
        <f>$L$224-EFEITO!$O$224*EFEITO!$AA$224</f>
        <v>0</v>
      </c>
      <c r="P224" s="39"/>
      <c r="Q224" s="39"/>
      <c r="R224" s="39"/>
      <c r="S224" s="39"/>
      <c r="T224" s="39"/>
      <c r="U224" s="39"/>
      <c r="V224" s="39"/>
      <c r="W224" s="39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1.25" customHeight="1" x14ac:dyDescent="0.2">
      <c r="A225" s="35" t="s">
        <v>27</v>
      </c>
      <c r="B225" s="35" t="s">
        <v>22</v>
      </c>
      <c r="C225" s="35" t="s">
        <v>23</v>
      </c>
      <c r="D225" s="35" t="s">
        <v>24</v>
      </c>
      <c r="E225" s="35" t="s">
        <v>24</v>
      </c>
      <c r="F225" s="35" t="s">
        <v>25</v>
      </c>
      <c r="G225" s="35" t="s">
        <v>25</v>
      </c>
      <c r="H225" s="35" t="s">
        <v>25</v>
      </c>
      <c r="I225" s="54">
        <v>44440</v>
      </c>
      <c r="J225" s="55">
        <f>EFEITO!$J$225*EFEITO!$Y$225</f>
        <v>0</v>
      </c>
      <c r="K225" s="55">
        <f ca="1">EFEITO!$L$225*EFEITO!$Z$225</f>
        <v>10055.981178051785</v>
      </c>
      <c r="L225" s="55">
        <f>EFEITO!$N$225*EFEITO!$AA$225</f>
        <v>5008.4944561752891</v>
      </c>
      <c r="M225" s="55">
        <f>$J$225-EFEITO!$K$225*EFEITO!$Y$225</f>
        <v>0</v>
      </c>
      <c r="N225" s="55">
        <f ca="1">$K$225-EFEITO!$M$225*EFEITO!$Z$225</f>
        <v>0</v>
      </c>
      <c r="O225" s="55">
        <f>$L$225-EFEITO!$O$225*EFEITO!$AA$225</f>
        <v>0</v>
      </c>
      <c r="P225" s="39"/>
      <c r="Q225" s="39"/>
      <c r="R225" s="39"/>
      <c r="S225" s="39"/>
      <c r="T225" s="39"/>
      <c r="U225" s="39"/>
      <c r="V225" s="39"/>
      <c r="W225" s="39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1.25" customHeight="1" x14ac:dyDescent="0.2">
      <c r="A226" s="35" t="s">
        <v>21</v>
      </c>
      <c r="B226" s="35" t="s">
        <v>22</v>
      </c>
      <c r="C226" s="35" t="s">
        <v>23</v>
      </c>
      <c r="D226" s="35" t="s">
        <v>24</v>
      </c>
      <c r="E226" s="35" t="s">
        <v>24</v>
      </c>
      <c r="F226" s="35" t="s">
        <v>25</v>
      </c>
      <c r="G226" s="35" t="s">
        <v>25</v>
      </c>
      <c r="H226" s="35" t="s">
        <v>25</v>
      </c>
      <c r="I226" s="54">
        <v>44470</v>
      </c>
      <c r="J226" s="55">
        <f>EFEITO!$J$226*EFEITO!$Y$226</f>
        <v>0</v>
      </c>
      <c r="K226" s="55">
        <f ca="1">EFEITO!$L$226*EFEITO!$Z$226</f>
        <v>362420.49745925097</v>
      </c>
      <c r="L226" s="55">
        <f>EFEITO!$N$226*EFEITO!$AA$226</f>
        <v>180507.60240987412</v>
      </c>
      <c r="M226" s="55">
        <f>$J$226-EFEITO!$K$226*EFEITO!$Y$226</f>
        <v>0</v>
      </c>
      <c r="N226" s="55">
        <f ca="1">$K$226-EFEITO!$M$226*EFEITO!$Z$226</f>
        <v>0</v>
      </c>
      <c r="O226" s="55">
        <f>$L$226-EFEITO!$O$226*EFEITO!$AA$226</f>
        <v>0</v>
      </c>
      <c r="P226" s="39"/>
      <c r="Q226" s="39"/>
      <c r="R226" s="39"/>
      <c r="S226" s="39"/>
      <c r="T226" s="39"/>
      <c r="U226" s="39"/>
      <c r="V226" s="39"/>
      <c r="W226" s="39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1.25" customHeight="1" x14ac:dyDescent="0.2">
      <c r="A227" s="35" t="s">
        <v>27</v>
      </c>
      <c r="B227" s="35" t="s">
        <v>22</v>
      </c>
      <c r="C227" s="35" t="s">
        <v>23</v>
      </c>
      <c r="D227" s="35" t="s">
        <v>24</v>
      </c>
      <c r="E227" s="35" t="s">
        <v>24</v>
      </c>
      <c r="F227" s="35" t="s">
        <v>25</v>
      </c>
      <c r="G227" s="35" t="s">
        <v>25</v>
      </c>
      <c r="H227" s="35" t="s">
        <v>25</v>
      </c>
      <c r="I227" s="54">
        <v>44470</v>
      </c>
      <c r="J227" s="55">
        <f>EFEITO!$J$227*EFEITO!$Y$227</f>
        <v>0</v>
      </c>
      <c r="K227" s="55">
        <f ca="1">EFEITO!$L$227*EFEITO!$Z$227</f>
        <v>10662.885330417026</v>
      </c>
      <c r="L227" s="55">
        <f>EFEITO!$N$227*EFEITO!$AA$227</f>
        <v>5310.7698909369892</v>
      </c>
      <c r="M227" s="55">
        <f>$J$227-EFEITO!$K$227*EFEITO!$Y$227</f>
        <v>0</v>
      </c>
      <c r="N227" s="55">
        <f ca="1">$K$227-EFEITO!$M$227*EFEITO!$Z$227</f>
        <v>0</v>
      </c>
      <c r="O227" s="55">
        <f>$L$227-EFEITO!$O$227*EFEITO!$AA$227</f>
        <v>0</v>
      </c>
      <c r="P227" s="39"/>
      <c r="Q227" s="39"/>
      <c r="R227" s="39"/>
      <c r="S227" s="39"/>
      <c r="T227" s="39"/>
      <c r="U227" s="39"/>
      <c r="V227" s="39"/>
      <c r="W227" s="39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1.25" customHeight="1" x14ac:dyDescent="0.2">
      <c r="A228" s="35" t="s">
        <v>21</v>
      </c>
      <c r="B228" s="35" t="s">
        <v>22</v>
      </c>
      <c r="C228" s="35" t="s">
        <v>23</v>
      </c>
      <c r="D228" s="35" t="s">
        <v>24</v>
      </c>
      <c r="E228" s="35" t="s">
        <v>24</v>
      </c>
      <c r="F228" s="35" t="s">
        <v>25</v>
      </c>
      <c r="G228" s="35" t="s">
        <v>25</v>
      </c>
      <c r="H228" s="35" t="s">
        <v>25</v>
      </c>
      <c r="I228" s="54">
        <v>44501</v>
      </c>
      <c r="J228" s="55">
        <f>EFEITO!$J$228*EFEITO!$Y$228</f>
        <v>0</v>
      </c>
      <c r="K228" s="55">
        <f ca="1">EFEITO!$L$228*EFEITO!$Z$228</f>
        <v>385552.81661888649</v>
      </c>
      <c r="L228" s="55">
        <f>EFEITO!$N$228*EFEITO!$AA$228</f>
        <v>192028.91397740014</v>
      </c>
      <c r="M228" s="55">
        <f>$J$228-EFEITO!$K$228*EFEITO!$Y$228</f>
        <v>0</v>
      </c>
      <c r="N228" s="55">
        <f ca="1">$K$228-EFEITO!$M$228*EFEITO!$Z$228</f>
        <v>0</v>
      </c>
      <c r="O228" s="55">
        <f>$L$228-EFEITO!$O$228*EFEITO!$AA$228</f>
        <v>0</v>
      </c>
      <c r="P228" s="39"/>
      <c r="Q228" s="39"/>
      <c r="R228" s="39"/>
      <c r="S228" s="39"/>
      <c r="T228" s="39"/>
      <c r="U228" s="39"/>
      <c r="V228" s="39"/>
      <c r="W228" s="39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1.25" customHeight="1" x14ac:dyDescent="0.2">
      <c r="A229" s="35" t="s">
        <v>48</v>
      </c>
      <c r="B229" s="35" t="s">
        <v>22</v>
      </c>
      <c r="C229" s="35" t="s">
        <v>23</v>
      </c>
      <c r="D229" s="35" t="s">
        <v>24</v>
      </c>
      <c r="E229" s="35" t="s">
        <v>24</v>
      </c>
      <c r="F229" s="35" t="s">
        <v>25</v>
      </c>
      <c r="G229" s="35" t="s">
        <v>25</v>
      </c>
      <c r="H229" s="35" t="s">
        <v>25</v>
      </c>
      <c r="I229" s="54">
        <v>44501</v>
      </c>
      <c r="J229" s="55">
        <f>EFEITO!$J$229*EFEITO!$Y$229</f>
        <v>0</v>
      </c>
      <c r="K229" s="55">
        <f ca="1">EFEITO!$L$229*EFEITO!$Z$229</f>
        <v>-44.208718312319505</v>
      </c>
      <c r="L229" s="55">
        <f>EFEITO!$N$229*EFEITO!$AA$229</f>
        <v>-22.018649066799899</v>
      </c>
      <c r="M229" s="55">
        <f>$J$229-EFEITO!$K$229*EFEITO!$Y$229</f>
        <v>0</v>
      </c>
      <c r="N229" s="55">
        <f ca="1">$K$229-EFEITO!$M$229*EFEITO!$Z$229</f>
        <v>0</v>
      </c>
      <c r="O229" s="55">
        <f>$L$229-EFEITO!$O$229*EFEITO!$AA$229</f>
        <v>0</v>
      </c>
      <c r="P229" s="39"/>
      <c r="Q229" s="39"/>
      <c r="R229" s="39"/>
      <c r="S229" s="39"/>
      <c r="T229" s="39"/>
      <c r="U229" s="39"/>
      <c r="V229" s="39"/>
      <c r="W229" s="39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1.25" customHeight="1" x14ac:dyDescent="0.2">
      <c r="A230" s="35" t="s">
        <v>27</v>
      </c>
      <c r="B230" s="35" t="s">
        <v>22</v>
      </c>
      <c r="C230" s="35" t="s">
        <v>23</v>
      </c>
      <c r="D230" s="35" t="s">
        <v>24</v>
      </c>
      <c r="E230" s="35" t="s">
        <v>24</v>
      </c>
      <c r="F230" s="35" t="s">
        <v>25</v>
      </c>
      <c r="G230" s="35" t="s">
        <v>25</v>
      </c>
      <c r="H230" s="35" t="s">
        <v>25</v>
      </c>
      <c r="I230" s="54">
        <v>44501</v>
      </c>
      <c r="J230" s="55">
        <f>EFEITO!$J$230*EFEITO!$Y$230</f>
        <v>0</v>
      </c>
      <c r="K230" s="55">
        <f ca="1">EFEITO!$L$230*EFEITO!$Z$230</f>
        <v>7020.1727836533782</v>
      </c>
      <c r="L230" s="55">
        <f>EFEITO!$N$230*EFEITO!$AA$230</f>
        <v>3496.4759624910603</v>
      </c>
      <c r="M230" s="55">
        <f>$J$230-EFEITO!$K$230*EFEITO!$Y$230</f>
        <v>0</v>
      </c>
      <c r="N230" s="55">
        <f ca="1">$K$230-EFEITO!$M$230*EFEITO!$Z$230</f>
        <v>0</v>
      </c>
      <c r="O230" s="55">
        <f>$L$230-EFEITO!$O$230*EFEITO!$AA$230</f>
        <v>0</v>
      </c>
      <c r="P230" s="39"/>
      <c r="Q230" s="39"/>
      <c r="R230" s="39"/>
      <c r="S230" s="39"/>
      <c r="T230" s="39"/>
      <c r="U230" s="39"/>
      <c r="V230" s="39"/>
      <c r="W230" s="39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1.25" customHeight="1" x14ac:dyDescent="0.2">
      <c r="A231" s="35" t="s">
        <v>21</v>
      </c>
      <c r="B231" s="35" t="s">
        <v>22</v>
      </c>
      <c r="C231" s="35" t="s">
        <v>23</v>
      </c>
      <c r="D231" s="35" t="s">
        <v>24</v>
      </c>
      <c r="E231" s="35" t="s">
        <v>24</v>
      </c>
      <c r="F231" s="35" t="s">
        <v>25</v>
      </c>
      <c r="G231" s="35" t="s">
        <v>25</v>
      </c>
      <c r="H231" s="35" t="s">
        <v>25</v>
      </c>
      <c r="I231" s="54">
        <v>44531</v>
      </c>
      <c r="J231" s="55">
        <f>EFEITO!$J$231*EFEITO!$Y$231</f>
        <v>0</v>
      </c>
      <c r="K231" s="55">
        <f ca="1">EFEITO!$L$231*EFEITO!$Z$231</f>
        <v>357736.09016157471</v>
      </c>
      <c r="L231" s="55">
        <f>EFEITO!$N$231*EFEITO!$AA$231</f>
        <v>178174.48070196097</v>
      </c>
      <c r="M231" s="55">
        <f>$J$231-EFEITO!$K$231*EFEITO!$Y$231</f>
        <v>0</v>
      </c>
      <c r="N231" s="55">
        <f ca="1">$K$231-EFEITO!$M$231*EFEITO!$Z$231</f>
        <v>0</v>
      </c>
      <c r="O231" s="55">
        <f>$L$231-EFEITO!$O$231*EFEITO!$AA$231</f>
        <v>0</v>
      </c>
      <c r="P231" s="39"/>
      <c r="Q231" s="39"/>
      <c r="R231" s="39"/>
      <c r="S231" s="39"/>
      <c r="T231" s="39"/>
      <c r="U231" s="39"/>
      <c r="V231" s="39"/>
      <c r="W231" s="39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1.25" customHeight="1" x14ac:dyDescent="0.2">
      <c r="A232" s="35" t="s">
        <v>27</v>
      </c>
      <c r="B232" s="35" t="s">
        <v>22</v>
      </c>
      <c r="C232" s="35" t="s">
        <v>23</v>
      </c>
      <c r="D232" s="35" t="s">
        <v>24</v>
      </c>
      <c r="E232" s="35" t="s">
        <v>24</v>
      </c>
      <c r="F232" s="35" t="s">
        <v>25</v>
      </c>
      <c r="G232" s="35" t="s">
        <v>25</v>
      </c>
      <c r="H232" s="35" t="s">
        <v>25</v>
      </c>
      <c r="I232" s="54">
        <v>44531</v>
      </c>
      <c r="J232" s="55">
        <f>EFEITO!$J$232*EFEITO!$Y$232</f>
        <v>0</v>
      </c>
      <c r="K232" s="55">
        <f ca="1">EFEITO!$L$232*EFEITO!$Z$232</f>
        <v>6836.4705366856815</v>
      </c>
      <c r="L232" s="55">
        <f>EFEITO!$N$232*EFEITO!$AA$232</f>
        <v>3404.9809935532894</v>
      </c>
      <c r="M232" s="55">
        <f>$J$232-EFEITO!$K$232*EFEITO!$Y$232</f>
        <v>0</v>
      </c>
      <c r="N232" s="55">
        <f ca="1">$K$232-EFEITO!$M$232*EFEITO!$Z$232</f>
        <v>0</v>
      </c>
      <c r="O232" s="55">
        <f>$L$232-EFEITO!$O$232*EFEITO!$AA$232</f>
        <v>0</v>
      </c>
      <c r="P232" s="39"/>
      <c r="Q232" s="39"/>
      <c r="R232" s="39"/>
      <c r="S232" s="39"/>
      <c r="T232" s="39"/>
      <c r="U232" s="39"/>
      <c r="V232" s="39"/>
      <c r="W232" s="39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1.25" customHeight="1" x14ac:dyDescent="0.2">
      <c r="A233" s="35" t="s">
        <v>21</v>
      </c>
      <c r="B233" s="35" t="s">
        <v>22</v>
      </c>
      <c r="C233" s="35" t="s">
        <v>23</v>
      </c>
      <c r="D233" s="35" t="s">
        <v>24</v>
      </c>
      <c r="E233" s="35" t="s">
        <v>24</v>
      </c>
      <c r="F233" s="35" t="s">
        <v>25</v>
      </c>
      <c r="G233" s="35" t="s">
        <v>25</v>
      </c>
      <c r="H233" s="35" t="s">
        <v>25</v>
      </c>
      <c r="I233" s="54">
        <v>44562</v>
      </c>
      <c r="J233" s="55">
        <f>EFEITO!$J$233*EFEITO!$Y$233</f>
        <v>0</v>
      </c>
      <c r="K233" s="55">
        <f ca="1">EFEITO!$L$233*EFEITO!$Z$233</f>
        <v>417045.73406983924</v>
      </c>
      <c r="L233" s="55">
        <f>EFEITO!$N$233*EFEITO!$AA$233</f>
        <v>207714.31549805429</v>
      </c>
      <c r="M233" s="55">
        <f>$J$233-EFEITO!$K$233*EFEITO!$Y$233</f>
        <v>0</v>
      </c>
      <c r="N233" s="55">
        <f ca="1">$K$233-EFEITO!$M$233*EFEITO!$Z$233</f>
        <v>0</v>
      </c>
      <c r="O233" s="55">
        <f>$L$233-EFEITO!$O$233*EFEITO!$AA$233</f>
        <v>0</v>
      </c>
      <c r="P233" s="39"/>
      <c r="Q233" s="39"/>
      <c r="R233" s="39"/>
      <c r="S233" s="39"/>
      <c r="T233" s="39"/>
      <c r="U233" s="39"/>
      <c r="V233" s="39"/>
      <c r="W233" s="39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1.25" customHeight="1" x14ac:dyDescent="0.2">
      <c r="A234" s="35" t="s">
        <v>27</v>
      </c>
      <c r="B234" s="35" t="s">
        <v>22</v>
      </c>
      <c r="C234" s="35" t="s">
        <v>23</v>
      </c>
      <c r="D234" s="35" t="s">
        <v>24</v>
      </c>
      <c r="E234" s="35" t="s">
        <v>24</v>
      </c>
      <c r="F234" s="35" t="s">
        <v>25</v>
      </c>
      <c r="G234" s="35" t="s">
        <v>25</v>
      </c>
      <c r="H234" s="35" t="s">
        <v>25</v>
      </c>
      <c r="I234" s="54">
        <v>44562</v>
      </c>
      <c r="J234" s="55">
        <f>EFEITO!$J$234*EFEITO!$Y$234</f>
        <v>0</v>
      </c>
      <c r="K234" s="55">
        <f ca="1">EFEITO!$L$234*EFEITO!$Z$234</f>
        <v>9225.0289581231373</v>
      </c>
      <c r="L234" s="55">
        <f>EFEITO!$N$234*EFEITO!$AA$234</f>
        <v>4594.6293630362152</v>
      </c>
      <c r="M234" s="55">
        <f>$J$234-EFEITO!$K$234*EFEITO!$Y$234</f>
        <v>0</v>
      </c>
      <c r="N234" s="55">
        <f ca="1">$K$234-EFEITO!$M$234*EFEITO!$Z$234</f>
        <v>0</v>
      </c>
      <c r="O234" s="55">
        <f>$L$234-EFEITO!$O$234*EFEITO!$AA$234</f>
        <v>0</v>
      </c>
      <c r="P234" s="39"/>
      <c r="Q234" s="39"/>
      <c r="R234" s="39"/>
      <c r="S234" s="39"/>
      <c r="T234" s="39"/>
      <c r="U234" s="39"/>
      <c r="V234" s="39"/>
      <c r="W234" s="39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1.25" customHeight="1" x14ac:dyDescent="0.2">
      <c r="A235" s="35" t="s">
        <v>21</v>
      </c>
      <c r="B235" s="35" t="s">
        <v>22</v>
      </c>
      <c r="C235" s="35" t="s">
        <v>23</v>
      </c>
      <c r="D235" s="35" t="s">
        <v>24</v>
      </c>
      <c r="E235" s="35" t="s">
        <v>24</v>
      </c>
      <c r="F235" s="35" t="s">
        <v>25</v>
      </c>
      <c r="G235" s="35" t="s">
        <v>25</v>
      </c>
      <c r="H235" s="35" t="s">
        <v>25</v>
      </c>
      <c r="I235" s="54">
        <v>44593</v>
      </c>
      <c r="J235" s="55">
        <f>EFEITO!$J$235*EFEITO!$Y$235</f>
        <v>0</v>
      </c>
      <c r="K235" s="55">
        <f ca="1">EFEITO!$L$235*EFEITO!$Z$235</f>
        <v>512994.104398439</v>
      </c>
      <c r="L235" s="55">
        <f>EFEITO!$N$235*EFEITO!$AA$235</f>
        <v>255502.47981151883</v>
      </c>
      <c r="M235" s="55">
        <f>$J$235-EFEITO!$K$235*EFEITO!$Y$235</f>
        <v>0</v>
      </c>
      <c r="N235" s="55">
        <f ca="1">$K$235-EFEITO!$M$235*EFEITO!$Z$235</f>
        <v>0</v>
      </c>
      <c r="O235" s="55">
        <f>$L$235-EFEITO!$O$235*EFEITO!$AA$235</f>
        <v>0</v>
      </c>
      <c r="P235" s="39"/>
      <c r="Q235" s="39"/>
      <c r="R235" s="39"/>
      <c r="S235" s="39"/>
      <c r="T235" s="39"/>
      <c r="U235" s="39"/>
      <c r="V235" s="39"/>
      <c r="W235" s="39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1.25" customHeight="1" x14ac:dyDescent="0.2">
      <c r="A236" s="35" t="s">
        <v>27</v>
      </c>
      <c r="B236" s="35" t="s">
        <v>22</v>
      </c>
      <c r="C236" s="35" t="s">
        <v>23</v>
      </c>
      <c r="D236" s="35" t="s">
        <v>24</v>
      </c>
      <c r="E236" s="35" t="s">
        <v>24</v>
      </c>
      <c r="F236" s="35" t="s">
        <v>25</v>
      </c>
      <c r="G236" s="35" t="s">
        <v>25</v>
      </c>
      <c r="H236" s="35" t="s">
        <v>25</v>
      </c>
      <c r="I236" s="54">
        <v>44593</v>
      </c>
      <c r="J236" s="55">
        <f>EFEITO!$J$236*EFEITO!$Y$236</f>
        <v>0</v>
      </c>
      <c r="K236" s="55">
        <f ca="1">EFEITO!$L$236*EFEITO!$Z$236</f>
        <v>11143.601490706325</v>
      </c>
      <c r="L236" s="55">
        <f>EFEITO!$N$236*EFEITO!$AA$236</f>
        <v>5550.1959778769497</v>
      </c>
      <c r="M236" s="55">
        <f>$J$236-EFEITO!$K$236*EFEITO!$Y$236</f>
        <v>0</v>
      </c>
      <c r="N236" s="55">
        <f ca="1">$K$236-EFEITO!$M$236*EFEITO!$Z$236</f>
        <v>0</v>
      </c>
      <c r="O236" s="55">
        <f>$L$236-EFEITO!$O$236*EFEITO!$AA$236</f>
        <v>0</v>
      </c>
      <c r="P236" s="39"/>
      <c r="Q236" s="39"/>
      <c r="R236" s="39"/>
      <c r="S236" s="39"/>
      <c r="T236" s="39"/>
      <c r="U236" s="39"/>
      <c r="V236" s="39"/>
      <c r="W236" s="39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1.25" customHeight="1" x14ac:dyDescent="0.2">
      <c r="A237" s="35" t="s">
        <v>21</v>
      </c>
      <c r="B237" s="35" t="s">
        <v>22</v>
      </c>
      <c r="C237" s="35" t="s">
        <v>23</v>
      </c>
      <c r="D237" s="35" t="s">
        <v>24</v>
      </c>
      <c r="E237" s="35" t="s">
        <v>24</v>
      </c>
      <c r="F237" s="35" t="s">
        <v>25</v>
      </c>
      <c r="G237" s="35" t="s">
        <v>25</v>
      </c>
      <c r="H237" s="35" t="s">
        <v>25</v>
      </c>
      <c r="I237" s="54">
        <v>44621</v>
      </c>
      <c r="J237" s="55">
        <f>EFEITO!$J$237*EFEITO!$Y$237</f>
        <v>0</v>
      </c>
      <c r="K237" s="55">
        <f ca="1">EFEITO!$L$237*EFEITO!$Z$237</f>
        <v>476284.98739748995</v>
      </c>
      <c r="L237" s="55">
        <f>EFEITO!$N$237*EFEITO!$AA$237</f>
        <v>237219.0914742742</v>
      </c>
      <c r="M237" s="55">
        <f>$J$237-EFEITO!$K$237*EFEITO!$Y$237</f>
        <v>0</v>
      </c>
      <c r="N237" s="55">
        <f ca="1">$K$237-EFEITO!$M$237*EFEITO!$Z$237</f>
        <v>0</v>
      </c>
      <c r="O237" s="55">
        <f>$L$237-EFEITO!$O$237*EFEITO!$AA$237</f>
        <v>0</v>
      </c>
      <c r="P237" s="39"/>
      <c r="Q237" s="39"/>
      <c r="R237" s="39"/>
      <c r="S237" s="39"/>
      <c r="T237" s="39"/>
      <c r="U237" s="39"/>
      <c r="V237" s="39"/>
      <c r="W237" s="39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1.25" customHeight="1" x14ac:dyDescent="0.2">
      <c r="A238" s="35" t="s">
        <v>48</v>
      </c>
      <c r="B238" s="35" t="s">
        <v>22</v>
      </c>
      <c r="C238" s="35" t="s">
        <v>23</v>
      </c>
      <c r="D238" s="35" t="s">
        <v>24</v>
      </c>
      <c r="E238" s="35" t="s">
        <v>24</v>
      </c>
      <c r="F238" s="35" t="s">
        <v>25</v>
      </c>
      <c r="G238" s="35" t="s">
        <v>25</v>
      </c>
      <c r="H238" s="35" t="s">
        <v>25</v>
      </c>
      <c r="I238" s="54">
        <v>44621</v>
      </c>
      <c r="J238" s="55">
        <f>EFEITO!$J$238*EFEITO!$Y$238</f>
        <v>0</v>
      </c>
      <c r="K238" s="55">
        <f ca="1">EFEITO!$L$238*EFEITO!$Z$238</f>
        <v>-133.48457665176085</v>
      </c>
      <c r="L238" s="55">
        <f>EFEITO!$N$238*EFEITO!$AA$238</f>
        <v>-66.483493784221054</v>
      </c>
      <c r="M238" s="55">
        <f>$J$238-EFEITO!$K$238*EFEITO!$Y$238</f>
        <v>0</v>
      </c>
      <c r="N238" s="55">
        <f ca="1">$K$238-EFEITO!$M$238*EFEITO!$Z$238</f>
        <v>0</v>
      </c>
      <c r="O238" s="55">
        <f>$L$238-EFEITO!$O$238*EFEITO!$AA$238</f>
        <v>0</v>
      </c>
      <c r="P238" s="39"/>
      <c r="Q238" s="39"/>
      <c r="R238" s="39"/>
      <c r="S238" s="39"/>
      <c r="T238" s="39"/>
      <c r="U238" s="39"/>
      <c r="V238" s="39"/>
      <c r="W238" s="39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1.25" customHeight="1" x14ac:dyDescent="0.2">
      <c r="A239" s="35" t="s">
        <v>27</v>
      </c>
      <c r="B239" s="35" t="s">
        <v>22</v>
      </c>
      <c r="C239" s="35" t="s">
        <v>23</v>
      </c>
      <c r="D239" s="35" t="s">
        <v>24</v>
      </c>
      <c r="E239" s="35" t="s">
        <v>24</v>
      </c>
      <c r="F239" s="35" t="s">
        <v>25</v>
      </c>
      <c r="G239" s="35" t="s">
        <v>25</v>
      </c>
      <c r="H239" s="35" t="s">
        <v>25</v>
      </c>
      <c r="I239" s="54">
        <v>44621</v>
      </c>
      <c r="J239" s="55">
        <f>EFEITO!$J$239*EFEITO!$Y$239</f>
        <v>0</v>
      </c>
      <c r="K239" s="55">
        <f ca="1">EFEITO!$L$239*EFEITO!$Z$239</f>
        <v>12869.887559173791</v>
      </c>
      <c r="L239" s="55">
        <f>EFEITO!$N$239*EFEITO!$AA$239</f>
        <v>6409.9921579416987</v>
      </c>
      <c r="M239" s="55">
        <f>$J$239-EFEITO!$K$239*EFEITO!$Y$239</f>
        <v>0</v>
      </c>
      <c r="N239" s="55">
        <f ca="1">$K$239-EFEITO!$M$239*EFEITO!$Z$239</f>
        <v>0</v>
      </c>
      <c r="O239" s="55">
        <f>$L$239-EFEITO!$O$239*EFEITO!$AA$239</f>
        <v>0</v>
      </c>
      <c r="P239" s="39"/>
      <c r="Q239" s="39"/>
      <c r="R239" s="39"/>
      <c r="S239" s="39"/>
      <c r="T239" s="39"/>
      <c r="U239" s="39"/>
      <c r="V239" s="39"/>
      <c r="W239" s="39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1.25" customHeight="1" x14ac:dyDescent="0.2">
      <c r="A240" s="35" t="s">
        <v>21</v>
      </c>
      <c r="B240" s="35" t="s">
        <v>22</v>
      </c>
      <c r="C240" s="35" t="s">
        <v>23</v>
      </c>
      <c r="D240" s="35" t="s">
        <v>24</v>
      </c>
      <c r="E240" s="35" t="s">
        <v>24</v>
      </c>
      <c r="F240" s="35" t="s">
        <v>25</v>
      </c>
      <c r="G240" s="35" t="s">
        <v>25</v>
      </c>
      <c r="H240" s="35" t="s">
        <v>25</v>
      </c>
      <c r="I240" s="54">
        <v>44652</v>
      </c>
      <c r="J240" s="55">
        <f>EFEITO!$J$240*EFEITO!$Y$240</f>
        <v>0</v>
      </c>
      <c r="K240" s="55">
        <f ca="1">EFEITO!$L$240*EFEITO!$Z$240</f>
        <v>340588.25798668351</v>
      </c>
      <c r="L240" s="55">
        <f>EFEITO!$N$240*EFEITO!$AA$240</f>
        <v>169633.81014354553</v>
      </c>
      <c r="M240" s="55">
        <f>$J$240-EFEITO!$K$240*EFEITO!$Y$240</f>
        <v>0</v>
      </c>
      <c r="N240" s="55">
        <f ca="1">$K$240-EFEITO!$M$240*EFEITO!$Z$240</f>
        <v>0</v>
      </c>
      <c r="O240" s="55">
        <f>$L$240-EFEITO!$O$240*EFEITO!$AA$240</f>
        <v>0</v>
      </c>
      <c r="P240" s="39"/>
      <c r="Q240" s="39"/>
      <c r="R240" s="39"/>
      <c r="S240" s="39"/>
      <c r="T240" s="39"/>
      <c r="U240" s="39"/>
      <c r="V240" s="39"/>
      <c r="W240" s="39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1.25" customHeight="1" x14ac:dyDescent="0.2">
      <c r="A241" s="35" t="s">
        <v>48</v>
      </c>
      <c r="B241" s="35" t="s">
        <v>22</v>
      </c>
      <c r="C241" s="35" t="s">
        <v>23</v>
      </c>
      <c r="D241" s="35" t="s">
        <v>24</v>
      </c>
      <c r="E241" s="35" t="s">
        <v>24</v>
      </c>
      <c r="F241" s="35" t="s">
        <v>25</v>
      </c>
      <c r="G241" s="35" t="s">
        <v>25</v>
      </c>
      <c r="H241" s="35" t="s">
        <v>25</v>
      </c>
      <c r="I241" s="54">
        <v>44652</v>
      </c>
      <c r="J241" s="55">
        <f>EFEITO!$J$241*EFEITO!$Y$241</f>
        <v>0</v>
      </c>
      <c r="K241" s="55">
        <f ca="1">EFEITO!$L$241*EFEITO!$Z$241</f>
        <v>-43032.251352182931</v>
      </c>
      <c r="L241" s="55">
        <f>EFEITO!$N$241*EFEITO!$AA$241</f>
        <v>-21432.696473672728</v>
      </c>
      <c r="M241" s="55">
        <f>$J$241-EFEITO!$K$241*EFEITO!$Y$241</f>
        <v>0</v>
      </c>
      <c r="N241" s="55">
        <f ca="1">$K$241-EFEITO!$M$241*EFEITO!$Z$241</f>
        <v>0</v>
      </c>
      <c r="O241" s="55">
        <f>$L$241-EFEITO!$O$241*EFEITO!$AA$241</f>
        <v>0</v>
      </c>
      <c r="P241" s="39"/>
      <c r="Q241" s="39"/>
      <c r="R241" s="39"/>
      <c r="S241" s="39"/>
      <c r="T241" s="39"/>
      <c r="U241" s="39"/>
      <c r="V241" s="39"/>
      <c r="W241" s="39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1.25" customHeight="1" x14ac:dyDescent="0.2">
      <c r="A242" s="35" t="s">
        <v>27</v>
      </c>
      <c r="B242" s="35" t="s">
        <v>22</v>
      </c>
      <c r="C242" s="35" t="s">
        <v>23</v>
      </c>
      <c r="D242" s="35" t="s">
        <v>24</v>
      </c>
      <c r="E242" s="35" t="s">
        <v>24</v>
      </c>
      <c r="F242" s="35" t="s">
        <v>25</v>
      </c>
      <c r="G242" s="35" t="s">
        <v>25</v>
      </c>
      <c r="H242" s="35" t="s">
        <v>25</v>
      </c>
      <c r="I242" s="54">
        <v>44652</v>
      </c>
      <c r="J242" s="55">
        <f>EFEITO!$J$242*EFEITO!$Y$242</f>
        <v>0</v>
      </c>
      <c r="K242" s="55">
        <f ca="1">EFEITO!$L$242*EFEITO!$Z$242</f>
        <v>10430.253045705596</v>
      </c>
      <c r="L242" s="55">
        <f>EFEITO!$N$242*EFEITO!$AA$242</f>
        <v>5194.9047667214008</v>
      </c>
      <c r="M242" s="55">
        <f>$J$242-EFEITO!$K$242*EFEITO!$Y$242</f>
        <v>0</v>
      </c>
      <c r="N242" s="55">
        <f ca="1">$K$242-EFEITO!$M$242*EFEITO!$Z$242</f>
        <v>0</v>
      </c>
      <c r="O242" s="55">
        <f>$L$242-EFEITO!$O$242*EFEITO!$AA$242</f>
        <v>0</v>
      </c>
      <c r="P242" s="39"/>
      <c r="Q242" s="39"/>
      <c r="R242" s="39"/>
      <c r="S242" s="39"/>
      <c r="T242" s="39"/>
      <c r="U242" s="39"/>
      <c r="V242" s="39"/>
      <c r="W242" s="39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1.25" customHeight="1" x14ac:dyDescent="0.2">
      <c r="A243" s="35" t="s">
        <v>27</v>
      </c>
      <c r="B243" s="35" t="s">
        <v>22</v>
      </c>
      <c r="C243" s="35" t="s">
        <v>23</v>
      </c>
      <c r="D243" s="35" t="s">
        <v>24</v>
      </c>
      <c r="E243" s="35" t="s">
        <v>24</v>
      </c>
      <c r="F243" s="35" t="s">
        <v>25</v>
      </c>
      <c r="G243" s="35" t="s">
        <v>25</v>
      </c>
      <c r="H243" s="35" t="s">
        <v>25</v>
      </c>
      <c r="I243" s="54">
        <v>44652</v>
      </c>
      <c r="J243" s="55">
        <f>EFEITO!$J$243*EFEITO!$Y$243</f>
        <v>0</v>
      </c>
      <c r="K243" s="55">
        <f ca="1">EFEITO!$L$243*EFEITO!$Z$243</f>
        <v>-155.37433037922003</v>
      </c>
      <c r="L243" s="55">
        <f>EFEITO!$N$243*EFEITO!$AA$243</f>
        <v>-77.385931671665659</v>
      </c>
      <c r="M243" s="55">
        <f>$J$243-EFEITO!$K$243*EFEITO!$Y$243</f>
        <v>0</v>
      </c>
      <c r="N243" s="55">
        <f ca="1">$K$243-EFEITO!$M$243*EFEITO!$Z$243</f>
        <v>0</v>
      </c>
      <c r="O243" s="55">
        <f>$L$243-EFEITO!$O$243*EFEITO!$AA$243</f>
        <v>0</v>
      </c>
      <c r="P243" s="39"/>
      <c r="Q243" s="39"/>
      <c r="R243" s="39"/>
      <c r="S243" s="39"/>
      <c r="T243" s="39"/>
      <c r="U243" s="39"/>
      <c r="V243" s="39"/>
      <c r="W243" s="39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1.25" customHeight="1" x14ac:dyDescent="0.2">
      <c r="A244" s="35" t="s">
        <v>21</v>
      </c>
      <c r="B244" s="35" t="s">
        <v>22</v>
      </c>
      <c r="C244" s="35" t="s">
        <v>23</v>
      </c>
      <c r="D244" s="35" t="s">
        <v>24</v>
      </c>
      <c r="E244" s="35" t="s">
        <v>24</v>
      </c>
      <c r="F244" s="35" t="s">
        <v>25</v>
      </c>
      <c r="G244" s="35" t="s">
        <v>25</v>
      </c>
      <c r="H244" s="35" t="s">
        <v>25</v>
      </c>
      <c r="I244" s="54">
        <v>44682</v>
      </c>
      <c r="J244" s="55">
        <f>EFEITO!$J$244*EFEITO!$Y$244</f>
        <v>0</v>
      </c>
      <c r="K244" s="55">
        <f ca="1">EFEITO!$L$244*EFEITO!$Z$244</f>
        <v>333788.27037287696</v>
      </c>
      <c r="L244" s="55">
        <f>EFEITO!$N$244*EFEITO!$AA$244</f>
        <v>166246.99987980464</v>
      </c>
      <c r="M244" s="55">
        <f>$J$244-EFEITO!$K$244*EFEITO!$Y$244</f>
        <v>0</v>
      </c>
      <c r="N244" s="55">
        <f ca="1">$K$244-EFEITO!$M$244*EFEITO!$Z$244</f>
        <v>0</v>
      </c>
      <c r="O244" s="55">
        <f>$L$244-EFEITO!$O$244*EFEITO!$AA$244</f>
        <v>0</v>
      </c>
      <c r="P244" s="39"/>
      <c r="Q244" s="39"/>
      <c r="R244" s="39"/>
      <c r="S244" s="39"/>
      <c r="T244" s="39"/>
      <c r="U244" s="39"/>
      <c r="V244" s="39"/>
      <c r="W244" s="39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1.25" customHeight="1" x14ac:dyDescent="0.2">
      <c r="A245" s="35" t="s">
        <v>27</v>
      </c>
      <c r="B245" s="35" t="s">
        <v>22</v>
      </c>
      <c r="C245" s="35" t="s">
        <v>23</v>
      </c>
      <c r="D245" s="35" t="s">
        <v>24</v>
      </c>
      <c r="E245" s="35" t="s">
        <v>24</v>
      </c>
      <c r="F245" s="35" t="s">
        <v>25</v>
      </c>
      <c r="G245" s="35" t="s">
        <v>25</v>
      </c>
      <c r="H245" s="35" t="s">
        <v>25</v>
      </c>
      <c r="I245" s="54">
        <v>44682</v>
      </c>
      <c r="J245" s="55">
        <f>EFEITO!$J$245*EFEITO!$Y$245</f>
        <v>0</v>
      </c>
      <c r="K245" s="55">
        <f ca="1">EFEITO!$L$245*EFEITO!$Z$245</f>
        <v>11861.242044281065</v>
      </c>
      <c r="L245" s="55">
        <f>EFEITO!$N$245*EFEITO!$AA$245</f>
        <v>5907.6249219516048</v>
      </c>
      <c r="M245" s="55">
        <f>$J$245-EFEITO!$K$245*EFEITO!$Y$245</f>
        <v>0</v>
      </c>
      <c r="N245" s="55">
        <f ca="1">$K$245-EFEITO!$M$245*EFEITO!$Z$245</f>
        <v>0</v>
      </c>
      <c r="O245" s="55">
        <f>$L$245-EFEITO!$O$245*EFEITO!$AA$245</f>
        <v>0</v>
      </c>
      <c r="P245" s="39"/>
      <c r="Q245" s="39"/>
      <c r="R245" s="39"/>
      <c r="S245" s="39"/>
      <c r="T245" s="39"/>
      <c r="U245" s="39"/>
      <c r="V245" s="39"/>
      <c r="W245" s="39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1.25" customHeight="1" x14ac:dyDescent="0.2">
      <c r="A246" s="35" t="s">
        <v>21</v>
      </c>
      <c r="B246" s="35" t="s">
        <v>22</v>
      </c>
      <c r="C246" s="35" t="s">
        <v>23</v>
      </c>
      <c r="D246" s="35" t="s">
        <v>24</v>
      </c>
      <c r="E246" s="35" t="s">
        <v>24</v>
      </c>
      <c r="F246" s="35" t="s">
        <v>25</v>
      </c>
      <c r="G246" s="35" t="s">
        <v>25</v>
      </c>
      <c r="H246" s="35" t="s">
        <v>25</v>
      </c>
      <c r="I246" s="54">
        <v>44713</v>
      </c>
      <c r="J246" s="55">
        <f>EFEITO!$J$246*EFEITO!$Y$246</f>
        <v>0</v>
      </c>
      <c r="K246" s="55">
        <f ca="1">EFEITO!$L$246*EFEITO!$Z$246</f>
        <v>360310.06767340942</v>
      </c>
      <c r="L246" s="55">
        <f>EFEITO!$N$246*EFEITO!$AA$246</f>
        <v>179456.47913354932</v>
      </c>
      <c r="M246" s="55">
        <f>$J$246-EFEITO!$K$246*EFEITO!$Y$246</f>
        <v>0</v>
      </c>
      <c r="N246" s="55">
        <f ca="1">$K$246-EFEITO!$M$246*EFEITO!$Z$246</f>
        <v>0</v>
      </c>
      <c r="O246" s="55">
        <f>$L$246-EFEITO!$O$246*EFEITO!$AA$246</f>
        <v>0</v>
      </c>
      <c r="P246" s="39"/>
      <c r="Q246" s="39"/>
      <c r="R246" s="39"/>
      <c r="S246" s="39"/>
      <c r="T246" s="39"/>
      <c r="U246" s="39"/>
      <c r="V246" s="39"/>
      <c r="W246" s="39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1.25" customHeight="1" x14ac:dyDescent="0.2">
      <c r="A247" s="35" t="s">
        <v>48</v>
      </c>
      <c r="B247" s="35" t="s">
        <v>22</v>
      </c>
      <c r="C247" s="35" t="s">
        <v>23</v>
      </c>
      <c r="D247" s="35" t="s">
        <v>24</v>
      </c>
      <c r="E247" s="35" t="s">
        <v>24</v>
      </c>
      <c r="F247" s="35" t="s">
        <v>25</v>
      </c>
      <c r="G247" s="35" t="s">
        <v>25</v>
      </c>
      <c r="H247" s="35" t="s">
        <v>25</v>
      </c>
      <c r="I247" s="54">
        <v>44713</v>
      </c>
      <c r="J247" s="55">
        <f>EFEITO!$J$247*EFEITO!$Y$247</f>
        <v>0</v>
      </c>
      <c r="K247" s="55">
        <f ca="1">EFEITO!$L$247*EFEITO!$Z$247</f>
        <v>96.143232057859905</v>
      </c>
      <c r="L247" s="55">
        <f>EFEITO!$N$247*EFEITO!$AA$247</f>
        <v>47.885217387992014</v>
      </c>
      <c r="M247" s="55">
        <f>$J$247-EFEITO!$K$247*EFEITO!$Y$247</f>
        <v>0</v>
      </c>
      <c r="N247" s="55">
        <f ca="1">$K$247-EFEITO!$M$247*EFEITO!$Z$247</f>
        <v>0</v>
      </c>
      <c r="O247" s="55">
        <f>$L$247-EFEITO!$O$247*EFEITO!$AA$247</f>
        <v>0</v>
      </c>
      <c r="P247" s="39"/>
      <c r="Q247" s="39"/>
      <c r="R247" s="39"/>
      <c r="S247" s="39"/>
      <c r="T247" s="39"/>
      <c r="U247" s="39"/>
      <c r="V247" s="39"/>
      <c r="W247" s="39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1.25" customHeight="1" x14ac:dyDescent="0.2">
      <c r="A248" s="35" t="s">
        <v>27</v>
      </c>
      <c r="B248" s="35" t="s">
        <v>22</v>
      </c>
      <c r="C248" s="35" t="s">
        <v>23</v>
      </c>
      <c r="D248" s="35" t="s">
        <v>24</v>
      </c>
      <c r="E248" s="35" t="s">
        <v>24</v>
      </c>
      <c r="F248" s="35" t="s">
        <v>25</v>
      </c>
      <c r="G248" s="35" t="s">
        <v>25</v>
      </c>
      <c r="H248" s="35" t="s">
        <v>25</v>
      </c>
      <c r="I248" s="54">
        <v>44713</v>
      </c>
      <c r="J248" s="55">
        <f>EFEITO!$J$248*EFEITO!$Y$248</f>
        <v>0</v>
      </c>
      <c r="K248" s="55">
        <f ca="1">EFEITO!$L$248*EFEITO!$Z$248</f>
        <v>14559.690704762159</v>
      </c>
      <c r="L248" s="55">
        <f>EFEITO!$N$248*EFEITO!$AA$248</f>
        <v>7251.6176081940403</v>
      </c>
      <c r="M248" s="55">
        <f>$J$248-EFEITO!$K$248*EFEITO!$Y$248</f>
        <v>0</v>
      </c>
      <c r="N248" s="55">
        <f ca="1">$K$248-EFEITO!$M$248*EFEITO!$Z$248</f>
        <v>0</v>
      </c>
      <c r="O248" s="55">
        <f>$L$248-EFEITO!$O$248*EFEITO!$AA$248</f>
        <v>0</v>
      </c>
      <c r="P248" s="39"/>
      <c r="Q248" s="39"/>
      <c r="R248" s="39"/>
      <c r="S248" s="39"/>
      <c r="T248" s="39"/>
      <c r="U248" s="39"/>
      <c r="V248" s="39"/>
      <c r="W248" s="39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1.25" customHeight="1" x14ac:dyDescent="0.2">
      <c r="A249" s="35" t="s">
        <v>21</v>
      </c>
      <c r="B249" s="35" t="s">
        <v>22</v>
      </c>
      <c r="C249" s="35" t="s">
        <v>23</v>
      </c>
      <c r="D249" s="35" t="s">
        <v>24</v>
      </c>
      <c r="E249" s="35" t="s">
        <v>24</v>
      </c>
      <c r="F249" s="35" t="s">
        <v>25</v>
      </c>
      <c r="G249" s="35" t="s">
        <v>25</v>
      </c>
      <c r="H249" s="35" t="s">
        <v>25</v>
      </c>
      <c r="I249" s="54">
        <v>44743</v>
      </c>
      <c r="J249" s="55">
        <f>EFEITO!$J$249*EFEITO!$Y$249</f>
        <v>0</v>
      </c>
      <c r="K249" s="55">
        <f ca="1">EFEITO!$L$249*EFEITO!$Z$249</f>
        <v>350340.35787769529</v>
      </c>
      <c r="L249" s="55">
        <f>EFEITO!$N$249*EFEITO!$AA$249</f>
        <v>174490.95310904807</v>
      </c>
      <c r="M249" s="55">
        <f>$J$249-EFEITO!$K$249*EFEITO!$Y$249</f>
        <v>0</v>
      </c>
      <c r="N249" s="55">
        <f ca="1">$K$249-EFEITO!$M$249*EFEITO!$Z$249</f>
        <v>0</v>
      </c>
      <c r="O249" s="55">
        <f>$L$249-EFEITO!$O$249*EFEITO!$AA$249</f>
        <v>0</v>
      </c>
      <c r="P249" s="39"/>
      <c r="Q249" s="39"/>
      <c r="R249" s="39"/>
      <c r="S249" s="39"/>
      <c r="T249" s="39"/>
      <c r="U249" s="39"/>
      <c r="V249" s="39"/>
      <c r="W249" s="39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1.25" customHeight="1" x14ac:dyDescent="0.2">
      <c r="A250" s="35" t="s">
        <v>27</v>
      </c>
      <c r="B250" s="35" t="s">
        <v>22</v>
      </c>
      <c r="C250" s="35" t="s">
        <v>23</v>
      </c>
      <c r="D250" s="35" t="s">
        <v>24</v>
      </c>
      <c r="E250" s="35" t="s">
        <v>24</v>
      </c>
      <c r="F250" s="35" t="s">
        <v>25</v>
      </c>
      <c r="G250" s="35" t="s">
        <v>25</v>
      </c>
      <c r="H250" s="35" t="s">
        <v>25</v>
      </c>
      <c r="I250" s="54">
        <v>44743</v>
      </c>
      <c r="J250" s="55">
        <f>EFEITO!$J$250*EFEITO!$Y$250</f>
        <v>0</v>
      </c>
      <c r="K250" s="55">
        <f ca="1">EFEITO!$L$250*EFEITO!$Z$250</f>
        <v>14718.927932857991</v>
      </c>
      <c r="L250" s="55">
        <f>EFEITO!$N$250*EFEITO!$AA$250</f>
        <v>7330.9274994929019</v>
      </c>
      <c r="M250" s="55">
        <f>$J$250-EFEITO!$K$250*EFEITO!$Y$250</f>
        <v>0</v>
      </c>
      <c r="N250" s="55">
        <f ca="1">$K$250-EFEITO!$M$250*EFEITO!$Z$250</f>
        <v>0</v>
      </c>
      <c r="O250" s="55">
        <f>$L$250-EFEITO!$O$250*EFEITO!$AA$250</f>
        <v>0</v>
      </c>
      <c r="P250" s="39"/>
      <c r="Q250" s="39"/>
      <c r="R250" s="39"/>
      <c r="S250" s="39"/>
      <c r="T250" s="39"/>
      <c r="U250" s="39"/>
      <c r="V250" s="39"/>
      <c r="W250" s="39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1.25" customHeight="1" x14ac:dyDescent="0.2">
      <c r="A251" s="35" t="s">
        <v>53</v>
      </c>
      <c r="B251" s="35" t="s">
        <v>22</v>
      </c>
      <c r="C251" s="35" t="s">
        <v>23</v>
      </c>
      <c r="D251" s="35" t="s">
        <v>24</v>
      </c>
      <c r="E251" s="35" t="s">
        <v>24</v>
      </c>
      <c r="F251" s="35" t="s">
        <v>25</v>
      </c>
      <c r="G251" s="35" t="s">
        <v>25</v>
      </c>
      <c r="H251" s="35" t="s">
        <v>25</v>
      </c>
      <c r="I251" s="54">
        <v>44774</v>
      </c>
      <c r="J251" s="55">
        <f>EFEITO!$J$251*EFEITO!$Y$251</f>
        <v>0</v>
      </c>
      <c r="K251" s="55">
        <f ca="1">EFEITO!$L$251*EFEITO!$Z$251</f>
        <v>350340.35787769529</v>
      </c>
      <c r="L251" s="55">
        <f>EFEITO!$N$251*EFEITO!$AA$251</f>
        <v>174490.95310904807</v>
      </c>
      <c r="M251" s="55">
        <f>$J$251-EFEITO!$K$251*EFEITO!$Y$251</f>
        <v>0</v>
      </c>
      <c r="N251" s="55">
        <f ca="1">$K$251-EFEITO!$M$251*EFEITO!$Z$251</f>
        <v>0</v>
      </c>
      <c r="O251" s="55">
        <f>$L$251-EFEITO!$O$251*EFEITO!$AA$251</f>
        <v>0</v>
      </c>
      <c r="P251" s="39"/>
      <c r="Q251" s="39"/>
      <c r="R251" s="39"/>
      <c r="S251" s="39"/>
      <c r="T251" s="39"/>
      <c r="U251" s="39"/>
      <c r="V251" s="39"/>
      <c r="W251" s="39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1.25" customHeight="1" x14ac:dyDescent="0.2">
      <c r="A252" s="35" t="s">
        <v>53</v>
      </c>
      <c r="B252" s="35" t="s">
        <v>22</v>
      </c>
      <c r="C252" s="35" t="s">
        <v>23</v>
      </c>
      <c r="D252" s="35" t="s">
        <v>24</v>
      </c>
      <c r="E252" s="35" t="s">
        <v>24</v>
      </c>
      <c r="F252" s="35" t="s">
        <v>25</v>
      </c>
      <c r="G252" s="35" t="s">
        <v>25</v>
      </c>
      <c r="H252" s="35" t="s">
        <v>25</v>
      </c>
      <c r="I252" s="54">
        <v>44774</v>
      </c>
      <c r="J252" s="55">
        <f>EFEITO!$J$252*EFEITO!$Y$252</f>
        <v>0</v>
      </c>
      <c r="K252" s="55">
        <f ca="1">EFEITO!$L$252*EFEITO!$Z$252</f>
        <v>14718.927932857991</v>
      </c>
      <c r="L252" s="55">
        <f>EFEITO!$N$252*EFEITO!$AA$252</f>
        <v>7330.9274994929019</v>
      </c>
      <c r="M252" s="55">
        <f>$J$252-EFEITO!$K$252*EFEITO!$Y$252</f>
        <v>0</v>
      </c>
      <c r="N252" s="55">
        <f ca="1">$K$252-EFEITO!$M$252*EFEITO!$Z$252</f>
        <v>0</v>
      </c>
      <c r="O252" s="55">
        <f>$L$252-EFEITO!$O$252*EFEITO!$AA$252</f>
        <v>0</v>
      </c>
      <c r="P252" s="39"/>
      <c r="Q252" s="39"/>
      <c r="R252" s="39"/>
      <c r="S252" s="39"/>
      <c r="T252" s="39"/>
      <c r="U252" s="39"/>
      <c r="V252" s="39"/>
      <c r="W252" s="39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1.25" customHeight="1" x14ac:dyDescent="0.2">
      <c r="A253" s="35" t="s">
        <v>21</v>
      </c>
      <c r="B253" s="35" t="s">
        <v>22</v>
      </c>
      <c r="C253" s="35" t="s">
        <v>23</v>
      </c>
      <c r="D253" s="35" t="s">
        <v>24</v>
      </c>
      <c r="E253" s="35" t="s">
        <v>28</v>
      </c>
      <c r="F253" s="35" t="s">
        <v>25</v>
      </c>
      <c r="G253" s="35" t="s">
        <v>25</v>
      </c>
      <c r="H253" s="35" t="s">
        <v>25</v>
      </c>
      <c r="I253" s="54">
        <v>44440</v>
      </c>
      <c r="J253" s="55">
        <f>EFEITO!$J$253*EFEITO!$Y$224</f>
        <v>0</v>
      </c>
      <c r="K253" s="55">
        <f ca="1">EFEITO!$L$253*EFEITO!$Z$289</f>
        <v>1804.6771296428271</v>
      </c>
      <c r="L253" s="55">
        <f>EFEITO!$N$253*EFEITO!$AA$289</f>
        <v>1192.8549688615867</v>
      </c>
      <c r="M253" s="55">
        <f>$J$253-EFEITO!$K$253*EFEITO!$Y$253</f>
        <v>0</v>
      </c>
      <c r="N253" s="55">
        <f ca="1">$K$253-EFEITO!$M$253*EFEITO!$Z$253</f>
        <v>1173.0401342678379</v>
      </c>
      <c r="O253" s="55">
        <f>$L$253-EFEITO!$O$253*EFEITO!$AA$253</f>
        <v>775.35572976003129</v>
      </c>
      <c r="P253" s="39"/>
      <c r="Q253" s="39"/>
      <c r="R253" s="39"/>
      <c r="S253" s="39"/>
      <c r="T253" s="39"/>
      <c r="U253" s="39"/>
      <c r="V253" s="39"/>
      <c r="W253" s="39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1.25" customHeight="1" x14ac:dyDescent="0.2">
      <c r="A254" s="35" t="s">
        <v>21</v>
      </c>
      <c r="B254" s="35" t="s">
        <v>22</v>
      </c>
      <c r="C254" s="35" t="s">
        <v>23</v>
      </c>
      <c r="D254" s="35" t="s">
        <v>24</v>
      </c>
      <c r="E254" s="35" t="s">
        <v>28</v>
      </c>
      <c r="F254" s="35" t="s">
        <v>25</v>
      </c>
      <c r="G254" s="35" t="s">
        <v>25</v>
      </c>
      <c r="H254" s="35" t="s">
        <v>25</v>
      </c>
      <c r="I254" s="54">
        <v>44470</v>
      </c>
      <c r="J254" s="55">
        <f>EFEITO!$J$254*EFEITO!$Y$224</f>
        <v>0</v>
      </c>
      <c r="K254" s="55">
        <f ca="1">EFEITO!$L$254*EFEITO!$Z$289</f>
        <v>1828.9335426756609</v>
      </c>
      <c r="L254" s="55">
        <f>EFEITO!$N$254*EFEITO!$AA$289</f>
        <v>1208.8879657548878</v>
      </c>
      <c r="M254" s="55">
        <f>$J$254-EFEITO!$K$254*EFEITO!$Y$254</f>
        <v>0</v>
      </c>
      <c r="N254" s="55">
        <f ca="1">$K$254-EFEITO!$M$254*EFEITO!$Z$254</f>
        <v>1188.8068027391796</v>
      </c>
      <c r="O254" s="55">
        <f>$L$254-EFEITO!$O$254*EFEITO!$AA$254</f>
        <v>785.77717774067708</v>
      </c>
      <c r="P254" s="39"/>
      <c r="Q254" s="39"/>
      <c r="R254" s="39"/>
      <c r="S254" s="39"/>
      <c r="T254" s="39"/>
      <c r="U254" s="39"/>
      <c r="V254" s="39"/>
      <c r="W254" s="39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1.25" customHeight="1" x14ac:dyDescent="0.2">
      <c r="A255" s="35" t="s">
        <v>21</v>
      </c>
      <c r="B255" s="35" t="s">
        <v>22</v>
      </c>
      <c r="C255" s="35" t="s">
        <v>23</v>
      </c>
      <c r="D255" s="35" t="s">
        <v>24</v>
      </c>
      <c r="E255" s="35" t="s">
        <v>28</v>
      </c>
      <c r="F255" s="35" t="s">
        <v>25</v>
      </c>
      <c r="G255" s="35" t="s">
        <v>25</v>
      </c>
      <c r="H255" s="35" t="s">
        <v>25</v>
      </c>
      <c r="I255" s="54">
        <v>44501</v>
      </c>
      <c r="J255" s="55">
        <f>EFEITO!$J$255*EFEITO!$Y$224</f>
        <v>0</v>
      </c>
      <c r="K255" s="55">
        <f ca="1">EFEITO!$L$255*EFEITO!$Z$289</f>
        <v>1794.9745644296936</v>
      </c>
      <c r="L255" s="55">
        <f>EFEITO!$N$255*EFEITO!$AA$289</f>
        <v>1186.4417701042664</v>
      </c>
      <c r="M255" s="55">
        <f>$J$255-EFEITO!$K$255*EFEITO!$Y$255</f>
        <v>0</v>
      </c>
      <c r="N255" s="55">
        <f ca="1">$K$255-EFEITO!$M$255*EFEITO!$Z$255</f>
        <v>1166.733466879301</v>
      </c>
      <c r="O255" s="55">
        <f>$L$255-EFEITO!$O$255*EFEITO!$AA$255</f>
        <v>771.18715056777319</v>
      </c>
      <c r="P255" s="39"/>
      <c r="Q255" s="39"/>
      <c r="R255" s="39"/>
      <c r="S255" s="39"/>
      <c r="T255" s="39"/>
      <c r="U255" s="39"/>
      <c r="V255" s="39"/>
      <c r="W255" s="39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1.25" customHeight="1" x14ac:dyDescent="0.2">
      <c r="A256" s="35" t="s">
        <v>21</v>
      </c>
      <c r="B256" s="35" t="s">
        <v>22</v>
      </c>
      <c r="C256" s="35" t="s">
        <v>23</v>
      </c>
      <c r="D256" s="35" t="s">
        <v>24</v>
      </c>
      <c r="E256" s="35" t="s">
        <v>28</v>
      </c>
      <c r="F256" s="35" t="s">
        <v>25</v>
      </c>
      <c r="G256" s="35" t="s">
        <v>25</v>
      </c>
      <c r="H256" s="35" t="s">
        <v>25</v>
      </c>
      <c r="I256" s="54">
        <v>44531</v>
      </c>
      <c r="J256" s="55">
        <f>EFEITO!$J$256*EFEITO!$Y$224</f>
        <v>0</v>
      </c>
      <c r="K256" s="55">
        <f ca="1">EFEITO!$L$256*EFEITO!$Z$289</f>
        <v>1804.6771296428271</v>
      </c>
      <c r="L256" s="55">
        <f>EFEITO!$N$256*EFEITO!$AA$289</f>
        <v>1192.8549688615867</v>
      </c>
      <c r="M256" s="55">
        <f>$J$256-EFEITO!$K$256*EFEITO!$Y$256</f>
        <v>0</v>
      </c>
      <c r="N256" s="55">
        <f ca="1">$K$256-EFEITO!$M$256*EFEITO!$Z$256</f>
        <v>1173.0401342678379</v>
      </c>
      <c r="O256" s="55">
        <f>$L$256-EFEITO!$O$256*EFEITO!$AA$256</f>
        <v>775.35572976003129</v>
      </c>
      <c r="P256" s="39"/>
      <c r="Q256" s="39"/>
      <c r="R256" s="39"/>
      <c r="S256" s="39"/>
      <c r="T256" s="39"/>
      <c r="U256" s="39"/>
      <c r="V256" s="39"/>
      <c r="W256" s="39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1.25" customHeight="1" x14ac:dyDescent="0.2">
      <c r="A257" s="35" t="s">
        <v>21</v>
      </c>
      <c r="B257" s="35" t="s">
        <v>22</v>
      </c>
      <c r="C257" s="35" t="s">
        <v>23</v>
      </c>
      <c r="D257" s="35" t="s">
        <v>24</v>
      </c>
      <c r="E257" s="35" t="s">
        <v>28</v>
      </c>
      <c r="F257" s="35" t="s">
        <v>25</v>
      </c>
      <c r="G257" s="35" t="s">
        <v>25</v>
      </c>
      <c r="H257" s="35" t="s">
        <v>25</v>
      </c>
      <c r="I257" s="54">
        <v>44562</v>
      </c>
      <c r="J257" s="55">
        <f>EFEITO!$J$257*EFEITO!$Y$224</f>
        <v>0</v>
      </c>
      <c r="K257" s="55">
        <f ca="1">EFEITO!$L$257*EFEITO!$Z$289</f>
        <v>1814.3796948559607</v>
      </c>
      <c r="L257" s="55">
        <f>EFEITO!$N$257*EFEITO!$AA$289</f>
        <v>1199.2681676189072</v>
      </c>
      <c r="M257" s="55">
        <f>$J$257-EFEITO!$K$257*EFEITO!$Y$257</f>
        <v>0</v>
      </c>
      <c r="N257" s="55">
        <f ca="1">$K$257-EFEITO!$M$257*EFEITO!$Z$257</f>
        <v>1179.3468016563745</v>
      </c>
      <c r="O257" s="55">
        <f>$L$257-EFEITO!$O$257*EFEITO!$AA$257</f>
        <v>779.52430895228963</v>
      </c>
      <c r="P257" s="39"/>
      <c r="Q257" s="39"/>
      <c r="R257" s="39"/>
      <c r="S257" s="39"/>
      <c r="T257" s="39"/>
      <c r="U257" s="39"/>
      <c r="V257" s="39"/>
      <c r="W257" s="39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1.25" customHeight="1" x14ac:dyDescent="0.2">
      <c r="A258" s="35" t="s">
        <v>21</v>
      </c>
      <c r="B258" s="35" t="s">
        <v>22</v>
      </c>
      <c r="C258" s="35" t="s">
        <v>23</v>
      </c>
      <c r="D258" s="35" t="s">
        <v>24</v>
      </c>
      <c r="E258" s="35" t="s">
        <v>28</v>
      </c>
      <c r="F258" s="35" t="s">
        <v>25</v>
      </c>
      <c r="G258" s="35" t="s">
        <v>25</v>
      </c>
      <c r="H258" s="35" t="s">
        <v>25</v>
      </c>
      <c r="I258" s="54">
        <v>44593</v>
      </c>
      <c r="J258" s="55">
        <f>EFEITO!$J$258*EFEITO!$Y$224</f>
        <v>0</v>
      </c>
      <c r="K258" s="55">
        <f ca="1">EFEITO!$L$258*EFEITO!$Z$289</f>
        <v>2648.8003031854396</v>
      </c>
      <c r="L258" s="55">
        <f>EFEITO!$N$258*EFEITO!$AA$289</f>
        <v>1750.8032607484579</v>
      </c>
      <c r="M258" s="55">
        <f>$J$258-EFEITO!$K$258*EFEITO!$Y$258</f>
        <v>0</v>
      </c>
      <c r="N258" s="55">
        <f ca="1">$K$258-EFEITO!$M$258*EFEITO!$Z$258</f>
        <v>1721.720197070536</v>
      </c>
      <c r="O258" s="55">
        <f>$L$258-EFEITO!$O$258*EFEITO!$AA$258</f>
        <v>1138.0221194864976</v>
      </c>
      <c r="P258" s="39"/>
      <c r="Q258" s="39"/>
      <c r="R258" s="39"/>
      <c r="S258" s="39"/>
      <c r="T258" s="39"/>
      <c r="U258" s="39"/>
      <c r="V258" s="39"/>
      <c r="W258" s="39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1.25" customHeight="1" x14ac:dyDescent="0.2">
      <c r="A259" s="35" t="s">
        <v>21</v>
      </c>
      <c r="B259" s="35" t="s">
        <v>22</v>
      </c>
      <c r="C259" s="35" t="s">
        <v>23</v>
      </c>
      <c r="D259" s="35" t="s">
        <v>24</v>
      </c>
      <c r="E259" s="35" t="s">
        <v>28</v>
      </c>
      <c r="F259" s="35" t="s">
        <v>25</v>
      </c>
      <c r="G259" s="35" t="s">
        <v>25</v>
      </c>
      <c r="H259" s="35" t="s">
        <v>25</v>
      </c>
      <c r="I259" s="54">
        <v>44621</v>
      </c>
      <c r="J259" s="55">
        <f>EFEITO!$J$259*EFEITO!$Y$224</f>
        <v>0</v>
      </c>
      <c r="K259" s="55">
        <f ca="1">EFEITO!$L$259*EFEITO!$Z$289</f>
        <v>2726.4208248905074</v>
      </c>
      <c r="L259" s="55">
        <f>EFEITO!$N$259*EFEITO!$AA$289</f>
        <v>1802.1088508070209</v>
      </c>
      <c r="M259" s="55">
        <f>$J$259-EFEITO!$K$259*EFEITO!$Y$259</f>
        <v>0</v>
      </c>
      <c r="N259" s="55">
        <f ca="1">$K$259-EFEITO!$M$259*EFEITO!$Z$259</f>
        <v>1772.1735361788299</v>
      </c>
      <c r="O259" s="55">
        <f>$L$259-EFEITO!$O$259*EFEITO!$AA$259</f>
        <v>1171.3707530245636</v>
      </c>
      <c r="P259" s="39"/>
      <c r="Q259" s="39"/>
      <c r="R259" s="39"/>
      <c r="S259" s="39"/>
      <c r="T259" s="39"/>
      <c r="U259" s="39"/>
      <c r="V259" s="39"/>
      <c r="W259" s="39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1.25" customHeight="1" x14ac:dyDescent="0.2">
      <c r="A260" s="35" t="s">
        <v>21</v>
      </c>
      <c r="B260" s="35" t="s">
        <v>22</v>
      </c>
      <c r="C260" s="35" t="s">
        <v>23</v>
      </c>
      <c r="D260" s="35" t="s">
        <v>24</v>
      </c>
      <c r="E260" s="35" t="s">
        <v>28</v>
      </c>
      <c r="F260" s="35" t="s">
        <v>25</v>
      </c>
      <c r="G260" s="35" t="s">
        <v>25</v>
      </c>
      <c r="H260" s="35" t="s">
        <v>25</v>
      </c>
      <c r="I260" s="54">
        <v>44652</v>
      </c>
      <c r="J260" s="55">
        <f>EFEITO!$J$260*EFEITO!$Y$224</f>
        <v>0</v>
      </c>
      <c r="K260" s="55">
        <f ca="1">EFEITO!$L$260*EFEITO!$Z$289</f>
        <v>2794.3387813824424</v>
      </c>
      <c r="L260" s="55">
        <f>EFEITO!$N$260*EFEITO!$AA$289</f>
        <v>1847.0012421082636</v>
      </c>
      <c r="M260" s="55">
        <f>$J$260-EFEITO!$K$260*EFEITO!$Y$260</f>
        <v>0</v>
      </c>
      <c r="N260" s="55">
        <f ca="1">$K$260-EFEITO!$M$260*EFEITO!$Z$260</f>
        <v>1816.3202078985878</v>
      </c>
      <c r="O260" s="55">
        <f>$L$260-EFEITO!$O$260*EFEITO!$AA$260</f>
        <v>1200.5508073703713</v>
      </c>
      <c r="P260" s="39"/>
      <c r="Q260" s="39"/>
      <c r="R260" s="39"/>
      <c r="S260" s="39"/>
      <c r="T260" s="39"/>
      <c r="U260" s="39"/>
      <c r="V260" s="39"/>
      <c r="W260" s="39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1.25" customHeight="1" x14ac:dyDescent="0.2">
      <c r="A261" s="35" t="s">
        <v>21</v>
      </c>
      <c r="B261" s="35" t="s">
        <v>22</v>
      </c>
      <c r="C261" s="35" t="s">
        <v>23</v>
      </c>
      <c r="D261" s="35" t="s">
        <v>24</v>
      </c>
      <c r="E261" s="35" t="s">
        <v>28</v>
      </c>
      <c r="F261" s="35" t="s">
        <v>25</v>
      </c>
      <c r="G261" s="35" t="s">
        <v>25</v>
      </c>
      <c r="H261" s="35" t="s">
        <v>25</v>
      </c>
      <c r="I261" s="54">
        <v>44682</v>
      </c>
      <c r="J261" s="55">
        <f>EFEITO!$J$261*EFEITO!$Y$224</f>
        <v>0</v>
      </c>
      <c r="K261" s="55">
        <f ca="1">EFEITO!$L$261*EFEITO!$Z$289</f>
        <v>3036.9029117107793</v>
      </c>
      <c r="L261" s="55">
        <f>EFEITO!$N$261*EFEITO!$AA$289</f>
        <v>2007.3312110412726</v>
      </c>
      <c r="M261" s="55">
        <f>$J$261-EFEITO!$K$261*EFEITO!$Y$261</f>
        <v>0</v>
      </c>
      <c r="N261" s="55">
        <f ca="1">$K$261-EFEITO!$M$261*EFEITO!$Z$261</f>
        <v>1973.9868926120068</v>
      </c>
      <c r="O261" s="55">
        <f>$L$261-EFEITO!$O$261*EFEITO!$AA$261</f>
        <v>1304.7652871768273</v>
      </c>
      <c r="P261" s="39"/>
      <c r="Q261" s="39"/>
      <c r="R261" s="39"/>
      <c r="S261" s="39"/>
      <c r="T261" s="39"/>
      <c r="U261" s="39"/>
      <c r="V261" s="39"/>
      <c r="W261" s="39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1.25" customHeight="1" x14ac:dyDescent="0.2">
      <c r="A262" s="35" t="s">
        <v>21</v>
      </c>
      <c r="B262" s="35" t="s">
        <v>22</v>
      </c>
      <c r="C262" s="35" t="s">
        <v>23</v>
      </c>
      <c r="D262" s="35" t="s">
        <v>24</v>
      </c>
      <c r="E262" s="35" t="s">
        <v>28</v>
      </c>
      <c r="F262" s="35" t="s">
        <v>25</v>
      </c>
      <c r="G262" s="35" t="s">
        <v>25</v>
      </c>
      <c r="H262" s="35" t="s">
        <v>25</v>
      </c>
      <c r="I262" s="54">
        <v>44713</v>
      </c>
      <c r="J262" s="55">
        <f>EFEITO!$J$262*EFEITO!$Y$224</f>
        <v>0</v>
      </c>
      <c r="K262" s="55">
        <f ca="1">EFEITO!$L$262*EFEITO!$Z$289</f>
        <v>2910.769563940044</v>
      </c>
      <c r="L262" s="55">
        <f>EFEITO!$N$262*EFEITO!$AA$289</f>
        <v>1923.9596271961077</v>
      </c>
      <c r="M262" s="55">
        <f>$J$262-EFEITO!$K$262*EFEITO!$Y$262</f>
        <v>0</v>
      </c>
      <c r="N262" s="55">
        <f ca="1">$K$262-EFEITO!$M$262*EFEITO!$Z$262</f>
        <v>1892.0002165610288</v>
      </c>
      <c r="O262" s="55">
        <f>$L$262-EFEITO!$O$262*EFEITO!$AA$262</f>
        <v>1250.57375767747</v>
      </c>
      <c r="P262" s="39"/>
      <c r="Q262" s="39"/>
      <c r="R262" s="39"/>
      <c r="S262" s="39"/>
      <c r="T262" s="39"/>
      <c r="U262" s="39"/>
      <c r="V262" s="39"/>
      <c r="W262" s="39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1.25" customHeight="1" x14ac:dyDescent="0.2">
      <c r="A263" s="35" t="s">
        <v>21</v>
      </c>
      <c r="B263" s="35" t="s">
        <v>22</v>
      </c>
      <c r="C263" s="35" t="s">
        <v>23</v>
      </c>
      <c r="D263" s="35" t="s">
        <v>24</v>
      </c>
      <c r="E263" s="35" t="s">
        <v>28</v>
      </c>
      <c r="F263" s="35" t="s">
        <v>25</v>
      </c>
      <c r="G263" s="35" t="s">
        <v>25</v>
      </c>
      <c r="H263" s="35" t="s">
        <v>25</v>
      </c>
      <c r="I263" s="54">
        <v>44743</v>
      </c>
      <c r="J263" s="55">
        <f>EFEITO!$J$263*EFEITO!$Y$224</f>
        <v>0</v>
      </c>
      <c r="K263" s="55">
        <f ca="1">EFEITO!$L$263*EFEITO!$Z$289</f>
        <v>2532.369520627838</v>
      </c>
      <c r="L263" s="55">
        <f>EFEITO!$N$263*EFEITO!$AA$289</f>
        <v>1673.8448756606138</v>
      </c>
      <c r="M263" s="55">
        <f>$J$263-EFEITO!$K$263*EFEITO!$Y$263</f>
        <v>0</v>
      </c>
      <c r="N263" s="55">
        <f ca="1">$K$263-EFEITO!$M$263*EFEITO!$Z$263</f>
        <v>1646.0401884080948</v>
      </c>
      <c r="O263" s="55">
        <f>$L$263-EFEITO!$O$263*EFEITO!$AA$263</f>
        <v>1087.9991691793989</v>
      </c>
      <c r="P263" s="39"/>
      <c r="Q263" s="39"/>
      <c r="R263" s="39"/>
      <c r="S263" s="39"/>
      <c r="T263" s="39"/>
      <c r="U263" s="39"/>
      <c r="V263" s="39"/>
      <c r="W263" s="39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1.25" customHeight="1" x14ac:dyDescent="0.2">
      <c r="A264" s="35" t="s">
        <v>53</v>
      </c>
      <c r="B264" s="35" t="s">
        <v>22</v>
      </c>
      <c r="C264" s="35" t="s">
        <v>23</v>
      </c>
      <c r="D264" s="35" t="s">
        <v>24</v>
      </c>
      <c r="E264" s="35" t="s">
        <v>28</v>
      </c>
      <c r="F264" s="35" t="s">
        <v>25</v>
      </c>
      <c r="G264" s="35" t="s">
        <v>25</v>
      </c>
      <c r="H264" s="35" t="s">
        <v>25</v>
      </c>
      <c r="I264" s="54">
        <v>44774</v>
      </c>
      <c r="J264" s="55">
        <f>EFEITO!$J$264*EFEITO!$Y$224</f>
        <v>0</v>
      </c>
      <c r="K264" s="55">
        <f ca="1">EFEITO!$L$264*EFEITO!$Z$289</f>
        <v>2532.369520627838</v>
      </c>
      <c r="L264" s="55">
        <f>EFEITO!$N$264*EFEITO!$AA$289</f>
        <v>1673.8448756606138</v>
      </c>
      <c r="M264" s="55">
        <f>$J$264-EFEITO!$K$264*EFEITO!$Y$264</f>
        <v>0</v>
      </c>
      <c r="N264" s="55">
        <f ca="1">$K$264-EFEITO!$M$264*EFEITO!$Z$264</f>
        <v>1646.0401884080948</v>
      </c>
      <c r="O264" s="55">
        <f>$L$264-EFEITO!$O$264*EFEITO!$AA$264</f>
        <v>1087.9991691793989</v>
      </c>
      <c r="P264" s="39"/>
      <c r="Q264" s="39"/>
      <c r="R264" s="39"/>
      <c r="S264" s="39"/>
      <c r="T264" s="39"/>
      <c r="U264" s="39"/>
      <c r="V264" s="39"/>
      <c r="W264" s="39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1.25" customHeight="1" x14ac:dyDescent="0.2">
      <c r="A265" s="35" t="s">
        <v>21</v>
      </c>
      <c r="B265" s="35" t="s">
        <v>22</v>
      </c>
      <c r="C265" s="35" t="s">
        <v>23</v>
      </c>
      <c r="D265" s="35" t="s">
        <v>24</v>
      </c>
      <c r="E265" s="35" t="s">
        <v>29</v>
      </c>
      <c r="F265" s="35" t="s">
        <v>25</v>
      </c>
      <c r="G265" s="35" t="s">
        <v>25</v>
      </c>
      <c r="H265" s="35" t="s">
        <v>25</v>
      </c>
      <c r="I265" s="54">
        <v>44440</v>
      </c>
      <c r="J265" s="55">
        <f>EFEITO!$J$265*EFEITO!$Y$224</f>
        <v>0</v>
      </c>
      <c r="K265" s="55">
        <f ca="1">EFEITO!$L$265*EFEITO!$Z$289</f>
        <v>3800.8182128248218</v>
      </c>
      <c r="L265" s="55">
        <f>EFEITO!$N$265*EFEITO!$AA$289</f>
        <v>2512.2637265342955</v>
      </c>
      <c r="M265" s="55">
        <f>$J$265-EFEITO!$K$265*EFEITO!$Y$265</f>
        <v>0</v>
      </c>
      <c r="N265" s="55">
        <f ca="1">$K$265-EFEITO!$M$265*EFEITO!$Z$265</f>
        <v>1520.3272851299284</v>
      </c>
      <c r="O265" s="55">
        <f>$L$265-EFEITO!$O$265*EFEITO!$AA$265</f>
        <v>1004.9054906137183</v>
      </c>
      <c r="P265" s="39"/>
      <c r="Q265" s="39"/>
      <c r="R265" s="39"/>
      <c r="S265" s="39"/>
      <c r="T265" s="39"/>
      <c r="U265" s="39"/>
      <c r="V265" s="39"/>
      <c r="W265" s="39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1.25" customHeight="1" x14ac:dyDescent="0.2">
      <c r="A266" s="35" t="s">
        <v>21</v>
      </c>
      <c r="B266" s="35" t="s">
        <v>22</v>
      </c>
      <c r="C266" s="35" t="s">
        <v>23</v>
      </c>
      <c r="D266" s="35" t="s">
        <v>24</v>
      </c>
      <c r="E266" s="35" t="s">
        <v>29</v>
      </c>
      <c r="F266" s="35" t="s">
        <v>25</v>
      </c>
      <c r="G266" s="35" t="s">
        <v>25</v>
      </c>
      <c r="H266" s="35" t="s">
        <v>25</v>
      </c>
      <c r="I266" s="54">
        <v>44470</v>
      </c>
      <c r="J266" s="55">
        <f>EFEITO!$J$266*EFEITO!$Y$224</f>
        <v>0</v>
      </c>
      <c r="K266" s="55">
        <f ca="1">EFEITO!$L$266*EFEITO!$Z$289</f>
        <v>3872.6171954020097</v>
      </c>
      <c r="L266" s="55">
        <f>EFEITO!$N$266*EFEITO!$AA$289</f>
        <v>2559.721397338466</v>
      </c>
      <c r="M266" s="55">
        <f>$J$266-EFEITO!$K$266*EFEITO!$Y$266</f>
        <v>0</v>
      </c>
      <c r="N266" s="55">
        <f ca="1">$K$266-EFEITO!$M$266*EFEITO!$Z$266</f>
        <v>1549.0468781608038</v>
      </c>
      <c r="O266" s="55">
        <f>$L$266-EFEITO!$O$266*EFEITO!$AA$266</f>
        <v>1023.8885589353865</v>
      </c>
      <c r="P266" s="39"/>
      <c r="Q266" s="39"/>
      <c r="R266" s="39"/>
      <c r="S266" s="39"/>
      <c r="T266" s="39"/>
      <c r="U266" s="39"/>
      <c r="V266" s="39"/>
      <c r="W266" s="39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1.25" customHeight="1" x14ac:dyDescent="0.2">
      <c r="A267" s="35" t="s">
        <v>21</v>
      </c>
      <c r="B267" s="35" t="s">
        <v>22</v>
      </c>
      <c r="C267" s="35" t="s">
        <v>23</v>
      </c>
      <c r="D267" s="35" t="s">
        <v>24</v>
      </c>
      <c r="E267" s="35" t="s">
        <v>29</v>
      </c>
      <c r="F267" s="35" t="s">
        <v>25</v>
      </c>
      <c r="G267" s="35" t="s">
        <v>25</v>
      </c>
      <c r="H267" s="35" t="s">
        <v>25</v>
      </c>
      <c r="I267" s="54">
        <v>44501</v>
      </c>
      <c r="J267" s="55">
        <f>EFEITO!$J$267*EFEITO!$Y$224</f>
        <v>0</v>
      </c>
      <c r="K267" s="55">
        <f ca="1">EFEITO!$L$267*EFEITO!$Z$289</f>
        <v>3901.4014722009724</v>
      </c>
      <c r="L267" s="55">
        <f>EFEITO!$N$267*EFEITO!$AA$289</f>
        <v>2578.7472203185166</v>
      </c>
      <c r="M267" s="55">
        <f>$J$267-EFEITO!$K$267*EFEITO!$Y$267</f>
        <v>0</v>
      </c>
      <c r="N267" s="55">
        <f ca="1">$K$267-EFEITO!$M$267*EFEITO!$Z$267</f>
        <v>1560.5605888803889</v>
      </c>
      <c r="O267" s="55">
        <f>$L$267-EFEITO!$O$267*EFEITO!$AA$267</f>
        <v>1031.4988881274069</v>
      </c>
      <c r="P267" s="39"/>
      <c r="Q267" s="39"/>
      <c r="R267" s="39"/>
      <c r="S267" s="39"/>
      <c r="T267" s="39"/>
      <c r="U267" s="39"/>
      <c r="V267" s="39"/>
      <c r="W267" s="39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1.25" customHeight="1" x14ac:dyDescent="0.2">
      <c r="A268" s="35" t="s">
        <v>21</v>
      </c>
      <c r="B268" s="35" t="s">
        <v>22</v>
      </c>
      <c r="C268" s="35" t="s">
        <v>23</v>
      </c>
      <c r="D268" s="35" t="s">
        <v>24</v>
      </c>
      <c r="E268" s="35" t="s">
        <v>29</v>
      </c>
      <c r="F268" s="35" t="s">
        <v>25</v>
      </c>
      <c r="G268" s="35" t="s">
        <v>25</v>
      </c>
      <c r="H268" s="35" t="s">
        <v>25</v>
      </c>
      <c r="I268" s="54">
        <v>44531</v>
      </c>
      <c r="J268" s="55">
        <f>EFEITO!$J$268*EFEITO!$Y$224</f>
        <v>0</v>
      </c>
      <c r="K268" s="55">
        <f ca="1">EFEITO!$L$268*EFEITO!$Z$289</f>
        <v>3762.0079519722876</v>
      </c>
      <c r="L268" s="55">
        <f>EFEITO!$N$268*EFEITO!$AA$289</f>
        <v>2486.6109315050139</v>
      </c>
      <c r="M268" s="55">
        <f>$J$268-EFEITO!$K$268*EFEITO!$Y$268</f>
        <v>0</v>
      </c>
      <c r="N268" s="55">
        <f ca="1">$K$268-EFEITO!$M$268*EFEITO!$Z$268</f>
        <v>1504.8031807889151</v>
      </c>
      <c r="O268" s="55">
        <f>$L$268-EFEITO!$O$268*EFEITO!$AA$268</f>
        <v>994.64437260200566</v>
      </c>
      <c r="P268" s="39"/>
      <c r="Q268" s="39"/>
      <c r="R268" s="39"/>
      <c r="S268" s="39"/>
      <c r="T268" s="39"/>
      <c r="U268" s="39"/>
      <c r="V268" s="39"/>
      <c r="W268" s="39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1.25" customHeight="1" x14ac:dyDescent="0.2">
      <c r="A269" s="35" t="s">
        <v>21</v>
      </c>
      <c r="B269" s="35" t="s">
        <v>22</v>
      </c>
      <c r="C269" s="35" t="s">
        <v>23</v>
      </c>
      <c r="D269" s="35" t="s">
        <v>24</v>
      </c>
      <c r="E269" s="35" t="s">
        <v>29</v>
      </c>
      <c r="F269" s="35" t="s">
        <v>25</v>
      </c>
      <c r="G269" s="35" t="s">
        <v>25</v>
      </c>
      <c r="H269" s="35" t="s">
        <v>25</v>
      </c>
      <c r="I269" s="54">
        <v>44562</v>
      </c>
      <c r="J269" s="55">
        <f>EFEITO!$J$269*EFEITO!$Y$224</f>
        <v>0</v>
      </c>
      <c r="K269" s="55">
        <f ca="1">EFEITO!$L$269*EFEITO!$Z$289</f>
        <v>3792.0859041330013</v>
      </c>
      <c r="L269" s="55">
        <f>EFEITO!$N$269*EFEITO!$AA$289</f>
        <v>2506.4918476527068</v>
      </c>
      <c r="M269" s="55">
        <f>$J$269-EFEITO!$K$269*EFEITO!$Y$269</f>
        <v>0</v>
      </c>
      <c r="N269" s="55">
        <f ca="1">$K$269-EFEITO!$M$269*EFEITO!$Z$269</f>
        <v>1516.8343616532006</v>
      </c>
      <c r="O269" s="55">
        <f>$L$269-EFEITO!$O$269*EFEITO!$AA$269</f>
        <v>1002.5967390610826</v>
      </c>
      <c r="P269" s="39"/>
      <c r="Q269" s="39"/>
      <c r="R269" s="39"/>
      <c r="S269" s="39"/>
      <c r="T269" s="39"/>
      <c r="U269" s="39"/>
      <c r="V269" s="39"/>
      <c r="W269" s="39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1.25" customHeight="1" x14ac:dyDescent="0.2">
      <c r="A270" s="35" t="s">
        <v>21</v>
      </c>
      <c r="B270" s="35" t="s">
        <v>22</v>
      </c>
      <c r="C270" s="35" t="s">
        <v>23</v>
      </c>
      <c r="D270" s="35" t="s">
        <v>24</v>
      </c>
      <c r="E270" s="35" t="s">
        <v>29</v>
      </c>
      <c r="F270" s="35" t="s">
        <v>25</v>
      </c>
      <c r="G270" s="35" t="s">
        <v>25</v>
      </c>
      <c r="H270" s="35" t="s">
        <v>25</v>
      </c>
      <c r="I270" s="54">
        <v>44593</v>
      </c>
      <c r="J270" s="55">
        <f>EFEITO!$J$270*EFEITO!$Y$224</f>
        <v>0</v>
      </c>
      <c r="K270" s="55">
        <f ca="1">EFEITO!$L$270*EFEITO!$Z$289</f>
        <v>5594.1756830523263</v>
      </c>
      <c r="L270" s="55">
        <f>EFEITO!$N$270*EFEITO!$AA$289</f>
        <v>3697.6366301790085</v>
      </c>
      <c r="M270" s="55">
        <f>$J$270-EFEITO!$K$270*EFEITO!$Y$270</f>
        <v>0</v>
      </c>
      <c r="N270" s="55">
        <f ca="1">$K$270-EFEITO!$M$270*EFEITO!$Z$270</f>
        <v>2237.6702732209305</v>
      </c>
      <c r="O270" s="55">
        <f>$L$270-EFEITO!$O$270*EFEITO!$AA$270</f>
        <v>1479.0546520716034</v>
      </c>
      <c r="P270" s="39"/>
      <c r="Q270" s="39"/>
      <c r="R270" s="39"/>
      <c r="S270" s="39"/>
      <c r="T270" s="39"/>
      <c r="U270" s="39"/>
      <c r="V270" s="39"/>
      <c r="W270" s="39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1.25" customHeight="1" x14ac:dyDescent="0.2">
      <c r="A271" s="35" t="s">
        <v>21</v>
      </c>
      <c r="B271" s="35" t="s">
        <v>22</v>
      </c>
      <c r="C271" s="35" t="s">
        <v>23</v>
      </c>
      <c r="D271" s="35" t="s">
        <v>24</v>
      </c>
      <c r="E271" s="35" t="s">
        <v>29</v>
      </c>
      <c r="F271" s="35" t="s">
        <v>25</v>
      </c>
      <c r="G271" s="35" t="s">
        <v>25</v>
      </c>
      <c r="H271" s="35" t="s">
        <v>25</v>
      </c>
      <c r="I271" s="54">
        <v>44621</v>
      </c>
      <c r="J271" s="55">
        <f>EFEITO!$J$271*EFEITO!$Y$224</f>
        <v>0</v>
      </c>
      <c r="K271" s="55">
        <f ca="1">EFEITO!$L$271*EFEITO!$Z$289</f>
        <v>5804.7213481773233</v>
      </c>
      <c r="L271" s="55">
        <f>EFEITO!$N$271*EFEITO!$AA$289</f>
        <v>3836.8030432128603</v>
      </c>
      <c r="M271" s="55">
        <f>$J$271-EFEITO!$K$271*EFEITO!$Y$271</f>
        <v>0</v>
      </c>
      <c r="N271" s="55">
        <f ca="1">$K$271-EFEITO!$M$271*EFEITO!$Z$271</f>
        <v>2321.8885392709294</v>
      </c>
      <c r="O271" s="55">
        <f>$L$271-EFEITO!$O$271*EFEITO!$AA$271</f>
        <v>1534.7212172851441</v>
      </c>
      <c r="P271" s="39"/>
      <c r="Q271" s="39"/>
      <c r="R271" s="39"/>
      <c r="S271" s="39"/>
      <c r="T271" s="39"/>
      <c r="U271" s="39"/>
      <c r="V271" s="39"/>
      <c r="W271" s="39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1.25" customHeight="1" x14ac:dyDescent="0.2">
      <c r="A272" s="35" t="s">
        <v>21</v>
      </c>
      <c r="B272" s="35" t="s">
        <v>22</v>
      </c>
      <c r="C272" s="35" t="s">
        <v>23</v>
      </c>
      <c r="D272" s="35" t="s">
        <v>24</v>
      </c>
      <c r="E272" s="35" t="s">
        <v>29</v>
      </c>
      <c r="F272" s="35" t="s">
        <v>25</v>
      </c>
      <c r="G272" s="35" t="s">
        <v>25</v>
      </c>
      <c r="H272" s="35" t="s">
        <v>25</v>
      </c>
      <c r="I272" s="54">
        <v>44652</v>
      </c>
      <c r="J272" s="55">
        <f>EFEITO!$J$272*EFEITO!$Y$224</f>
        <v>0</v>
      </c>
      <c r="K272" s="55">
        <f ca="1">EFEITO!$L$272*EFEITO!$Z$289</f>
        <v>5859.0557133708708</v>
      </c>
      <c r="L272" s="55">
        <f>EFEITO!$N$272*EFEITO!$AA$289</f>
        <v>3872.7169562538543</v>
      </c>
      <c r="M272" s="55">
        <f>$J$272-EFEITO!$K$272*EFEITO!$Y$272</f>
        <v>0</v>
      </c>
      <c r="N272" s="55">
        <f ca="1">$K$272-EFEITO!$M$272*EFEITO!$Z$272</f>
        <v>2343.6222853483487</v>
      </c>
      <c r="O272" s="55">
        <f>$L$272-EFEITO!$O$272*EFEITO!$AA$272</f>
        <v>1549.0867825015421</v>
      </c>
      <c r="P272" s="39"/>
      <c r="Q272" s="39"/>
      <c r="R272" s="39"/>
      <c r="S272" s="39"/>
      <c r="T272" s="39"/>
      <c r="U272" s="39"/>
      <c r="V272" s="39"/>
      <c r="W272" s="39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1.25" customHeight="1" x14ac:dyDescent="0.2">
      <c r="A273" s="35" t="s">
        <v>21</v>
      </c>
      <c r="B273" s="35" t="s">
        <v>22</v>
      </c>
      <c r="C273" s="35" t="s">
        <v>23</v>
      </c>
      <c r="D273" s="35" t="s">
        <v>24</v>
      </c>
      <c r="E273" s="35" t="s">
        <v>29</v>
      </c>
      <c r="F273" s="35" t="s">
        <v>25</v>
      </c>
      <c r="G273" s="35" t="s">
        <v>25</v>
      </c>
      <c r="H273" s="35" t="s">
        <v>25</v>
      </c>
      <c r="I273" s="54">
        <v>44682</v>
      </c>
      <c r="J273" s="55">
        <f>EFEITO!$J$273*EFEITO!$Y$224</f>
        <v>0</v>
      </c>
      <c r="K273" s="55">
        <f ca="1">EFEITO!$L$273*EFEITO!$Z$289</f>
        <v>6292.436959557499</v>
      </c>
      <c r="L273" s="55">
        <f>EFEITO!$N$273*EFEITO!$AA$289</f>
        <v>4159.1731674141638</v>
      </c>
      <c r="M273" s="55">
        <f>$J$273-EFEITO!$K$273*EFEITO!$Y$273</f>
        <v>0</v>
      </c>
      <c r="N273" s="55">
        <f ca="1">$K$273-EFEITO!$M$273*EFEITO!$Z$273</f>
        <v>2516.9747838229996</v>
      </c>
      <c r="O273" s="55">
        <f>$L$273-EFEITO!$O$273*EFEITO!$AA$273</f>
        <v>1663.6692669656659</v>
      </c>
      <c r="P273" s="39"/>
      <c r="Q273" s="39"/>
      <c r="R273" s="39"/>
      <c r="S273" s="39"/>
      <c r="T273" s="39"/>
      <c r="U273" s="39"/>
      <c r="V273" s="39"/>
      <c r="W273" s="39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1.25" customHeight="1" x14ac:dyDescent="0.2">
      <c r="A274" s="35" t="s">
        <v>21</v>
      </c>
      <c r="B274" s="35" t="s">
        <v>22</v>
      </c>
      <c r="C274" s="35" t="s">
        <v>23</v>
      </c>
      <c r="D274" s="35" t="s">
        <v>24</v>
      </c>
      <c r="E274" s="35" t="s">
        <v>29</v>
      </c>
      <c r="F274" s="35" t="s">
        <v>25</v>
      </c>
      <c r="G274" s="35" t="s">
        <v>25</v>
      </c>
      <c r="H274" s="35" t="s">
        <v>25</v>
      </c>
      <c r="I274" s="54">
        <v>44713</v>
      </c>
      <c r="J274" s="55">
        <f>EFEITO!$J$274*EFEITO!$Y$224</f>
        <v>0</v>
      </c>
      <c r="K274" s="55">
        <f ca="1">EFEITO!$L$274*EFEITO!$Z$289</f>
        <v>6084.8020639964425</v>
      </c>
      <c r="L274" s="55">
        <f>EFEITO!$N$274*EFEITO!$AA$289</f>
        <v>4021.930714007508</v>
      </c>
      <c r="M274" s="55">
        <f>$J$274-EFEITO!$K$274*EFEITO!$Y$274</f>
        <v>0</v>
      </c>
      <c r="N274" s="55">
        <f ca="1">$K$274-EFEITO!$M$274*EFEITO!$Z$274</f>
        <v>2433.9208255985768</v>
      </c>
      <c r="O274" s="55">
        <f>$L$274-EFEITO!$O$274*EFEITO!$AA$274</f>
        <v>1608.7722856030032</v>
      </c>
      <c r="P274" s="39"/>
      <c r="Q274" s="39"/>
      <c r="R274" s="39"/>
      <c r="S274" s="39"/>
      <c r="T274" s="39"/>
      <c r="U274" s="39"/>
      <c r="V274" s="39"/>
      <c r="W274" s="39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1.25" customHeight="1" x14ac:dyDescent="0.2">
      <c r="A275" s="35" t="s">
        <v>21</v>
      </c>
      <c r="B275" s="35" t="s">
        <v>22</v>
      </c>
      <c r="C275" s="35" t="s">
        <v>23</v>
      </c>
      <c r="D275" s="35" t="s">
        <v>24</v>
      </c>
      <c r="E275" s="35" t="s">
        <v>29</v>
      </c>
      <c r="F275" s="35" t="s">
        <v>25</v>
      </c>
      <c r="G275" s="35" t="s">
        <v>25</v>
      </c>
      <c r="H275" s="35" t="s">
        <v>25</v>
      </c>
      <c r="I275" s="54">
        <v>44743</v>
      </c>
      <c r="J275" s="55">
        <f>EFEITO!$J$275*EFEITO!$Y$224</f>
        <v>0</v>
      </c>
      <c r="K275" s="55">
        <f ca="1">EFEITO!$L$275*EFEITO!$Z$289</f>
        <v>5237.7681208898903</v>
      </c>
      <c r="L275" s="55">
        <f>EFEITO!$N$275*EFEITO!$AA$289</f>
        <v>3462.0584624934404</v>
      </c>
      <c r="M275" s="55">
        <f>$J$275-EFEITO!$K$275*EFEITO!$Y$275</f>
        <v>0</v>
      </c>
      <c r="N275" s="55">
        <f ca="1">$K$275-EFEITO!$M$275*EFEITO!$Z$275</f>
        <v>2095.107248355956</v>
      </c>
      <c r="O275" s="55">
        <f>$L$275-EFEITO!$O$275*EFEITO!$AA$275</f>
        <v>1384.8233849973763</v>
      </c>
      <c r="P275" s="39"/>
      <c r="Q275" s="39"/>
      <c r="R275" s="39"/>
      <c r="S275" s="39"/>
      <c r="T275" s="39"/>
      <c r="U275" s="39"/>
      <c r="V275" s="39"/>
      <c r="W275" s="39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1.25" customHeight="1" x14ac:dyDescent="0.2">
      <c r="A276" s="35" t="s">
        <v>53</v>
      </c>
      <c r="B276" s="35" t="s">
        <v>22</v>
      </c>
      <c r="C276" s="35" t="s">
        <v>23</v>
      </c>
      <c r="D276" s="35" t="s">
        <v>24</v>
      </c>
      <c r="E276" s="35" t="s">
        <v>29</v>
      </c>
      <c r="F276" s="35" t="s">
        <v>25</v>
      </c>
      <c r="G276" s="35" t="s">
        <v>25</v>
      </c>
      <c r="H276" s="35" t="s">
        <v>25</v>
      </c>
      <c r="I276" s="54">
        <v>44774</v>
      </c>
      <c r="J276" s="55">
        <f>EFEITO!$J$276*EFEITO!$Y$224</f>
        <v>0</v>
      </c>
      <c r="K276" s="55">
        <f ca="1">EFEITO!$L$276*EFEITO!$Z$289</f>
        <v>5237.7681208898903</v>
      </c>
      <c r="L276" s="55">
        <f>EFEITO!$N$276*EFEITO!$AA$289</f>
        <v>3462.0584624934404</v>
      </c>
      <c r="M276" s="55">
        <f>$J$276-EFEITO!$K$276*EFEITO!$Y$276</f>
        <v>0</v>
      </c>
      <c r="N276" s="55">
        <f ca="1">$K$276-EFEITO!$M$276*EFEITO!$Z$276</f>
        <v>2095.107248355956</v>
      </c>
      <c r="O276" s="55">
        <f>$L$276-EFEITO!$O$276*EFEITO!$AA$276</f>
        <v>1384.8233849973763</v>
      </c>
      <c r="P276" s="39"/>
      <c r="Q276" s="39"/>
      <c r="R276" s="39"/>
      <c r="S276" s="39"/>
      <c r="T276" s="39"/>
      <c r="U276" s="39"/>
      <c r="V276" s="39"/>
      <c r="W276" s="39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1.25" customHeight="1" x14ac:dyDescent="0.2">
      <c r="A277" s="35" t="s">
        <v>21</v>
      </c>
      <c r="B277" s="35" t="s">
        <v>22</v>
      </c>
      <c r="C277" s="35" t="s">
        <v>23</v>
      </c>
      <c r="D277" s="35" t="s">
        <v>24</v>
      </c>
      <c r="E277" s="35" t="s">
        <v>30</v>
      </c>
      <c r="F277" s="35" t="s">
        <v>25</v>
      </c>
      <c r="G277" s="35" t="s">
        <v>25</v>
      </c>
      <c r="H277" s="35" t="s">
        <v>25</v>
      </c>
      <c r="I277" s="54">
        <v>44440</v>
      </c>
      <c r="J277" s="55">
        <f>EFEITO!$J$277*EFEITO!$Y$224</f>
        <v>0</v>
      </c>
      <c r="K277" s="55">
        <f ca="1">EFEITO!$L$277*EFEITO!$Z$289</f>
        <v>4012.9809721520069</v>
      </c>
      <c r="L277" s="55">
        <f>EFEITO!$N$277*EFEITO!$AA$289</f>
        <v>2652.4990060277005</v>
      </c>
      <c r="M277" s="55">
        <f>$J$277-EFEITO!$K$277*EFEITO!$Y$277</f>
        <v>0</v>
      </c>
      <c r="N277" s="55">
        <f ca="1">$K$277-EFEITO!$M$277*EFEITO!$Z$277</f>
        <v>401.29809721520041</v>
      </c>
      <c r="O277" s="55">
        <f>$L$277-EFEITO!$O$277*EFEITO!$AA$277</f>
        <v>265.24990060277014</v>
      </c>
      <c r="P277" s="39"/>
      <c r="Q277" s="39"/>
      <c r="R277" s="39"/>
      <c r="S277" s="39"/>
      <c r="T277" s="39"/>
      <c r="U277" s="39"/>
      <c r="V277" s="39"/>
      <c r="W277" s="39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1.25" customHeight="1" x14ac:dyDescent="0.2">
      <c r="A278" s="35" t="s">
        <v>21</v>
      </c>
      <c r="B278" s="35" t="s">
        <v>22</v>
      </c>
      <c r="C278" s="35" t="s">
        <v>23</v>
      </c>
      <c r="D278" s="35" t="s">
        <v>24</v>
      </c>
      <c r="E278" s="35" t="s">
        <v>30</v>
      </c>
      <c r="F278" s="35" t="s">
        <v>25</v>
      </c>
      <c r="G278" s="35" t="s">
        <v>25</v>
      </c>
      <c r="H278" s="35" t="s">
        <v>25</v>
      </c>
      <c r="I278" s="54">
        <v>44470</v>
      </c>
      <c r="J278" s="55">
        <f>EFEITO!$J$278*EFEITO!$Y$224</f>
        <v>0</v>
      </c>
      <c r="K278" s="55">
        <f ca="1">EFEITO!$L$278*EFEITO!$Z$289</f>
        <v>4028.181657652583</v>
      </c>
      <c r="L278" s="55">
        <f>EFEITO!$N$278*EFEITO!$AA$289</f>
        <v>2662.5463507475024</v>
      </c>
      <c r="M278" s="55">
        <f>$J$278-EFEITO!$K$278*EFEITO!$Y$278</f>
        <v>0</v>
      </c>
      <c r="N278" s="55">
        <f ca="1">$K$278-EFEITO!$M$278*EFEITO!$Z$278</f>
        <v>402.81816576525807</v>
      </c>
      <c r="O278" s="55">
        <f>$L$278-EFEITO!$O$278*EFEITO!$AA$278</f>
        <v>266.25463507475024</v>
      </c>
      <c r="P278" s="39"/>
      <c r="Q278" s="39"/>
      <c r="R278" s="39"/>
      <c r="S278" s="39"/>
      <c r="T278" s="39"/>
      <c r="U278" s="39"/>
      <c r="V278" s="39"/>
      <c r="W278" s="39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1.25" customHeight="1" x14ac:dyDescent="0.2">
      <c r="A279" s="35" t="s">
        <v>21</v>
      </c>
      <c r="B279" s="35" t="s">
        <v>22</v>
      </c>
      <c r="C279" s="35" t="s">
        <v>23</v>
      </c>
      <c r="D279" s="35" t="s">
        <v>24</v>
      </c>
      <c r="E279" s="35" t="s">
        <v>30</v>
      </c>
      <c r="F279" s="35" t="s">
        <v>25</v>
      </c>
      <c r="G279" s="35" t="s">
        <v>25</v>
      </c>
      <c r="H279" s="35" t="s">
        <v>25</v>
      </c>
      <c r="I279" s="54">
        <v>44501</v>
      </c>
      <c r="J279" s="55">
        <f>EFEITO!$J$279*EFEITO!$Y$224</f>
        <v>0</v>
      </c>
      <c r="K279" s="55">
        <f ca="1">EFEITO!$L$279*EFEITO!$Z$289</f>
        <v>4368.0948589526924</v>
      </c>
      <c r="L279" s="55">
        <f>EFEITO!$N$279*EFEITO!$AA$289</f>
        <v>2887.2220805456259</v>
      </c>
      <c r="M279" s="55">
        <f>$J$279-EFEITO!$K$279*EFEITO!$Y$279</f>
        <v>0</v>
      </c>
      <c r="N279" s="55">
        <f ca="1">$K$279-EFEITO!$M$279*EFEITO!$Z$279</f>
        <v>436.80948589526861</v>
      </c>
      <c r="O279" s="55">
        <f>$L$279-EFEITO!$O$279*EFEITO!$AA$279</f>
        <v>288.722208054563</v>
      </c>
      <c r="P279" s="39"/>
      <c r="Q279" s="39"/>
      <c r="R279" s="39"/>
      <c r="S279" s="39"/>
      <c r="T279" s="39"/>
      <c r="U279" s="39"/>
      <c r="V279" s="39"/>
      <c r="W279" s="39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1.25" customHeight="1" x14ac:dyDescent="0.2">
      <c r="A280" s="35" t="s">
        <v>21</v>
      </c>
      <c r="B280" s="35" t="s">
        <v>22</v>
      </c>
      <c r="C280" s="35" t="s">
        <v>23</v>
      </c>
      <c r="D280" s="35" t="s">
        <v>24</v>
      </c>
      <c r="E280" s="35" t="s">
        <v>30</v>
      </c>
      <c r="F280" s="35" t="s">
        <v>25</v>
      </c>
      <c r="G280" s="35" t="s">
        <v>25</v>
      </c>
      <c r="H280" s="35" t="s">
        <v>25</v>
      </c>
      <c r="I280" s="54">
        <v>44531</v>
      </c>
      <c r="J280" s="55">
        <f>EFEITO!$J$280*EFEITO!$Y$224</f>
        <v>0</v>
      </c>
      <c r="K280" s="55">
        <f ca="1">EFEITO!$L$280*EFEITO!$Z$289</f>
        <v>3713.4951259066202</v>
      </c>
      <c r="L280" s="55">
        <f>EFEITO!$N$280*EFEITO!$AA$289</f>
        <v>2454.5449377184118</v>
      </c>
      <c r="M280" s="55">
        <f>$J$280-EFEITO!$K$280*EFEITO!$Y$280</f>
        <v>0</v>
      </c>
      <c r="N280" s="55">
        <f ca="1">$K$280-EFEITO!$M$280*EFEITO!$Z$280</f>
        <v>371.34951259066156</v>
      </c>
      <c r="O280" s="55">
        <f>$L$280-EFEITO!$O$280*EFEITO!$AA$280</f>
        <v>245.45449377184104</v>
      </c>
      <c r="P280" s="39"/>
      <c r="Q280" s="39"/>
      <c r="R280" s="39"/>
      <c r="S280" s="39"/>
      <c r="T280" s="39"/>
      <c r="U280" s="39"/>
      <c r="V280" s="39"/>
      <c r="W280" s="39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1.25" customHeight="1" x14ac:dyDescent="0.2">
      <c r="A281" s="35" t="s">
        <v>21</v>
      </c>
      <c r="B281" s="35" t="s">
        <v>22</v>
      </c>
      <c r="C281" s="35" t="s">
        <v>23</v>
      </c>
      <c r="D281" s="35" t="s">
        <v>24</v>
      </c>
      <c r="E281" s="35" t="s">
        <v>30</v>
      </c>
      <c r="F281" s="35" t="s">
        <v>25</v>
      </c>
      <c r="G281" s="35" t="s">
        <v>25</v>
      </c>
      <c r="H281" s="35" t="s">
        <v>25</v>
      </c>
      <c r="I281" s="54">
        <v>44562</v>
      </c>
      <c r="J281" s="55">
        <f>EFEITO!$J$281*EFEITO!$Y$224</f>
        <v>0</v>
      </c>
      <c r="K281" s="55">
        <f ca="1">EFEITO!$L$281*EFEITO!$Z$289</f>
        <v>4284.6527981197441</v>
      </c>
      <c r="L281" s="55">
        <f>EFEITO!$N$281*EFEITO!$AA$289</f>
        <v>2832.0685712326704</v>
      </c>
      <c r="M281" s="55">
        <f>$J$281-EFEITO!$K$281*EFEITO!$Y$281</f>
        <v>0</v>
      </c>
      <c r="N281" s="55">
        <f ca="1">$K$281-EFEITO!$M$281*EFEITO!$Z$281</f>
        <v>428.46527981197369</v>
      </c>
      <c r="O281" s="55">
        <f>$L$281-EFEITO!$O$281*EFEITO!$AA$281</f>
        <v>283.20685712326713</v>
      </c>
      <c r="P281" s="39"/>
      <c r="Q281" s="39"/>
      <c r="R281" s="39"/>
      <c r="S281" s="39"/>
      <c r="T281" s="39"/>
      <c r="U281" s="39"/>
      <c r="V281" s="39"/>
      <c r="W281" s="39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1.25" customHeight="1" x14ac:dyDescent="0.2">
      <c r="A282" s="35" t="s">
        <v>21</v>
      </c>
      <c r="B282" s="35" t="s">
        <v>22</v>
      </c>
      <c r="C282" s="35" t="s">
        <v>23</v>
      </c>
      <c r="D282" s="35" t="s">
        <v>24</v>
      </c>
      <c r="E282" s="35" t="s">
        <v>30</v>
      </c>
      <c r="F282" s="35" t="s">
        <v>25</v>
      </c>
      <c r="G282" s="35" t="s">
        <v>25</v>
      </c>
      <c r="H282" s="35" t="s">
        <v>25</v>
      </c>
      <c r="I282" s="54">
        <v>44593</v>
      </c>
      <c r="J282" s="55">
        <f>EFEITO!$J$282*EFEITO!$Y$224</f>
        <v>0</v>
      </c>
      <c r="K282" s="55">
        <f ca="1">EFEITO!$L$282*EFEITO!$Z$289</f>
        <v>7270.4555330413541</v>
      </c>
      <c r="L282" s="55">
        <f>EFEITO!$N$282*EFEITO!$AA$289</f>
        <v>4805.6236021520563</v>
      </c>
      <c r="M282" s="55">
        <f>$J$282-EFEITO!$K$282*EFEITO!$Y$282</f>
        <v>0</v>
      </c>
      <c r="N282" s="55">
        <f ca="1">$K$282-EFEITO!$M$282*EFEITO!$Z$282</f>
        <v>727.04555330413496</v>
      </c>
      <c r="O282" s="55">
        <f>$L$282-EFEITO!$O$282*EFEITO!$AA$282</f>
        <v>480.56236021520635</v>
      </c>
      <c r="P282" s="39"/>
      <c r="Q282" s="39"/>
      <c r="R282" s="39"/>
      <c r="S282" s="39"/>
      <c r="T282" s="39"/>
      <c r="U282" s="39"/>
      <c r="V282" s="39"/>
      <c r="W282" s="39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1.25" customHeight="1" x14ac:dyDescent="0.2">
      <c r="A283" s="35" t="s">
        <v>21</v>
      </c>
      <c r="B283" s="35" t="s">
        <v>22</v>
      </c>
      <c r="C283" s="35" t="s">
        <v>23</v>
      </c>
      <c r="D283" s="35" t="s">
        <v>24</v>
      </c>
      <c r="E283" s="35" t="s">
        <v>30</v>
      </c>
      <c r="F283" s="35" t="s">
        <v>25</v>
      </c>
      <c r="G283" s="35" t="s">
        <v>25</v>
      </c>
      <c r="H283" s="35" t="s">
        <v>25</v>
      </c>
      <c r="I283" s="54">
        <v>44621</v>
      </c>
      <c r="J283" s="55">
        <f>EFEITO!$J$283*EFEITO!$Y$224</f>
        <v>0</v>
      </c>
      <c r="K283" s="55">
        <f ca="1">EFEITO!$L$283*EFEITO!$Z$289</f>
        <v>6943.8025041991932</v>
      </c>
      <c r="L283" s="55">
        <f>EFEITO!$N$283*EFEITO!$AA$289</f>
        <v>4589.7125773222697</v>
      </c>
      <c r="M283" s="55">
        <f>$J$283-EFEITO!$K$283*EFEITO!$Y$283</f>
        <v>0</v>
      </c>
      <c r="N283" s="55">
        <f ca="1">$K$283-EFEITO!$M$283*EFEITO!$Z$283</f>
        <v>694.38025041991841</v>
      </c>
      <c r="O283" s="55">
        <f>$L$283-EFEITO!$O$283*EFEITO!$AA$283</f>
        <v>458.97125773222706</v>
      </c>
      <c r="P283" s="39"/>
      <c r="Q283" s="39"/>
      <c r="R283" s="39"/>
      <c r="S283" s="39"/>
      <c r="T283" s="39"/>
      <c r="U283" s="39"/>
      <c r="V283" s="39"/>
      <c r="W283" s="39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1.25" customHeight="1" x14ac:dyDescent="0.2">
      <c r="A284" s="35" t="s">
        <v>21</v>
      </c>
      <c r="B284" s="35" t="s">
        <v>22</v>
      </c>
      <c r="C284" s="35" t="s">
        <v>23</v>
      </c>
      <c r="D284" s="35" t="s">
        <v>24</v>
      </c>
      <c r="E284" s="35" t="s">
        <v>30</v>
      </c>
      <c r="F284" s="35" t="s">
        <v>25</v>
      </c>
      <c r="G284" s="35" t="s">
        <v>25</v>
      </c>
      <c r="H284" s="35" t="s">
        <v>25</v>
      </c>
      <c r="I284" s="54">
        <v>44652</v>
      </c>
      <c r="J284" s="55">
        <f>EFEITO!$J$284*EFEITO!$Y$224</f>
        <v>0</v>
      </c>
      <c r="K284" s="55">
        <f ca="1">EFEITO!$L$284*EFEITO!$Z$289</f>
        <v>6015.2670133023194</v>
      </c>
      <c r="L284" s="55">
        <f>EFEITO!$N$284*EFEITO!$AA$289</f>
        <v>3975.9694562467121</v>
      </c>
      <c r="M284" s="55">
        <f>$J$284-EFEITO!$K$284*EFEITO!$Y$284</f>
        <v>0</v>
      </c>
      <c r="N284" s="55">
        <f ca="1">$K$284-EFEITO!$M$284*EFEITO!$Z$284</f>
        <v>601.52670133023094</v>
      </c>
      <c r="O284" s="55">
        <f>$L$284-EFEITO!$O$284*EFEITO!$AA$284</f>
        <v>397.59694562467121</v>
      </c>
      <c r="P284" s="39"/>
      <c r="Q284" s="39"/>
      <c r="R284" s="39"/>
      <c r="S284" s="39"/>
      <c r="T284" s="39"/>
      <c r="U284" s="39"/>
      <c r="V284" s="39"/>
      <c r="W284" s="39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1.25" customHeight="1" x14ac:dyDescent="0.2">
      <c r="A285" s="35" t="s">
        <v>21</v>
      </c>
      <c r="B285" s="35" t="s">
        <v>22</v>
      </c>
      <c r="C285" s="35" t="s">
        <v>23</v>
      </c>
      <c r="D285" s="35" t="s">
        <v>24</v>
      </c>
      <c r="E285" s="35" t="s">
        <v>30</v>
      </c>
      <c r="F285" s="35" t="s">
        <v>25</v>
      </c>
      <c r="G285" s="35" t="s">
        <v>25</v>
      </c>
      <c r="H285" s="35" t="s">
        <v>25</v>
      </c>
      <c r="I285" s="54">
        <v>44682</v>
      </c>
      <c r="J285" s="55">
        <f>EFEITO!$J$285*EFEITO!$Y$224</f>
        <v>0</v>
      </c>
      <c r="K285" s="55">
        <f ca="1">EFEITO!$L$285*EFEITO!$Z$289</f>
        <v>6277.5596928973609</v>
      </c>
      <c r="L285" s="55">
        <f>EFEITO!$N$285*EFEITO!$AA$289</f>
        <v>4149.3395959862728</v>
      </c>
      <c r="M285" s="55">
        <f>$J$285-EFEITO!$K$285*EFEITO!$Y$285</f>
        <v>0</v>
      </c>
      <c r="N285" s="55">
        <f ca="1">$K$285-EFEITO!$M$285*EFEITO!$Z$285</f>
        <v>627.75596928973482</v>
      </c>
      <c r="O285" s="55">
        <f>$L$285-EFEITO!$O$285*EFEITO!$AA$285</f>
        <v>414.93395959862801</v>
      </c>
      <c r="P285" s="39"/>
      <c r="Q285" s="39"/>
      <c r="R285" s="39"/>
      <c r="S285" s="39"/>
      <c r="T285" s="39"/>
      <c r="U285" s="39"/>
      <c r="V285" s="39"/>
      <c r="W285" s="39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1.25" customHeight="1" x14ac:dyDescent="0.2">
      <c r="A286" s="35" t="s">
        <v>21</v>
      </c>
      <c r="B286" s="35" t="s">
        <v>22</v>
      </c>
      <c r="C286" s="35" t="s">
        <v>23</v>
      </c>
      <c r="D286" s="35" t="s">
        <v>24</v>
      </c>
      <c r="E286" s="35" t="s">
        <v>30</v>
      </c>
      <c r="F286" s="35" t="s">
        <v>25</v>
      </c>
      <c r="G286" s="35" t="s">
        <v>25</v>
      </c>
      <c r="H286" s="35" t="s">
        <v>25</v>
      </c>
      <c r="I286" s="54">
        <v>44713</v>
      </c>
      <c r="J286" s="55">
        <f>EFEITO!$J$286*EFEITO!$Y$224</f>
        <v>0</v>
      </c>
      <c r="K286" s="55">
        <f ca="1">EFEITO!$L$286*EFEITO!$Z$289</f>
        <v>6547.2910058224716</v>
      </c>
      <c r="L286" s="55">
        <f>EFEITO!$N$286*EFEITO!$AA$289</f>
        <v>4327.6265214397781</v>
      </c>
      <c r="M286" s="55">
        <f>$J$286-EFEITO!$K$286*EFEITO!$Y$286</f>
        <v>0</v>
      </c>
      <c r="N286" s="55">
        <f ca="1">$K$286-EFEITO!$M$286*EFEITO!$Z$286</f>
        <v>654.72910058224625</v>
      </c>
      <c r="O286" s="55">
        <f>$L$286-EFEITO!$O$286*EFEITO!$AA$286</f>
        <v>432.7626521439779</v>
      </c>
      <c r="P286" s="39"/>
      <c r="Q286" s="39"/>
      <c r="R286" s="39"/>
      <c r="S286" s="39"/>
      <c r="T286" s="39"/>
      <c r="U286" s="39"/>
      <c r="V286" s="39"/>
      <c r="W286" s="39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1.25" customHeight="1" x14ac:dyDescent="0.2">
      <c r="A287" s="35" t="s">
        <v>21</v>
      </c>
      <c r="B287" s="35" t="s">
        <v>22</v>
      </c>
      <c r="C287" s="35" t="s">
        <v>23</v>
      </c>
      <c r="D287" s="35" t="s">
        <v>24</v>
      </c>
      <c r="E287" s="35" t="s">
        <v>30</v>
      </c>
      <c r="F287" s="35" t="s">
        <v>25</v>
      </c>
      <c r="G287" s="35" t="s">
        <v>25</v>
      </c>
      <c r="H287" s="35" t="s">
        <v>25</v>
      </c>
      <c r="I287" s="54">
        <v>44743</v>
      </c>
      <c r="J287" s="55">
        <f>EFEITO!$J$287*EFEITO!$Y$224</f>
        <v>0</v>
      </c>
      <c r="K287" s="55">
        <f ca="1">EFEITO!$L$287*EFEITO!$Z$289</f>
        <v>5672.4430424382699</v>
      </c>
      <c r="L287" s="55">
        <f>EFEITO!$N$287*EFEITO!$AA$289</f>
        <v>3749.3697668213931</v>
      </c>
      <c r="M287" s="55">
        <f>$J$287-EFEITO!$K$287*EFEITO!$Y$287</f>
        <v>0</v>
      </c>
      <c r="N287" s="55">
        <f ca="1">$K$287-EFEITO!$M$287*EFEITO!$Z$287</f>
        <v>567.24430424382626</v>
      </c>
      <c r="O287" s="55">
        <f>$L$287-EFEITO!$O$287*EFEITO!$AA$287</f>
        <v>374.93697668213963</v>
      </c>
      <c r="P287" s="39"/>
      <c r="Q287" s="39"/>
      <c r="R287" s="39"/>
      <c r="S287" s="39"/>
      <c r="T287" s="39"/>
      <c r="U287" s="39"/>
      <c r="V287" s="39"/>
      <c r="W287" s="39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1.25" customHeight="1" x14ac:dyDescent="0.2">
      <c r="A288" s="35" t="s">
        <v>53</v>
      </c>
      <c r="B288" s="35" t="s">
        <v>22</v>
      </c>
      <c r="C288" s="35" t="s">
        <v>23</v>
      </c>
      <c r="D288" s="35" t="s">
        <v>24</v>
      </c>
      <c r="E288" s="35" t="s">
        <v>30</v>
      </c>
      <c r="F288" s="35" t="s">
        <v>25</v>
      </c>
      <c r="G288" s="35" t="s">
        <v>25</v>
      </c>
      <c r="H288" s="35" t="s">
        <v>25</v>
      </c>
      <c r="I288" s="54">
        <v>44774</v>
      </c>
      <c r="J288" s="55">
        <f>EFEITO!$J$288*EFEITO!$Y$224</f>
        <v>0</v>
      </c>
      <c r="K288" s="55">
        <f ca="1">EFEITO!$L$288*EFEITO!$Z$289</f>
        <v>5672.4430424382699</v>
      </c>
      <c r="L288" s="55">
        <f>EFEITO!$N$288*EFEITO!$AA$289</f>
        <v>3749.3697668213931</v>
      </c>
      <c r="M288" s="55">
        <f>$J$288-EFEITO!$K$288*EFEITO!$Y$288</f>
        <v>0</v>
      </c>
      <c r="N288" s="55">
        <f ca="1">$K$288-EFEITO!$M$288*EFEITO!$Z$288</f>
        <v>567.24430424382626</v>
      </c>
      <c r="O288" s="55">
        <f>$L$288-EFEITO!$O$288*EFEITO!$AA$288</f>
        <v>374.93697668213963</v>
      </c>
      <c r="P288" s="39"/>
      <c r="Q288" s="39"/>
      <c r="R288" s="39"/>
      <c r="S288" s="39"/>
      <c r="T288" s="39"/>
      <c r="U288" s="39"/>
      <c r="V288" s="39"/>
      <c r="W288" s="39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1.25" customHeight="1" x14ac:dyDescent="0.2">
      <c r="A289" s="35" t="s">
        <v>21</v>
      </c>
      <c r="B289" s="35" t="s">
        <v>22</v>
      </c>
      <c r="C289" s="35" t="s">
        <v>23</v>
      </c>
      <c r="D289" s="35" t="s">
        <v>24</v>
      </c>
      <c r="E289" s="35" t="s">
        <v>31</v>
      </c>
      <c r="F289" s="35" t="s">
        <v>25</v>
      </c>
      <c r="G289" s="35" t="s">
        <v>25</v>
      </c>
      <c r="H289" s="35" t="s">
        <v>25</v>
      </c>
      <c r="I289" s="54">
        <v>44440</v>
      </c>
      <c r="J289" s="55">
        <f>EFEITO!$J$289*EFEITO!$Y$224</f>
        <v>0</v>
      </c>
      <c r="K289" s="55">
        <f ca="1">EFEITO!$L$289*EFEITO!$Z$289</f>
        <v>1116.4418371912257</v>
      </c>
      <c r="L289" s="55">
        <f>EFEITO!$N$289*EFEITO!$AA$289</f>
        <v>737.94540367566265</v>
      </c>
      <c r="M289" s="55">
        <f>$J$289-EFEITO!$K$289*EFEITO!$Y$289</f>
        <v>0</v>
      </c>
      <c r="N289" s="55">
        <f ca="1">$K$289-EFEITO!$M$289*EFEITO!$Z$289</f>
        <v>0</v>
      </c>
      <c r="O289" s="55">
        <f>$L$289-EFEITO!$O$289*EFEITO!$AA$289</f>
        <v>0</v>
      </c>
      <c r="P289" s="39"/>
      <c r="Q289" s="39"/>
      <c r="R289" s="39"/>
      <c r="S289" s="39"/>
      <c r="T289" s="39"/>
      <c r="U289" s="39"/>
      <c r="V289" s="39"/>
      <c r="W289" s="39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1.25" customHeight="1" x14ac:dyDescent="0.2">
      <c r="A290" s="35" t="s">
        <v>21</v>
      </c>
      <c r="B290" s="35" t="s">
        <v>22</v>
      </c>
      <c r="C290" s="35" t="s">
        <v>23</v>
      </c>
      <c r="D290" s="35" t="s">
        <v>24</v>
      </c>
      <c r="E290" s="35" t="s">
        <v>31</v>
      </c>
      <c r="F290" s="35" t="s">
        <v>25</v>
      </c>
      <c r="G290" s="35" t="s">
        <v>25</v>
      </c>
      <c r="H290" s="35" t="s">
        <v>25</v>
      </c>
      <c r="I290" s="54">
        <v>44470</v>
      </c>
      <c r="J290" s="55">
        <f>EFEITO!$J$290*EFEITO!$Y$224</f>
        <v>0</v>
      </c>
      <c r="K290" s="55">
        <f ca="1">EFEITO!$L$290*EFEITO!$Z$289</f>
        <v>1306.9355342090798</v>
      </c>
      <c r="L290" s="55">
        <f>EFEITO!$N$290*EFEITO!$AA$289</f>
        <v>863.85787261105247</v>
      </c>
      <c r="M290" s="55">
        <f>$J$290-EFEITO!$K$290*EFEITO!$Y$290</f>
        <v>0</v>
      </c>
      <c r="N290" s="55">
        <f ca="1">$K$290-EFEITO!$M$290*EFEITO!$Z$290</f>
        <v>0</v>
      </c>
      <c r="O290" s="55">
        <f>$L$290-EFEITO!$O$290*EFEITO!$AA$290</f>
        <v>0</v>
      </c>
      <c r="P290" s="39"/>
      <c r="Q290" s="39"/>
      <c r="R290" s="39"/>
      <c r="S290" s="39"/>
      <c r="T290" s="39"/>
      <c r="U290" s="39"/>
      <c r="V290" s="39"/>
      <c r="W290" s="39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1.25" customHeight="1" x14ac:dyDescent="0.2">
      <c r="A291" s="35" t="s">
        <v>21</v>
      </c>
      <c r="B291" s="35" t="s">
        <v>22</v>
      </c>
      <c r="C291" s="35" t="s">
        <v>23</v>
      </c>
      <c r="D291" s="35" t="s">
        <v>24</v>
      </c>
      <c r="E291" s="35" t="s">
        <v>31</v>
      </c>
      <c r="F291" s="35" t="s">
        <v>25</v>
      </c>
      <c r="G291" s="35" t="s">
        <v>25</v>
      </c>
      <c r="H291" s="35" t="s">
        <v>25</v>
      </c>
      <c r="I291" s="54">
        <v>44501</v>
      </c>
      <c r="J291" s="55">
        <f>EFEITO!$J$291*EFEITO!$Y$224</f>
        <v>0</v>
      </c>
      <c r="K291" s="55">
        <f ca="1">EFEITO!$L$291*EFEITO!$Z$289</f>
        <v>1469.6152109492841</v>
      </c>
      <c r="L291" s="55">
        <f>EFEITO!$N$291*EFEITO!$AA$289</f>
        <v>971.3858384421236</v>
      </c>
      <c r="M291" s="55">
        <f>$J$291-EFEITO!$K$291*EFEITO!$Y$291</f>
        <v>0</v>
      </c>
      <c r="N291" s="55">
        <f ca="1">$K$291-EFEITO!$M$291*EFEITO!$Z$291</f>
        <v>0</v>
      </c>
      <c r="O291" s="55">
        <f>$L$291-EFEITO!$O$291*EFEITO!$AA$291</f>
        <v>0</v>
      </c>
      <c r="P291" s="39"/>
      <c r="Q291" s="39"/>
      <c r="R291" s="39"/>
      <c r="S291" s="39"/>
      <c r="T291" s="39"/>
      <c r="U291" s="39"/>
      <c r="V291" s="39"/>
      <c r="W291" s="39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1.25" customHeight="1" x14ac:dyDescent="0.2">
      <c r="A292" s="35" t="s">
        <v>21</v>
      </c>
      <c r="B292" s="35" t="s">
        <v>22</v>
      </c>
      <c r="C292" s="35" t="s">
        <v>23</v>
      </c>
      <c r="D292" s="35" t="s">
        <v>24</v>
      </c>
      <c r="E292" s="35" t="s">
        <v>31</v>
      </c>
      <c r="F292" s="35" t="s">
        <v>25</v>
      </c>
      <c r="G292" s="35" t="s">
        <v>25</v>
      </c>
      <c r="H292" s="35" t="s">
        <v>25</v>
      </c>
      <c r="I292" s="54">
        <v>44531</v>
      </c>
      <c r="J292" s="55">
        <f>EFEITO!$J$292*EFEITO!$Y$224</f>
        <v>0</v>
      </c>
      <c r="K292" s="55">
        <f ca="1">EFEITO!$L$292*EFEITO!$Z$289</f>
        <v>909.130360470607</v>
      </c>
      <c r="L292" s="55">
        <f>EFEITO!$N$292*EFEITO!$AA$289</f>
        <v>600.9167235609176</v>
      </c>
      <c r="M292" s="55">
        <f>$J$292-EFEITO!$K$292*EFEITO!$Y$292</f>
        <v>0</v>
      </c>
      <c r="N292" s="55">
        <f ca="1">$K$292-EFEITO!$M$292*EFEITO!$Z$292</f>
        <v>0</v>
      </c>
      <c r="O292" s="55">
        <f>$L$292-EFEITO!$O$292*EFEITO!$AA$292</f>
        <v>0</v>
      </c>
      <c r="P292" s="39"/>
      <c r="Q292" s="39"/>
      <c r="R292" s="39"/>
      <c r="S292" s="39"/>
      <c r="T292" s="39"/>
      <c r="U292" s="39"/>
      <c r="V292" s="39"/>
      <c r="W292" s="39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1.25" customHeight="1" x14ac:dyDescent="0.2">
      <c r="A293" s="35" t="s">
        <v>21</v>
      </c>
      <c r="B293" s="35" t="s">
        <v>22</v>
      </c>
      <c r="C293" s="35" t="s">
        <v>23</v>
      </c>
      <c r="D293" s="35" t="s">
        <v>24</v>
      </c>
      <c r="E293" s="35" t="s">
        <v>31</v>
      </c>
      <c r="F293" s="35" t="s">
        <v>25</v>
      </c>
      <c r="G293" s="35" t="s">
        <v>25</v>
      </c>
      <c r="H293" s="35" t="s">
        <v>25</v>
      </c>
      <c r="I293" s="54">
        <v>44562</v>
      </c>
      <c r="J293" s="55">
        <f>EFEITO!$J$293*EFEITO!$Y$224</f>
        <v>0</v>
      </c>
      <c r="K293" s="55">
        <f ca="1">EFEITO!$L$293*EFEITO!$Z$289</f>
        <v>1615.8005268271622</v>
      </c>
      <c r="L293" s="55">
        <f>EFEITO!$N$293*EFEITO!$AA$289</f>
        <v>1068.0113663857505</v>
      </c>
      <c r="M293" s="55">
        <f>$J$293-EFEITO!$K$293*EFEITO!$Y$293</f>
        <v>0</v>
      </c>
      <c r="N293" s="55">
        <f ca="1">$K$293-EFEITO!$M$293*EFEITO!$Z$293</f>
        <v>0</v>
      </c>
      <c r="O293" s="55">
        <f>$L$293-EFEITO!$O$293*EFEITO!$AA$293</f>
        <v>0</v>
      </c>
      <c r="P293" s="39"/>
      <c r="Q293" s="39"/>
      <c r="R293" s="39"/>
      <c r="S293" s="39"/>
      <c r="T293" s="39"/>
      <c r="U293" s="39"/>
      <c r="V293" s="39"/>
      <c r="W293" s="39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1.25" customHeight="1" x14ac:dyDescent="0.2">
      <c r="A294" s="35" t="s">
        <v>21</v>
      </c>
      <c r="B294" s="35" t="s">
        <v>22</v>
      </c>
      <c r="C294" s="35" t="s">
        <v>23</v>
      </c>
      <c r="D294" s="35" t="s">
        <v>24</v>
      </c>
      <c r="E294" s="35" t="s">
        <v>31</v>
      </c>
      <c r="F294" s="35" t="s">
        <v>25</v>
      </c>
      <c r="G294" s="35" t="s">
        <v>25</v>
      </c>
      <c r="H294" s="35" t="s">
        <v>25</v>
      </c>
      <c r="I294" s="54">
        <v>44593</v>
      </c>
      <c r="J294" s="55">
        <f>EFEITO!$J$294*EFEITO!$Y$224</f>
        <v>0</v>
      </c>
      <c r="K294" s="55">
        <f ca="1">EFEITO!$L$294*EFEITO!$Z$289</f>
        <v>5446.6966918126982</v>
      </c>
      <c r="L294" s="55">
        <f>EFEITO!$N$294*EFEITO!$AA$289</f>
        <v>3600.156009067739</v>
      </c>
      <c r="M294" s="55">
        <f>$J$294-EFEITO!$K$294*EFEITO!$Y$294</f>
        <v>0</v>
      </c>
      <c r="N294" s="55">
        <f ca="1">$K$294-EFEITO!$M$294*EFEITO!$Z$294</f>
        <v>0</v>
      </c>
      <c r="O294" s="55">
        <f>$L$294-EFEITO!$O$294*EFEITO!$AA$294</f>
        <v>0</v>
      </c>
      <c r="P294" s="39"/>
      <c r="Q294" s="39"/>
      <c r="R294" s="39"/>
      <c r="S294" s="39"/>
      <c r="T294" s="39"/>
      <c r="U294" s="39"/>
      <c r="V294" s="39"/>
      <c r="W294" s="39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1.25" customHeight="1" x14ac:dyDescent="0.2">
      <c r="A295" s="35" t="s">
        <v>21</v>
      </c>
      <c r="B295" s="35" t="s">
        <v>22</v>
      </c>
      <c r="C295" s="35" t="s">
        <v>23</v>
      </c>
      <c r="D295" s="35" t="s">
        <v>24</v>
      </c>
      <c r="E295" s="35" t="s">
        <v>31</v>
      </c>
      <c r="F295" s="35" t="s">
        <v>25</v>
      </c>
      <c r="G295" s="35" t="s">
        <v>25</v>
      </c>
      <c r="H295" s="35" t="s">
        <v>25</v>
      </c>
      <c r="I295" s="54">
        <v>44621</v>
      </c>
      <c r="J295" s="55">
        <f>EFEITO!$J$295*EFEITO!$Y$224</f>
        <v>0</v>
      </c>
      <c r="K295" s="55">
        <f ca="1">EFEITO!$L$295*EFEITO!$Z$289</f>
        <v>3786.5877838455594</v>
      </c>
      <c r="L295" s="55">
        <f>EFEITO!$N$295*EFEITO!$AA$289</f>
        <v>2502.8577016902254</v>
      </c>
      <c r="M295" s="55">
        <f>$J$295-EFEITO!$K$295*EFEITO!$Y$295</f>
        <v>0</v>
      </c>
      <c r="N295" s="55">
        <f ca="1">$K$295-EFEITO!$M$295*EFEITO!$Z$295</f>
        <v>0</v>
      </c>
      <c r="O295" s="55">
        <f>$L$295-EFEITO!$O$295*EFEITO!$AA$295</f>
        <v>0</v>
      </c>
      <c r="P295" s="39"/>
      <c r="Q295" s="39"/>
      <c r="R295" s="39"/>
      <c r="S295" s="39"/>
      <c r="T295" s="39"/>
      <c r="U295" s="39"/>
      <c r="V295" s="39"/>
      <c r="W295" s="39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1.25" customHeight="1" x14ac:dyDescent="0.2">
      <c r="A296" s="35" t="s">
        <v>21</v>
      </c>
      <c r="B296" s="35" t="s">
        <v>22</v>
      </c>
      <c r="C296" s="35" t="s">
        <v>23</v>
      </c>
      <c r="D296" s="35" t="s">
        <v>24</v>
      </c>
      <c r="E296" s="35" t="s">
        <v>31</v>
      </c>
      <c r="F296" s="35" t="s">
        <v>25</v>
      </c>
      <c r="G296" s="35" t="s">
        <v>25</v>
      </c>
      <c r="H296" s="35" t="s">
        <v>25</v>
      </c>
      <c r="I296" s="54">
        <v>44652</v>
      </c>
      <c r="J296" s="55">
        <f>EFEITO!$J$296*EFEITO!$Y$224</f>
        <v>0</v>
      </c>
      <c r="K296" s="55">
        <f ca="1">EFEITO!$L$296*EFEITO!$Z$289</f>
        <v>1695.0381427344187</v>
      </c>
      <c r="L296" s="55">
        <f>EFEITO!$N$296*EFEITO!$AA$289</f>
        <v>1120.3858229038667</v>
      </c>
      <c r="M296" s="55">
        <f>$J$296-EFEITO!$K$296*EFEITO!$Y$296</f>
        <v>0</v>
      </c>
      <c r="N296" s="55">
        <f ca="1">$K$296-EFEITO!$M$296*EFEITO!$Z$296</f>
        <v>0</v>
      </c>
      <c r="O296" s="55">
        <f>$L$296-EFEITO!$O$296*EFEITO!$AA$296</f>
        <v>0</v>
      </c>
      <c r="P296" s="39"/>
      <c r="Q296" s="39"/>
      <c r="R296" s="39"/>
      <c r="S296" s="39"/>
      <c r="T296" s="39"/>
      <c r="U296" s="39"/>
      <c r="V296" s="39"/>
      <c r="W296" s="39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1.25" customHeight="1" x14ac:dyDescent="0.2">
      <c r="A297" s="35" t="s">
        <v>21</v>
      </c>
      <c r="B297" s="35" t="s">
        <v>22</v>
      </c>
      <c r="C297" s="35" t="s">
        <v>23</v>
      </c>
      <c r="D297" s="35" t="s">
        <v>24</v>
      </c>
      <c r="E297" s="35" t="s">
        <v>31</v>
      </c>
      <c r="F297" s="35" t="s">
        <v>25</v>
      </c>
      <c r="G297" s="35" t="s">
        <v>25</v>
      </c>
      <c r="H297" s="35" t="s">
        <v>25</v>
      </c>
      <c r="I297" s="54">
        <v>44682</v>
      </c>
      <c r="J297" s="55">
        <f>EFEITO!$J$297*EFEITO!$Y$224</f>
        <v>0</v>
      </c>
      <c r="K297" s="55">
        <f ca="1">EFEITO!$L$297*EFEITO!$Z$289</f>
        <v>1743.8743876405242</v>
      </c>
      <c r="L297" s="55">
        <f>EFEITO!$N$297*EFEITO!$AA$289</f>
        <v>1152.6655899823793</v>
      </c>
      <c r="M297" s="55">
        <f>$J$297-EFEITO!$K$297*EFEITO!$Y$297</f>
        <v>0</v>
      </c>
      <c r="N297" s="55">
        <f ca="1">$K$297-EFEITO!$M$297*EFEITO!$Z$297</f>
        <v>0</v>
      </c>
      <c r="O297" s="55">
        <f>$L$297-EFEITO!$O$297*EFEITO!$AA$297</f>
        <v>0</v>
      </c>
      <c r="P297" s="39"/>
      <c r="Q297" s="39"/>
      <c r="R297" s="39"/>
      <c r="S297" s="39"/>
      <c r="T297" s="39"/>
      <c r="U297" s="39"/>
      <c r="V297" s="39"/>
      <c r="W297" s="39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1.25" customHeight="1" x14ac:dyDescent="0.2">
      <c r="A298" s="35" t="s">
        <v>21</v>
      </c>
      <c r="B298" s="35" t="s">
        <v>22</v>
      </c>
      <c r="C298" s="35" t="s">
        <v>23</v>
      </c>
      <c r="D298" s="35" t="s">
        <v>24</v>
      </c>
      <c r="E298" s="35" t="s">
        <v>31</v>
      </c>
      <c r="F298" s="35" t="s">
        <v>25</v>
      </c>
      <c r="G298" s="35" t="s">
        <v>25</v>
      </c>
      <c r="H298" s="35" t="s">
        <v>25</v>
      </c>
      <c r="I298" s="54">
        <v>44713</v>
      </c>
      <c r="J298" s="55">
        <f>EFEITO!$J$298*EFEITO!$Y$224</f>
        <v>0</v>
      </c>
      <c r="K298" s="55">
        <f ca="1">EFEITO!$L$298*EFEITO!$Z$289</f>
        <v>2675.3206481013381</v>
      </c>
      <c r="L298" s="55">
        <f>EFEITO!$N$298*EFEITO!$AA$289</f>
        <v>1768.3326706851337</v>
      </c>
      <c r="M298" s="55">
        <f>$J$298-EFEITO!$K$298*EFEITO!$Y$298</f>
        <v>0</v>
      </c>
      <c r="N298" s="55">
        <f ca="1">$K$298-EFEITO!$M$298*EFEITO!$Z$298</f>
        <v>0</v>
      </c>
      <c r="O298" s="55">
        <f>$L$298-EFEITO!$O$298*EFEITO!$AA$298</f>
        <v>0</v>
      </c>
      <c r="P298" s="39"/>
      <c r="Q298" s="39"/>
      <c r="R298" s="39"/>
      <c r="S298" s="39"/>
      <c r="T298" s="39"/>
      <c r="U298" s="39"/>
      <c r="V298" s="39"/>
      <c r="W298" s="39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1.25" customHeight="1" x14ac:dyDescent="0.2">
      <c r="A299" s="35" t="s">
        <v>21</v>
      </c>
      <c r="B299" s="35" t="s">
        <v>22</v>
      </c>
      <c r="C299" s="35" t="s">
        <v>23</v>
      </c>
      <c r="D299" s="35" t="s">
        <v>24</v>
      </c>
      <c r="E299" s="35" t="s">
        <v>31</v>
      </c>
      <c r="F299" s="35" t="s">
        <v>25</v>
      </c>
      <c r="G299" s="35" t="s">
        <v>25</v>
      </c>
      <c r="H299" s="35" t="s">
        <v>25</v>
      </c>
      <c r="I299" s="54">
        <v>44743</v>
      </c>
      <c r="J299" s="55">
        <f>EFEITO!$J$299*EFEITO!$Y$224</f>
        <v>0</v>
      </c>
      <c r="K299" s="55">
        <f ca="1">EFEITO!$L$299*EFEITO!$Z$289</f>
        <v>2208.6272613496176</v>
      </c>
      <c r="L299" s="55">
        <f>EFEITO!$N$299*EFEITO!$AA$289</f>
        <v>1459.8578104580245</v>
      </c>
      <c r="M299" s="55">
        <f>$J$299-EFEITO!$K$299*EFEITO!$Y$299</f>
        <v>0</v>
      </c>
      <c r="N299" s="55">
        <f ca="1">$K$299-EFEITO!$M$299*EFEITO!$Z$299</f>
        <v>0</v>
      </c>
      <c r="O299" s="55">
        <f>$L$299-EFEITO!$O$299*EFEITO!$AA$299</f>
        <v>0</v>
      </c>
      <c r="P299" s="39"/>
      <c r="Q299" s="39"/>
      <c r="R299" s="39"/>
      <c r="S299" s="39"/>
      <c r="T299" s="39"/>
      <c r="U299" s="39"/>
      <c r="V299" s="39"/>
      <c r="W299" s="39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1.25" customHeight="1" x14ac:dyDescent="0.2">
      <c r="A300" s="35" t="s">
        <v>53</v>
      </c>
      <c r="B300" s="35" t="s">
        <v>22</v>
      </c>
      <c r="C300" s="35" t="s">
        <v>23</v>
      </c>
      <c r="D300" s="35" t="s">
        <v>24</v>
      </c>
      <c r="E300" s="35" t="s">
        <v>31</v>
      </c>
      <c r="F300" s="35" t="s">
        <v>25</v>
      </c>
      <c r="G300" s="35" t="s">
        <v>25</v>
      </c>
      <c r="H300" s="35" t="s">
        <v>25</v>
      </c>
      <c r="I300" s="54">
        <v>44774</v>
      </c>
      <c r="J300" s="55">
        <f>EFEITO!$J$300*EFEITO!$Y$224</f>
        <v>0</v>
      </c>
      <c r="K300" s="55">
        <f ca="1">EFEITO!$L$300*EFEITO!$Z$289</f>
        <v>2208.6272613496176</v>
      </c>
      <c r="L300" s="55">
        <f>EFEITO!$N$300*EFEITO!$AA$289</f>
        <v>1459.8578104580245</v>
      </c>
      <c r="M300" s="55">
        <f>$J$300-EFEITO!$K$300*EFEITO!$Y$300</f>
        <v>0</v>
      </c>
      <c r="N300" s="55">
        <f ca="1">$K$300-EFEITO!$M$300*EFEITO!$Z$300</f>
        <v>0</v>
      </c>
      <c r="O300" s="55">
        <f>$L$300-EFEITO!$O$300*EFEITO!$AA$300</f>
        <v>0</v>
      </c>
      <c r="P300" s="39"/>
      <c r="Q300" s="39"/>
      <c r="R300" s="39"/>
      <c r="S300" s="39"/>
      <c r="T300" s="39"/>
      <c r="U300" s="39"/>
      <c r="V300" s="39"/>
      <c r="W300" s="39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1.25" customHeight="1" x14ac:dyDescent="0.2">
      <c r="A301" s="35" t="s">
        <v>21</v>
      </c>
      <c r="B301" s="35" t="s">
        <v>40</v>
      </c>
      <c r="C301" s="35" t="s">
        <v>23</v>
      </c>
      <c r="D301" s="35" t="s">
        <v>41</v>
      </c>
      <c r="E301" s="35" t="s">
        <v>50</v>
      </c>
      <c r="F301" s="35" t="s">
        <v>51</v>
      </c>
      <c r="G301" s="35" t="s">
        <v>25</v>
      </c>
      <c r="H301" s="35" t="s">
        <v>25</v>
      </c>
      <c r="I301" s="54">
        <v>44440</v>
      </c>
      <c r="J301" s="55">
        <f>EFEITO!$J$301*EFEITO!$Y$224</f>
        <v>0</v>
      </c>
      <c r="K301" s="55">
        <f ca="1">EFEITO!$L$301*EFEITO!$Z$224</f>
        <v>57446.439576286102</v>
      </c>
      <c r="L301" s="55">
        <f>EFEITO!$N$301*EFEITO!$AA$224</f>
        <v>28611.844935909052</v>
      </c>
      <c r="M301" s="55">
        <f>$J$301-EFEITO!$K$301*EFEITO!$Y$301</f>
        <v>0</v>
      </c>
      <c r="N301" s="55">
        <f ca="1">$K$301-EFEITO!$M$301*EFEITO!$Z$301</f>
        <v>3446.7863745771683</v>
      </c>
      <c r="O301" s="55">
        <f>$L$301-EFEITO!$O$301*EFEITO!$AA$301</f>
        <v>1716.7106961545433</v>
      </c>
      <c r="P301" s="39"/>
      <c r="Q301" s="39"/>
      <c r="R301" s="39"/>
      <c r="S301" s="39"/>
      <c r="T301" s="39"/>
      <c r="U301" s="39"/>
      <c r="V301" s="39"/>
      <c r="W301" s="39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1.25" customHeight="1" x14ac:dyDescent="0.2">
      <c r="A302" s="35" t="s">
        <v>27</v>
      </c>
      <c r="B302" s="35" t="s">
        <v>40</v>
      </c>
      <c r="C302" s="35" t="s">
        <v>23</v>
      </c>
      <c r="D302" s="35" t="s">
        <v>41</v>
      </c>
      <c r="E302" s="35" t="s">
        <v>50</v>
      </c>
      <c r="F302" s="35" t="s">
        <v>51</v>
      </c>
      <c r="G302" s="35" t="s">
        <v>25</v>
      </c>
      <c r="H302" s="35" t="s">
        <v>25</v>
      </c>
      <c r="I302" s="54">
        <v>44440</v>
      </c>
      <c r="J302" s="55">
        <f>EFEITO!$J$302*EFEITO!$Y$224</f>
        <v>0</v>
      </c>
      <c r="K302" s="55">
        <f ca="1">EFEITO!$L$302*EFEITO!$Z$224</f>
        <v>1749.4634547671292</v>
      </c>
      <c r="L302" s="55">
        <f>EFEITO!$N$302*EFEITO!$AA$224</f>
        <v>871.33993782792606</v>
      </c>
      <c r="M302" s="55">
        <f>$J$302-EFEITO!$K$302*EFEITO!$Y$302</f>
        <v>0</v>
      </c>
      <c r="N302" s="55">
        <f ca="1">$K$302-EFEITO!$M$302*EFEITO!$Z$302</f>
        <v>104.96780728602766</v>
      </c>
      <c r="O302" s="55">
        <f>$L$302-EFEITO!$O$302*EFEITO!$AA$302</f>
        <v>52.280396269675634</v>
      </c>
      <c r="P302" s="39"/>
      <c r="Q302" s="39"/>
      <c r="R302" s="39"/>
      <c r="S302" s="39"/>
      <c r="T302" s="39"/>
      <c r="U302" s="39"/>
      <c r="V302" s="39"/>
      <c r="W302" s="39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1.25" customHeight="1" x14ac:dyDescent="0.2">
      <c r="A303" s="35" t="s">
        <v>21</v>
      </c>
      <c r="B303" s="35" t="s">
        <v>40</v>
      </c>
      <c r="C303" s="35" t="s">
        <v>23</v>
      </c>
      <c r="D303" s="35" t="s">
        <v>41</v>
      </c>
      <c r="E303" s="35" t="s">
        <v>50</v>
      </c>
      <c r="F303" s="35" t="s">
        <v>51</v>
      </c>
      <c r="G303" s="35" t="s">
        <v>25</v>
      </c>
      <c r="H303" s="35" t="s">
        <v>25</v>
      </c>
      <c r="I303" s="54">
        <v>44470</v>
      </c>
      <c r="J303" s="55">
        <f>EFEITO!$J$303*EFEITO!$Y$224</f>
        <v>0</v>
      </c>
      <c r="K303" s="55">
        <f ca="1">EFEITO!$L$303*EFEITO!$Z$224</f>
        <v>78105.645775576137</v>
      </c>
      <c r="L303" s="55">
        <f>EFEITO!$N$303*EFEITO!$AA$224</f>
        <v>38901.394795445747</v>
      </c>
      <c r="M303" s="55">
        <f>$J$303-EFEITO!$K$303*EFEITO!$Y$303</f>
        <v>0</v>
      </c>
      <c r="N303" s="55">
        <f ca="1">$K$303-EFEITO!$M$303*EFEITO!$Z$303</f>
        <v>4686.3387465345586</v>
      </c>
      <c r="O303" s="55">
        <f>$L$303-EFEITO!$O$303*EFEITO!$AA$303</f>
        <v>2334.0836877267502</v>
      </c>
      <c r="P303" s="39"/>
      <c r="Q303" s="39"/>
      <c r="R303" s="39"/>
      <c r="S303" s="39"/>
      <c r="T303" s="39"/>
      <c r="U303" s="39"/>
      <c r="V303" s="39"/>
      <c r="W303" s="39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1.25" customHeight="1" x14ac:dyDescent="0.2">
      <c r="A304" s="35" t="s">
        <v>27</v>
      </c>
      <c r="B304" s="35" t="s">
        <v>40</v>
      </c>
      <c r="C304" s="35" t="s">
        <v>23</v>
      </c>
      <c r="D304" s="35" t="s">
        <v>41</v>
      </c>
      <c r="E304" s="35" t="s">
        <v>50</v>
      </c>
      <c r="F304" s="35" t="s">
        <v>51</v>
      </c>
      <c r="G304" s="35" t="s">
        <v>25</v>
      </c>
      <c r="H304" s="35" t="s">
        <v>25</v>
      </c>
      <c r="I304" s="54">
        <v>44470</v>
      </c>
      <c r="J304" s="55">
        <f>EFEITO!$J$304*EFEITO!$Y$224</f>
        <v>0</v>
      </c>
      <c r="K304" s="55">
        <f ca="1">EFEITO!$L$304*EFEITO!$Z$224</f>
        <v>668.7105158310078</v>
      </c>
      <c r="L304" s="55">
        <f>EFEITO!$N$304*EFEITO!$AA$224</f>
        <v>333.05878879683735</v>
      </c>
      <c r="M304" s="55">
        <f>$J$304-EFEITO!$K$304*EFEITO!$Y$304</f>
        <v>0</v>
      </c>
      <c r="N304" s="55">
        <f ca="1">$K$304-EFEITO!$M$304*EFEITO!$Z$304</f>
        <v>40.122630949860536</v>
      </c>
      <c r="O304" s="55">
        <f>$L$304-EFEITO!$O$304*EFEITO!$AA$304</f>
        <v>19.983527327810236</v>
      </c>
      <c r="P304" s="39"/>
      <c r="Q304" s="39"/>
      <c r="R304" s="39"/>
      <c r="S304" s="39"/>
      <c r="T304" s="39"/>
      <c r="U304" s="39"/>
      <c r="V304" s="39"/>
      <c r="W304" s="39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1.25" customHeight="1" x14ac:dyDescent="0.2">
      <c r="A305" s="35" t="s">
        <v>21</v>
      </c>
      <c r="B305" s="35" t="s">
        <v>40</v>
      </c>
      <c r="C305" s="35" t="s">
        <v>23</v>
      </c>
      <c r="D305" s="35" t="s">
        <v>41</v>
      </c>
      <c r="E305" s="35" t="s">
        <v>50</v>
      </c>
      <c r="F305" s="35" t="s">
        <v>51</v>
      </c>
      <c r="G305" s="35" t="s">
        <v>25</v>
      </c>
      <c r="H305" s="35" t="s">
        <v>25</v>
      </c>
      <c r="I305" s="54">
        <v>44501</v>
      </c>
      <c r="J305" s="55">
        <f>EFEITO!$J$305*EFEITO!$Y$224</f>
        <v>0</v>
      </c>
      <c r="K305" s="55">
        <f ca="1">EFEITO!$L$305*EFEITO!$Z$224</f>
        <v>56348.088992196521</v>
      </c>
      <c r="L305" s="55">
        <f>EFEITO!$N$305*EFEITO!$AA$224</f>
        <v>28064.799081909619</v>
      </c>
      <c r="M305" s="55">
        <f>$J$305-EFEITO!$K$305*EFEITO!$Y$305</f>
        <v>0</v>
      </c>
      <c r="N305" s="55">
        <f ca="1">$K$305-EFEITO!$M$305*EFEITO!$Z$305</f>
        <v>3380.8853395317929</v>
      </c>
      <c r="O305" s="55">
        <f>$L$305-EFEITO!$O$305*EFEITO!$AA$305</f>
        <v>1683.8879449145752</v>
      </c>
      <c r="P305" s="39"/>
      <c r="Q305" s="39"/>
      <c r="R305" s="39"/>
      <c r="S305" s="39"/>
      <c r="T305" s="39"/>
      <c r="U305" s="39"/>
      <c r="V305" s="39"/>
      <c r="W305" s="39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1.25" customHeight="1" x14ac:dyDescent="0.2">
      <c r="A306" s="35" t="s">
        <v>27</v>
      </c>
      <c r="B306" s="35" t="s">
        <v>40</v>
      </c>
      <c r="C306" s="35" t="s">
        <v>23</v>
      </c>
      <c r="D306" s="35" t="s">
        <v>41</v>
      </c>
      <c r="E306" s="35" t="s">
        <v>50</v>
      </c>
      <c r="F306" s="35" t="s">
        <v>51</v>
      </c>
      <c r="G306" s="35" t="s">
        <v>25</v>
      </c>
      <c r="H306" s="35" t="s">
        <v>25</v>
      </c>
      <c r="I306" s="54">
        <v>44501</v>
      </c>
      <c r="J306" s="55">
        <f>EFEITO!$J$306*EFEITO!$Y$224</f>
        <v>0</v>
      </c>
      <c r="K306" s="55">
        <f ca="1">EFEITO!$L$306*EFEITO!$Z$224</f>
        <v>885.46199881859377</v>
      </c>
      <c r="L306" s="55">
        <f>EFEITO!$N$306*EFEITO!$AA$224</f>
        <v>441.01430121173007</v>
      </c>
      <c r="M306" s="55">
        <f>$J$306-EFEITO!$K$306*EFEITO!$Y$306</f>
        <v>0</v>
      </c>
      <c r="N306" s="55">
        <f ca="1">$K$306-EFEITO!$M$306*EFEITO!$Z$306</f>
        <v>53.127719929115642</v>
      </c>
      <c r="O306" s="55">
        <f>$L$306-EFEITO!$O$306*EFEITO!$AA$306</f>
        <v>26.460858072703786</v>
      </c>
      <c r="P306" s="39"/>
      <c r="Q306" s="39"/>
      <c r="R306" s="39"/>
      <c r="S306" s="39"/>
      <c r="T306" s="39"/>
      <c r="U306" s="39"/>
      <c r="V306" s="39"/>
      <c r="W306" s="39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1.25" customHeight="1" x14ac:dyDescent="0.2">
      <c r="A307" s="35" t="s">
        <v>21</v>
      </c>
      <c r="B307" s="35" t="s">
        <v>40</v>
      </c>
      <c r="C307" s="35" t="s">
        <v>23</v>
      </c>
      <c r="D307" s="35" t="s">
        <v>41</v>
      </c>
      <c r="E307" s="35" t="s">
        <v>50</v>
      </c>
      <c r="F307" s="35" t="s">
        <v>51</v>
      </c>
      <c r="G307" s="35" t="s">
        <v>25</v>
      </c>
      <c r="H307" s="35" t="s">
        <v>25</v>
      </c>
      <c r="I307" s="54">
        <v>44531</v>
      </c>
      <c r="J307" s="55">
        <f>EFEITO!$J$307*EFEITO!$Y$224</f>
        <v>0</v>
      </c>
      <c r="K307" s="55">
        <f ca="1">EFEITO!$L$307*EFEITO!$Z$224</f>
        <v>49571.707975547011</v>
      </c>
      <c r="L307" s="55">
        <f>EFEITO!$N$307*EFEITO!$AA$224</f>
        <v>24689.746349223831</v>
      </c>
      <c r="M307" s="55">
        <f>$J$307-EFEITO!$K$307*EFEITO!$Y$307</f>
        <v>0</v>
      </c>
      <c r="N307" s="55">
        <f ca="1">$K$307-EFEITO!$M$307*EFEITO!$Z$307</f>
        <v>2974.3024785328234</v>
      </c>
      <c r="O307" s="55">
        <f>$L$307-EFEITO!$O$307*EFEITO!$AA$307</f>
        <v>1481.3847809534309</v>
      </c>
      <c r="P307" s="39"/>
      <c r="Q307" s="39"/>
      <c r="R307" s="39"/>
      <c r="S307" s="39"/>
      <c r="T307" s="39"/>
      <c r="U307" s="39"/>
      <c r="V307" s="39"/>
      <c r="W307" s="39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1.25" customHeight="1" x14ac:dyDescent="0.2">
      <c r="A308" s="35" t="s">
        <v>27</v>
      </c>
      <c r="B308" s="35" t="s">
        <v>40</v>
      </c>
      <c r="C308" s="35" t="s">
        <v>23</v>
      </c>
      <c r="D308" s="35" t="s">
        <v>41</v>
      </c>
      <c r="E308" s="35" t="s">
        <v>50</v>
      </c>
      <c r="F308" s="35" t="s">
        <v>51</v>
      </c>
      <c r="G308" s="35" t="s">
        <v>25</v>
      </c>
      <c r="H308" s="35" t="s">
        <v>25</v>
      </c>
      <c r="I308" s="54">
        <v>44531</v>
      </c>
      <c r="J308" s="55">
        <f>EFEITO!$J$308*EFEITO!$Y$224</f>
        <v>0</v>
      </c>
      <c r="K308" s="55">
        <f ca="1">EFEITO!$L$308*EFEITO!$Z$224</f>
        <v>1081.1821497935227</v>
      </c>
      <c r="L308" s="55">
        <f>EFEITO!$N$308*EFEITO!$AA$224</f>
        <v>538.49492232299951</v>
      </c>
      <c r="M308" s="55">
        <f>$J$308-EFEITO!$K$308*EFEITO!$Y$308</f>
        <v>0</v>
      </c>
      <c r="N308" s="55">
        <f ca="1">$K$308-EFEITO!$M$308*EFEITO!$Z$308</f>
        <v>64.870928987611251</v>
      </c>
      <c r="O308" s="55">
        <f>$L$308-EFEITO!$O$308*EFEITO!$AA$308</f>
        <v>32.309695339379971</v>
      </c>
      <c r="P308" s="39"/>
      <c r="Q308" s="39"/>
      <c r="R308" s="39"/>
      <c r="S308" s="39"/>
      <c r="T308" s="39"/>
      <c r="U308" s="39"/>
      <c r="V308" s="39"/>
      <c r="W308" s="39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1.25" customHeight="1" x14ac:dyDescent="0.2">
      <c r="A309" s="35" t="s">
        <v>21</v>
      </c>
      <c r="B309" s="35" t="s">
        <v>40</v>
      </c>
      <c r="C309" s="35" t="s">
        <v>23</v>
      </c>
      <c r="D309" s="35" t="s">
        <v>41</v>
      </c>
      <c r="E309" s="35" t="s">
        <v>50</v>
      </c>
      <c r="F309" s="35" t="s">
        <v>51</v>
      </c>
      <c r="G309" s="35" t="s">
        <v>25</v>
      </c>
      <c r="H309" s="35" t="s">
        <v>25</v>
      </c>
      <c r="I309" s="54">
        <v>44562</v>
      </c>
      <c r="J309" s="55">
        <f>EFEITO!$J$309*EFEITO!$Y$224</f>
        <v>0</v>
      </c>
      <c r="K309" s="55">
        <f ca="1">EFEITO!$L$309*EFEITO!$Z$224</f>
        <v>56407.74930137529</v>
      </c>
      <c r="L309" s="55">
        <f>EFEITO!$N$309*EFEITO!$AA$224</f>
        <v>28094.513569485207</v>
      </c>
      <c r="M309" s="55">
        <f>$J$309-EFEITO!$K$309*EFEITO!$Y$309</f>
        <v>0</v>
      </c>
      <c r="N309" s="55">
        <f ca="1">$K$309-EFEITO!$M$309*EFEITO!$Z$309</f>
        <v>3384.4649580825208</v>
      </c>
      <c r="O309" s="55">
        <f>$L$309-EFEITO!$O$309*EFEITO!$AA$309</f>
        <v>1685.6708141691124</v>
      </c>
      <c r="P309" s="39"/>
      <c r="Q309" s="39"/>
      <c r="R309" s="39"/>
      <c r="S309" s="39"/>
      <c r="T309" s="39"/>
      <c r="U309" s="39"/>
      <c r="V309" s="39"/>
      <c r="W309" s="39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1.25" customHeight="1" x14ac:dyDescent="0.2">
      <c r="A310" s="35" t="s">
        <v>27</v>
      </c>
      <c r="B310" s="35" t="s">
        <v>40</v>
      </c>
      <c r="C310" s="35" t="s">
        <v>23</v>
      </c>
      <c r="D310" s="35" t="s">
        <v>41</v>
      </c>
      <c r="E310" s="35" t="s">
        <v>50</v>
      </c>
      <c r="F310" s="35" t="s">
        <v>51</v>
      </c>
      <c r="G310" s="35" t="s">
        <v>25</v>
      </c>
      <c r="H310" s="35" t="s">
        <v>25</v>
      </c>
      <c r="I310" s="54">
        <v>44562</v>
      </c>
      <c r="J310" s="55">
        <f>EFEITO!$J$310*EFEITO!$Y$224</f>
        <v>0</v>
      </c>
      <c r="K310" s="55">
        <f ca="1">EFEITO!$L$310*EFEITO!$Z$224</f>
        <v>2555.9506558239095</v>
      </c>
      <c r="L310" s="55">
        <f>EFEITO!$N$310*EFEITO!$AA$224</f>
        <v>1273.0199533280913</v>
      </c>
      <c r="M310" s="55">
        <f>$J$310-EFEITO!$K$310*EFEITO!$Y$310</f>
        <v>0</v>
      </c>
      <c r="N310" s="55">
        <f ca="1">$K$310-EFEITO!$M$310*EFEITO!$Z$310</f>
        <v>153.35703934943467</v>
      </c>
      <c r="O310" s="55">
        <f>$L$310-EFEITO!$O$310*EFEITO!$AA$310</f>
        <v>76.381197199685403</v>
      </c>
      <c r="P310" s="39"/>
      <c r="Q310" s="39"/>
      <c r="R310" s="39"/>
      <c r="S310" s="39"/>
      <c r="T310" s="39"/>
      <c r="U310" s="39"/>
      <c r="V310" s="39"/>
      <c r="W310" s="39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1.25" customHeight="1" x14ac:dyDescent="0.2">
      <c r="A311" s="35" t="s">
        <v>21</v>
      </c>
      <c r="B311" s="35" t="s">
        <v>40</v>
      </c>
      <c r="C311" s="35" t="s">
        <v>23</v>
      </c>
      <c r="D311" s="35" t="s">
        <v>41</v>
      </c>
      <c r="E311" s="35" t="s">
        <v>50</v>
      </c>
      <c r="F311" s="35" t="s">
        <v>51</v>
      </c>
      <c r="G311" s="35" t="s">
        <v>25</v>
      </c>
      <c r="H311" s="35" t="s">
        <v>25</v>
      </c>
      <c r="I311" s="54">
        <v>44593</v>
      </c>
      <c r="J311" s="55">
        <f>EFEITO!$J$311*EFEITO!$Y$224</f>
        <v>0</v>
      </c>
      <c r="K311" s="55">
        <f ca="1">EFEITO!$L$311*EFEITO!$Z$224</f>
        <v>62994.848329910899</v>
      </c>
      <c r="L311" s="55">
        <f>EFEITO!$N$311*EFEITO!$AA$224</f>
        <v>31375.292280438392</v>
      </c>
      <c r="M311" s="55">
        <f>$J$311-EFEITO!$K$311*EFEITO!$Y$311</f>
        <v>0</v>
      </c>
      <c r="N311" s="55">
        <f ca="1">$K$311-EFEITO!$M$311*EFEITO!$Z$311</f>
        <v>3779.6908997946521</v>
      </c>
      <c r="O311" s="55">
        <f>$L$311-EFEITO!$O$311*EFEITO!$AA$311</f>
        <v>1882.5175368263008</v>
      </c>
      <c r="P311" s="39"/>
      <c r="Q311" s="39"/>
      <c r="R311" s="39"/>
      <c r="S311" s="39"/>
      <c r="T311" s="39"/>
      <c r="U311" s="39"/>
      <c r="V311" s="39"/>
      <c r="W311" s="39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1.25" customHeight="1" x14ac:dyDescent="0.2">
      <c r="A312" s="35" t="s">
        <v>27</v>
      </c>
      <c r="B312" s="35" t="s">
        <v>40</v>
      </c>
      <c r="C312" s="35" t="s">
        <v>23</v>
      </c>
      <c r="D312" s="35" t="s">
        <v>41</v>
      </c>
      <c r="E312" s="35" t="s">
        <v>50</v>
      </c>
      <c r="F312" s="35" t="s">
        <v>51</v>
      </c>
      <c r="G312" s="35" t="s">
        <v>25</v>
      </c>
      <c r="H312" s="35" t="s">
        <v>25</v>
      </c>
      <c r="I312" s="54">
        <v>44593</v>
      </c>
      <c r="J312" s="55">
        <f>EFEITO!$J$312*EFEITO!$Y$224</f>
        <v>0</v>
      </c>
      <c r="K312" s="55">
        <f ca="1">EFEITO!$L$312*EFEITO!$Z$224</f>
        <v>1540.4377672127644</v>
      </c>
      <c r="L312" s="55">
        <f>EFEITO!$N$312*EFEITO!$AA$224</f>
        <v>767.23234466742565</v>
      </c>
      <c r="M312" s="55">
        <f>$J$312-EFEITO!$K$312*EFEITO!$Y$312</f>
        <v>0</v>
      </c>
      <c r="N312" s="55">
        <f ca="1">$K$312-EFEITO!$M$312*EFEITO!$Z$312</f>
        <v>92.426266032765852</v>
      </c>
      <c r="O312" s="55">
        <f>$L$312-EFEITO!$O$312*EFEITO!$AA$312</f>
        <v>46.033940680045589</v>
      </c>
      <c r="P312" s="39"/>
      <c r="Q312" s="39"/>
      <c r="R312" s="39"/>
      <c r="S312" s="39"/>
      <c r="T312" s="39"/>
      <c r="U312" s="39"/>
      <c r="V312" s="39"/>
      <c r="W312" s="39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1.25" customHeight="1" x14ac:dyDescent="0.2">
      <c r="A313" s="35" t="s">
        <v>21</v>
      </c>
      <c r="B313" s="35" t="s">
        <v>40</v>
      </c>
      <c r="C313" s="35" t="s">
        <v>23</v>
      </c>
      <c r="D313" s="35" t="s">
        <v>41</v>
      </c>
      <c r="E313" s="35" t="s">
        <v>50</v>
      </c>
      <c r="F313" s="35" t="s">
        <v>51</v>
      </c>
      <c r="G313" s="35" t="s">
        <v>25</v>
      </c>
      <c r="H313" s="35" t="s">
        <v>25</v>
      </c>
      <c r="I313" s="54">
        <v>44621</v>
      </c>
      <c r="J313" s="55">
        <f>EFEITO!$J$313*EFEITO!$Y$224</f>
        <v>0</v>
      </c>
      <c r="K313" s="55">
        <f ca="1">EFEITO!$L$313*EFEITO!$Z$224</f>
        <v>73380.463446446782</v>
      </c>
      <c r="L313" s="55">
        <f>EFEITO!$N$313*EFEITO!$AA$224</f>
        <v>36547.964624801083</v>
      </c>
      <c r="M313" s="55">
        <f>$J$313-EFEITO!$K$313*EFEITO!$Y$313</f>
        <v>0</v>
      </c>
      <c r="N313" s="55">
        <f ca="1">$K$313-EFEITO!$M$313*EFEITO!$Z$313</f>
        <v>4402.8278067868087</v>
      </c>
      <c r="O313" s="55">
        <f>$L$313-EFEITO!$O$313*EFEITO!$AA$313</f>
        <v>2192.8778774880629</v>
      </c>
      <c r="P313" s="39"/>
      <c r="Q313" s="39"/>
      <c r="R313" s="39"/>
      <c r="S313" s="39"/>
      <c r="T313" s="39"/>
      <c r="U313" s="39"/>
      <c r="V313" s="39"/>
      <c r="W313" s="39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1.25" customHeight="1" x14ac:dyDescent="0.2">
      <c r="A314" s="35" t="s">
        <v>27</v>
      </c>
      <c r="B314" s="35" t="s">
        <v>40</v>
      </c>
      <c r="C314" s="35" t="s">
        <v>23</v>
      </c>
      <c r="D314" s="35" t="s">
        <v>41</v>
      </c>
      <c r="E314" s="35" t="s">
        <v>50</v>
      </c>
      <c r="F314" s="35" t="s">
        <v>51</v>
      </c>
      <c r="G314" s="35" t="s">
        <v>25</v>
      </c>
      <c r="H314" s="35" t="s">
        <v>25</v>
      </c>
      <c r="I314" s="54">
        <v>44621</v>
      </c>
      <c r="J314" s="55">
        <f>EFEITO!$J$314*EFEITO!$Y$224</f>
        <v>0</v>
      </c>
      <c r="K314" s="55">
        <f ca="1">EFEITO!$L$314*EFEITO!$Z$224</f>
        <v>4598.9943370534329</v>
      </c>
      <c r="L314" s="55">
        <f>EFEITO!$N$314*EFEITO!$AA$224</f>
        <v>2290.5808228229216</v>
      </c>
      <c r="M314" s="55">
        <f>$J$314-EFEITO!$K$314*EFEITO!$Y$314</f>
        <v>0</v>
      </c>
      <c r="N314" s="55">
        <f ca="1">$K$314-EFEITO!$M$314*EFEITO!$Z$314</f>
        <v>275.93966022320637</v>
      </c>
      <c r="O314" s="55">
        <f>$L$314-EFEITO!$O$314*EFEITO!$AA$314</f>
        <v>137.43484936937512</v>
      </c>
      <c r="P314" s="39"/>
      <c r="Q314" s="39"/>
      <c r="R314" s="39"/>
      <c r="S314" s="39"/>
      <c r="T314" s="39"/>
      <c r="U314" s="39"/>
      <c r="V314" s="39"/>
      <c r="W314" s="39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1.25" customHeight="1" x14ac:dyDescent="0.2">
      <c r="A315" s="35" t="s">
        <v>21</v>
      </c>
      <c r="B315" s="35" t="s">
        <v>40</v>
      </c>
      <c r="C315" s="35" t="s">
        <v>23</v>
      </c>
      <c r="D315" s="35" t="s">
        <v>41</v>
      </c>
      <c r="E315" s="35" t="s">
        <v>50</v>
      </c>
      <c r="F315" s="35" t="s">
        <v>51</v>
      </c>
      <c r="G315" s="35" t="s">
        <v>25</v>
      </c>
      <c r="H315" s="35" t="s">
        <v>25</v>
      </c>
      <c r="I315" s="54">
        <v>44652</v>
      </c>
      <c r="J315" s="55">
        <f>EFEITO!$J$315*EFEITO!$Y$224</f>
        <v>0</v>
      </c>
      <c r="K315" s="55">
        <f ca="1">EFEITO!$L$315*EFEITO!$Z$224</f>
        <v>70876.447304368397</v>
      </c>
      <c r="L315" s="55">
        <f>EFEITO!$N$315*EFEITO!$AA$224</f>
        <v>35300.811239794188</v>
      </c>
      <c r="M315" s="55">
        <f>$J$315-EFEITO!$K$315*EFEITO!$Y$315</f>
        <v>0</v>
      </c>
      <c r="N315" s="55">
        <f ca="1">$K$315-EFEITO!$M$315*EFEITO!$Z$315</f>
        <v>4252.5868382620974</v>
      </c>
      <c r="O315" s="55">
        <f>$L$315-EFEITO!$O$315*EFEITO!$AA$315</f>
        <v>2118.0486743876536</v>
      </c>
      <c r="P315" s="39"/>
      <c r="Q315" s="39"/>
      <c r="R315" s="39"/>
      <c r="S315" s="39"/>
      <c r="T315" s="39"/>
      <c r="U315" s="39"/>
      <c r="V315" s="39"/>
      <c r="W315" s="39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1.25" customHeight="1" x14ac:dyDescent="0.2">
      <c r="A316" s="35" t="s">
        <v>48</v>
      </c>
      <c r="B316" s="35" t="s">
        <v>40</v>
      </c>
      <c r="C316" s="35" t="s">
        <v>23</v>
      </c>
      <c r="D316" s="35" t="s">
        <v>41</v>
      </c>
      <c r="E316" s="35" t="s">
        <v>50</v>
      </c>
      <c r="F316" s="35" t="s">
        <v>51</v>
      </c>
      <c r="G316" s="35" t="s">
        <v>25</v>
      </c>
      <c r="H316" s="35" t="s">
        <v>25</v>
      </c>
      <c r="I316" s="54">
        <v>44652</v>
      </c>
      <c r="J316" s="55">
        <f>EFEITO!$J$316*EFEITO!$Y$224</f>
        <v>0</v>
      </c>
      <c r="K316" s="55">
        <f ca="1">EFEITO!$L$316*EFEITO!$Z$224</f>
        <v>-126.18799207594112</v>
      </c>
      <c r="L316" s="55">
        <f>EFEITO!$N$316*EFEITO!$AA$224</f>
        <v>-62.849347821739514</v>
      </c>
      <c r="M316" s="55">
        <f>$J$316-EFEITO!$K$316*EFEITO!$Y$316</f>
        <v>0</v>
      </c>
      <c r="N316" s="55">
        <f ca="1">$K$316-EFEITO!$M$316*EFEITO!$Z$316</f>
        <v>-7.5712795245564735</v>
      </c>
      <c r="O316" s="55">
        <f>$L$316-EFEITO!$O$316*EFEITO!$AA$316</f>
        <v>-3.7709608693043677</v>
      </c>
      <c r="P316" s="39"/>
      <c r="Q316" s="39"/>
      <c r="R316" s="39"/>
      <c r="S316" s="39"/>
      <c r="T316" s="39"/>
      <c r="U316" s="39"/>
      <c r="V316" s="39"/>
      <c r="W316" s="39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1.25" customHeight="1" x14ac:dyDescent="0.2">
      <c r="A317" s="35" t="s">
        <v>27</v>
      </c>
      <c r="B317" s="35" t="s">
        <v>40</v>
      </c>
      <c r="C317" s="35" t="s">
        <v>23</v>
      </c>
      <c r="D317" s="35" t="s">
        <v>41</v>
      </c>
      <c r="E317" s="35" t="s">
        <v>50</v>
      </c>
      <c r="F317" s="35" t="s">
        <v>51</v>
      </c>
      <c r="G317" s="35" t="s">
        <v>25</v>
      </c>
      <c r="H317" s="35" t="s">
        <v>25</v>
      </c>
      <c r="I317" s="54">
        <v>44652</v>
      </c>
      <c r="J317" s="55">
        <f>EFEITO!$J$317*EFEITO!$Y$224</f>
        <v>0</v>
      </c>
      <c r="K317" s="55">
        <f ca="1">EFEITO!$L$317*EFEITO!$Z$224</f>
        <v>6835.1829041134779</v>
      </c>
      <c r="L317" s="55">
        <f>EFEITO!$N$317*EFEITO!$AA$224</f>
        <v>3404.3396736775576</v>
      </c>
      <c r="M317" s="55">
        <f>$J$317-EFEITO!$K$317*EFEITO!$Y$317</f>
        <v>0</v>
      </c>
      <c r="N317" s="55">
        <f ca="1">$K$317-EFEITO!$M$317*EFEITO!$Z$317</f>
        <v>410.11097424680884</v>
      </c>
      <c r="O317" s="55">
        <f>$L$317-EFEITO!$O$317*EFEITO!$AA$317</f>
        <v>204.26038042065375</v>
      </c>
      <c r="P317" s="39"/>
      <c r="Q317" s="39"/>
      <c r="R317" s="39"/>
      <c r="S317" s="39"/>
      <c r="T317" s="39"/>
      <c r="U317" s="39"/>
      <c r="V317" s="39"/>
      <c r="W317" s="39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1.25" customHeight="1" x14ac:dyDescent="0.2">
      <c r="A318" s="35" t="s">
        <v>27</v>
      </c>
      <c r="B318" s="35" t="s">
        <v>40</v>
      </c>
      <c r="C318" s="35" t="s">
        <v>23</v>
      </c>
      <c r="D318" s="35" t="s">
        <v>41</v>
      </c>
      <c r="E318" s="35" t="s">
        <v>50</v>
      </c>
      <c r="F318" s="35" t="s">
        <v>51</v>
      </c>
      <c r="G318" s="35" t="s">
        <v>25</v>
      </c>
      <c r="H318" s="35" t="s">
        <v>25</v>
      </c>
      <c r="I318" s="54">
        <v>44652</v>
      </c>
      <c r="J318" s="55">
        <f>EFEITO!$J$318*EFEITO!$Y$224</f>
        <v>0</v>
      </c>
      <c r="K318" s="55">
        <f ca="1">EFEITO!$L$318*EFEITO!$Z$224</f>
        <v>-6236.4337580388592</v>
      </c>
      <c r="L318" s="55">
        <f>EFEITO!$N$318*EFEITO!$AA$224</f>
        <v>-3106.1259314621607</v>
      </c>
      <c r="M318" s="55">
        <f>$J$318-EFEITO!$K$318*EFEITO!$Y$318</f>
        <v>0</v>
      </c>
      <c r="N318" s="55">
        <f ca="1">$K$318-EFEITO!$M$318*EFEITO!$Z$318</f>
        <v>-374.18602548233139</v>
      </c>
      <c r="O318" s="55">
        <f>$L$318-EFEITO!$O$318*EFEITO!$AA$318</f>
        <v>-186.36755588772985</v>
      </c>
      <c r="P318" s="39"/>
      <c r="Q318" s="39"/>
      <c r="R318" s="39"/>
      <c r="S318" s="39"/>
      <c r="T318" s="39"/>
      <c r="U318" s="39"/>
      <c r="V318" s="39"/>
      <c r="W318" s="39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1.25" customHeight="1" x14ac:dyDescent="0.2">
      <c r="A319" s="35" t="s">
        <v>21</v>
      </c>
      <c r="B319" s="35" t="s">
        <v>40</v>
      </c>
      <c r="C319" s="35" t="s">
        <v>23</v>
      </c>
      <c r="D319" s="35" t="s">
        <v>41</v>
      </c>
      <c r="E319" s="35" t="s">
        <v>50</v>
      </c>
      <c r="F319" s="35" t="s">
        <v>51</v>
      </c>
      <c r="G319" s="35" t="s">
        <v>25</v>
      </c>
      <c r="H319" s="35" t="s">
        <v>25</v>
      </c>
      <c r="I319" s="54">
        <v>44682</v>
      </c>
      <c r="J319" s="55">
        <f>EFEITO!$J$319*EFEITO!$Y$224</f>
        <v>0</v>
      </c>
      <c r="K319" s="55">
        <f ca="1">EFEITO!$L$319*EFEITO!$Z$224</f>
        <v>66539.271590329678</v>
      </c>
      <c r="L319" s="55">
        <f>EFEITO!$N$319*EFEITO!$AA$224</f>
        <v>33140.632125036776</v>
      </c>
      <c r="M319" s="55">
        <f>$J$319-EFEITO!$K$319*EFEITO!$Y$319</f>
        <v>0</v>
      </c>
      <c r="N319" s="55">
        <f ca="1">$K$319-EFEITO!$M$319*EFEITO!$Z$319</f>
        <v>3992.3562954197841</v>
      </c>
      <c r="O319" s="55">
        <f>$L$319-EFEITO!$O$319*EFEITO!$AA$319</f>
        <v>1988.4379275022075</v>
      </c>
      <c r="P319" s="39"/>
      <c r="Q319" s="39"/>
      <c r="R319" s="39"/>
      <c r="S319" s="39"/>
      <c r="T319" s="39"/>
      <c r="U319" s="39"/>
      <c r="V319" s="39"/>
      <c r="W319" s="39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1.25" customHeight="1" x14ac:dyDescent="0.2">
      <c r="A320" s="35" t="s">
        <v>27</v>
      </c>
      <c r="B320" s="35" t="s">
        <v>40</v>
      </c>
      <c r="C320" s="35" t="s">
        <v>23</v>
      </c>
      <c r="D320" s="35" t="s">
        <v>41</v>
      </c>
      <c r="E320" s="35" t="s">
        <v>50</v>
      </c>
      <c r="F320" s="35" t="s">
        <v>51</v>
      </c>
      <c r="G320" s="35" t="s">
        <v>25</v>
      </c>
      <c r="H320" s="35" t="s">
        <v>25</v>
      </c>
      <c r="I320" s="54">
        <v>44682</v>
      </c>
      <c r="J320" s="55">
        <f>EFEITO!$J$320*EFEITO!$Y$224</f>
        <v>0</v>
      </c>
      <c r="K320" s="55">
        <f ca="1">EFEITO!$L$320*EFEITO!$Z$224</f>
        <v>1660.187596427688</v>
      </c>
      <c r="L320" s="55">
        <f>EFEITO!$N$320*EFEITO!$AA$224</f>
        <v>826.87509311050496</v>
      </c>
      <c r="M320" s="55">
        <f>$J$320-EFEITO!$K$320*EFEITO!$Y$320</f>
        <v>0</v>
      </c>
      <c r="N320" s="55">
        <f ca="1">$K$320-EFEITO!$M$320*EFEITO!$Z$320</f>
        <v>99.611255785661342</v>
      </c>
      <c r="O320" s="55">
        <f>$L$320-EFEITO!$O$320*EFEITO!$AA$320</f>
        <v>49.612505586630277</v>
      </c>
      <c r="P320" s="39"/>
      <c r="Q320" s="39"/>
      <c r="R320" s="39"/>
      <c r="S320" s="39"/>
      <c r="T320" s="39"/>
      <c r="U320" s="39"/>
      <c r="V320" s="39"/>
      <c r="W320" s="39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1.25" customHeight="1" x14ac:dyDescent="0.2">
      <c r="A321" s="35" t="s">
        <v>27</v>
      </c>
      <c r="B321" s="35" t="s">
        <v>40</v>
      </c>
      <c r="C321" s="35" t="s">
        <v>23</v>
      </c>
      <c r="D321" s="35" t="s">
        <v>41</v>
      </c>
      <c r="E321" s="35" t="s">
        <v>50</v>
      </c>
      <c r="F321" s="35" t="s">
        <v>51</v>
      </c>
      <c r="G321" s="35" t="s">
        <v>25</v>
      </c>
      <c r="H321" s="35" t="s">
        <v>25</v>
      </c>
      <c r="I321" s="54">
        <v>44682</v>
      </c>
      <c r="J321" s="55">
        <f>EFEITO!$J$321*EFEITO!$Y$224</f>
        <v>0</v>
      </c>
      <c r="K321" s="55">
        <f ca="1">EFEITO!$L$321*EFEITO!$Z$224</f>
        <v>-4858.2376949237341</v>
      </c>
      <c r="L321" s="55">
        <f>EFEITO!$N$321*EFEITO!$AA$224</f>
        <v>-2419.6998911369715</v>
      </c>
      <c r="M321" s="55">
        <f>$J$321-EFEITO!$K$321*EFEITO!$Y$321</f>
        <v>0</v>
      </c>
      <c r="N321" s="55">
        <f ca="1">$K$321-EFEITO!$M$321*EFEITO!$Z$321</f>
        <v>-291.49426169542403</v>
      </c>
      <c r="O321" s="55">
        <f>$L$321-EFEITO!$O$321*EFEITO!$AA$321</f>
        <v>-145.18199346821802</v>
      </c>
      <c r="P321" s="39"/>
      <c r="Q321" s="39"/>
      <c r="R321" s="39"/>
      <c r="S321" s="39"/>
      <c r="T321" s="39"/>
      <c r="U321" s="39"/>
      <c r="V321" s="39"/>
      <c r="W321" s="39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1.25" customHeight="1" x14ac:dyDescent="0.2">
      <c r="A322" s="35" t="s">
        <v>21</v>
      </c>
      <c r="B322" s="35" t="s">
        <v>40</v>
      </c>
      <c r="C322" s="35" t="s">
        <v>23</v>
      </c>
      <c r="D322" s="35" t="s">
        <v>41</v>
      </c>
      <c r="E322" s="35" t="s">
        <v>50</v>
      </c>
      <c r="F322" s="35" t="s">
        <v>51</v>
      </c>
      <c r="G322" s="35" t="s">
        <v>25</v>
      </c>
      <c r="H322" s="35" t="s">
        <v>25</v>
      </c>
      <c r="I322" s="54">
        <v>44713</v>
      </c>
      <c r="J322" s="55">
        <f>EFEITO!$J$322*EFEITO!$Y$224</f>
        <v>0</v>
      </c>
      <c r="K322" s="55">
        <f ca="1">EFEITO!$L$322*EFEITO!$Z$224</f>
        <v>59372.308693445106</v>
      </c>
      <c r="L322" s="55">
        <f>EFEITO!$N$322*EFEITO!$AA$224</f>
        <v>29571.045696712266</v>
      </c>
      <c r="M322" s="55">
        <f>$J$322-EFEITO!$K$322*EFEITO!$Y$322</f>
        <v>0</v>
      </c>
      <c r="N322" s="55">
        <f ca="1">$K$322-EFEITO!$M$322*EFEITO!$Z$322</f>
        <v>3562.3385216067036</v>
      </c>
      <c r="O322" s="55">
        <f>$L$322-EFEITO!$O$322*EFEITO!$AA$322</f>
        <v>1774.2627418027369</v>
      </c>
      <c r="P322" s="39"/>
      <c r="Q322" s="39"/>
      <c r="R322" s="39"/>
      <c r="S322" s="39"/>
      <c r="T322" s="39"/>
      <c r="U322" s="39"/>
      <c r="V322" s="39"/>
      <c r="W322" s="39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1.25" customHeight="1" x14ac:dyDescent="0.2">
      <c r="A323" s="35" t="s">
        <v>48</v>
      </c>
      <c r="B323" s="35" t="s">
        <v>40</v>
      </c>
      <c r="C323" s="35" t="s">
        <v>23</v>
      </c>
      <c r="D323" s="35" t="s">
        <v>41</v>
      </c>
      <c r="E323" s="35" t="s">
        <v>50</v>
      </c>
      <c r="F323" s="35" t="s">
        <v>51</v>
      </c>
      <c r="G323" s="35" t="s">
        <v>25</v>
      </c>
      <c r="H323" s="35" t="s">
        <v>25</v>
      </c>
      <c r="I323" s="54">
        <v>44713</v>
      </c>
      <c r="J323" s="55">
        <f>EFEITO!$J$323*EFEITO!$Y$224</f>
        <v>0</v>
      </c>
      <c r="K323" s="55">
        <f ca="1">EFEITO!$L$323*EFEITO!$Z$224</f>
        <v>0.85842171480232066</v>
      </c>
      <c r="L323" s="55">
        <f>EFEITO!$N$323*EFEITO!$AA$224</f>
        <v>0.4275465838213573</v>
      </c>
      <c r="M323" s="55">
        <f>$J$323-EFEITO!$K$323*EFEITO!$Y$323</f>
        <v>0</v>
      </c>
      <c r="N323" s="55">
        <f ca="1">$K$323-EFEITO!$M$323*EFEITO!$Z$323</f>
        <v>5.1505302888139259E-2</v>
      </c>
      <c r="O323" s="55">
        <f>$L$323-EFEITO!$O$323*EFEITO!$AA$323</f>
        <v>2.5652795029281472E-2</v>
      </c>
      <c r="P323" s="39"/>
      <c r="Q323" s="39"/>
      <c r="R323" s="39"/>
      <c r="S323" s="39"/>
      <c r="T323" s="39"/>
      <c r="U323" s="39"/>
      <c r="V323" s="39"/>
      <c r="W323" s="39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1.25" customHeight="1" x14ac:dyDescent="0.2">
      <c r="A324" s="35" t="s">
        <v>27</v>
      </c>
      <c r="B324" s="35" t="s">
        <v>40</v>
      </c>
      <c r="C324" s="35" t="s">
        <v>23</v>
      </c>
      <c r="D324" s="35" t="s">
        <v>41</v>
      </c>
      <c r="E324" s="35" t="s">
        <v>50</v>
      </c>
      <c r="F324" s="35" t="s">
        <v>51</v>
      </c>
      <c r="G324" s="35" t="s">
        <v>25</v>
      </c>
      <c r="H324" s="35" t="s">
        <v>25</v>
      </c>
      <c r="I324" s="54">
        <v>44713</v>
      </c>
      <c r="J324" s="55">
        <f>EFEITO!$J$324*EFEITO!$Y$224</f>
        <v>0</v>
      </c>
      <c r="K324" s="55">
        <f ca="1">EFEITO!$L$324*EFEITO!$Z$224</f>
        <v>1338.2794533768179</v>
      </c>
      <c r="L324" s="55">
        <f>EFEITO!$N$324*EFEITO!$AA$224</f>
        <v>666.54512417749595</v>
      </c>
      <c r="M324" s="55">
        <f>$J$324-EFEITO!$K$324*EFEITO!$Y$324</f>
        <v>0</v>
      </c>
      <c r="N324" s="55">
        <f ca="1">$K$324-EFEITO!$M$324*EFEITO!$Z$324</f>
        <v>80.29676720260909</v>
      </c>
      <c r="O324" s="55">
        <f>$L$324-EFEITO!$O$324*EFEITO!$AA$324</f>
        <v>39.992707450649732</v>
      </c>
      <c r="P324" s="39"/>
      <c r="Q324" s="39"/>
      <c r="R324" s="39"/>
      <c r="S324" s="39"/>
      <c r="T324" s="39"/>
      <c r="U324" s="39"/>
      <c r="V324" s="39"/>
      <c r="W324" s="39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1.25" customHeight="1" x14ac:dyDescent="0.2">
      <c r="A325" s="35" t="s">
        <v>21</v>
      </c>
      <c r="B325" s="35" t="s">
        <v>40</v>
      </c>
      <c r="C325" s="35" t="s">
        <v>23</v>
      </c>
      <c r="D325" s="35" t="s">
        <v>41</v>
      </c>
      <c r="E325" s="35" t="s">
        <v>50</v>
      </c>
      <c r="F325" s="35" t="s">
        <v>51</v>
      </c>
      <c r="G325" s="35" t="s">
        <v>25</v>
      </c>
      <c r="H325" s="35" t="s">
        <v>25</v>
      </c>
      <c r="I325" s="54">
        <v>44743</v>
      </c>
      <c r="J325" s="55">
        <f>EFEITO!$J$325*EFEITO!$Y$224</f>
        <v>0</v>
      </c>
      <c r="K325" s="55">
        <f ca="1">EFEITO!$L$325*EFEITO!$Z$224</f>
        <v>45565.453832564577</v>
      </c>
      <c r="L325" s="55">
        <f>EFEITO!$N$325*EFEITO!$AA$224</f>
        <v>22694.386442529554</v>
      </c>
      <c r="M325" s="55">
        <f>$J$325-EFEITO!$K$325*EFEITO!$Y$325</f>
        <v>0</v>
      </c>
      <c r="N325" s="55">
        <f ca="1">$K$325-EFEITO!$M$325*EFEITO!$Z$325</f>
        <v>2733.9272299538716</v>
      </c>
      <c r="O325" s="55">
        <f>$L$325-EFEITO!$O$325*EFEITO!$AA$325</f>
        <v>1361.6631865517738</v>
      </c>
      <c r="P325" s="39"/>
      <c r="Q325" s="39"/>
      <c r="R325" s="39"/>
      <c r="S325" s="39"/>
      <c r="T325" s="39"/>
      <c r="U325" s="39"/>
      <c r="V325" s="39"/>
      <c r="W325" s="39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1.25" customHeight="1" x14ac:dyDescent="0.2">
      <c r="A326" s="35" t="s">
        <v>27</v>
      </c>
      <c r="B326" s="35" t="s">
        <v>40</v>
      </c>
      <c r="C326" s="35" t="s">
        <v>23</v>
      </c>
      <c r="D326" s="35" t="s">
        <v>41</v>
      </c>
      <c r="E326" s="35" t="s">
        <v>50</v>
      </c>
      <c r="F326" s="35" t="s">
        <v>51</v>
      </c>
      <c r="G326" s="35" t="s">
        <v>25</v>
      </c>
      <c r="H326" s="35" t="s">
        <v>25</v>
      </c>
      <c r="I326" s="54">
        <v>44743</v>
      </c>
      <c r="J326" s="55">
        <f>EFEITO!$J$326*EFEITO!$Y$224</f>
        <v>0</v>
      </c>
      <c r="K326" s="55">
        <f ca="1">EFEITO!$L$326*EFEITO!$Z$224</f>
        <v>2949.5370120607736</v>
      </c>
      <c r="L326" s="55">
        <f>EFEITO!$N$326*EFEITO!$AA$224</f>
        <v>1469.0500620101836</v>
      </c>
      <c r="M326" s="55">
        <f>$J$326-EFEITO!$K$326*EFEITO!$Y$326</f>
        <v>0</v>
      </c>
      <c r="N326" s="55">
        <f ca="1">$K$326-EFEITO!$M$326*EFEITO!$Z$326</f>
        <v>176.97222072364639</v>
      </c>
      <c r="O326" s="55">
        <f>$L$326-EFEITO!$O$326*EFEITO!$AA$326</f>
        <v>88.143003720610977</v>
      </c>
      <c r="P326" s="39"/>
      <c r="Q326" s="39"/>
      <c r="R326" s="39"/>
      <c r="S326" s="39"/>
      <c r="T326" s="39"/>
      <c r="U326" s="39"/>
      <c r="V326" s="39"/>
      <c r="W326" s="39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1.25" customHeight="1" x14ac:dyDescent="0.2">
      <c r="A327" s="35" t="s">
        <v>53</v>
      </c>
      <c r="B327" s="35" t="s">
        <v>40</v>
      </c>
      <c r="C327" s="35" t="s">
        <v>23</v>
      </c>
      <c r="D327" s="35" t="s">
        <v>41</v>
      </c>
      <c r="E327" s="35" t="s">
        <v>50</v>
      </c>
      <c r="F327" s="35" t="s">
        <v>51</v>
      </c>
      <c r="G327" s="35" t="s">
        <v>25</v>
      </c>
      <c r="H327" s="35" t="s">
        <v>25</v>
      </c>
      <c r="I327" s="54">
        <v>44774</v>
      </c>
      <c r="J327" s="55">
        <f>EFEITO!$J$327*EFEITO!$Y$224</f>
        <v>0</v>
      </c>
      <c r="K327" s="55">
        <f ca="1">EFEITO!$L$327*EFEITO!$Z$224</f>
        <v>45565.453832564577</v>
      </c>
      <c r="L327" s="55">
        <f>EFEITO!$N$327*EFEITO!$AA$224</f>
        <v>22694.386442529554</v>
      </c>
      <c r="M327" s="55">
        <f>$J$327-EFEITO!$K$327*EFEITO!$Y$327</f>
        <v>0</v>
      </c>
      <c r="N327" s="55">
        <f ca="1">$K$327-EFEITO!$M$327*EFEITO!$Z$327</f>
        <v>2733.9272299538716</v>
      </c>
      <c r="O327" s="55">
        <f>$L$327-EFEITO!$O$327*EFEITO!$AA$327</f>
        <v>1361.6631865517738</v>
      </c>
      <c r="P327" s="39"/>
      <c r="Q327" s="39"/>
      <c r="R327" s="39"/>
      <c r="S327" s="39"/>
      <c r="T327" s="39"/>
      <c r="U327" s="39"/>
      <c r="V327" s="39"/>
      <c r="W327" s="39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1.25" customHeight="1" x14ac:dyDescent="0.2">
      <c r="A328" s="35" t="s">
        <v>53</v>
      </c>
      <c r="B328" s="35" t="s">
        <v>40</v>
      </c>
      <c r="C328" s="35" t="s">
        <v>23</v>
      </c>
      <c r="D328" s="35" t="s">
        <v>41</v>
      </c>
      <c r="E328" s="35" t="s">
        <v>50</v>
      </c>
      <c r="F328" s="35" t="s">
        <v>51</v>
      </c>
      <c r="G328" s="35" t="s">
        <v>25</v>
      </c>
      <c r="H328" s="35" t="s">
        <v>25</v>
      </c>
      <c r="I328" s="54">
        <v>44774</v>
      </c>
      <c r="J328" s="55">
        <f>EFEITO!$J$328*EFEITO!$Y$224</f>
        <v>0</v>
      </c>
      <c r="K328" s="55">
        <f ca="1">EFEITO!$L$328*EFEITO!$Z$224</f>
        <v>2949.5370120607736</v>
      </c>
      <c r="L328" s="55">
        <f>EFEITO!$N$328*EFEITO!$AA$224</f>
        <v>1469.0500620101836</v>
      </c>
      <c r="M328" s="55">
        <f>$J$328-EFEITO!$K$328*EFEITO!$Y$328</f>
        <v>0</v>
      </c>
      <c r="N328" s="55">
        <f ca="1">$K$328-EFEITO!$M$328*EFEITO!$Z$328</f>
        <v>176.97222072364639</v>
      </c>
      <c r="O328" s="55">
        <f>$L$328-EFEITO!$O$328*EFEITO!$AA$328</f>
        <v>88.143003720610977</v>
      </c>
      <c r="P328" s="39"/>
      <c r="Q328" s="39"/>
      <c r="R328" s="39"/>
      <c r="S328" s="39"/>
      <c r="T328" s="39"/>
      <c r="U328" s="39"/>
      <c r="V328" s="39"/>
      <c r="W328" s="39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1.25" customHeight="1" x14ac:dyDescent="0.2">
      <c r="A329" s="35" t="s">
        <v>21</v>
      </c>
      <c r="B329" s="35" t="s">
        <v>40</v>
      </c>
      <c r="C329" s="35" t="s">
        <v>23</v>
      </c>
      <c r="D329" s="35" t="s">
        <v>41</v>
      </c>
      <c r="E329" s="35" t="s">
        <v>50</v>
      </c>
      <c r="F329" s="35" t="s">
        <v>52</v>
      </c>
      <c r="G329" s="35" t="s">
        <v>25</v>
      </c>
      <c r="H329" s="35" t="s">
        <v>25</v>
      </c>
      <c r="I329" s="54">
        <v>44440</v>
      </c>
      <c r="J329" s="55">
        <f>EFEITO!$J$329*EFEITO!$Y$224</f>
        <v>0</v>
      </c>
      <c r="K329" s="55">
        <f ca="1">EFEITO!$L$329*EFEITO!$Z$224</f>
        <v>60844.501934331078</v>
      </c>
      <c r="L329" s="55">
        <f>EFEITO!$N$329*EFEITO!$AA$224</f>
        <v>30304.288087965891</v>
      </c>
      <c r="M329" s="55">
        <f>$J$329-EFEITO!$K$329*EFEITO!$Y$329</f>
        <v>0</v>
      </c>
      <c r="N329" s="55">
        <f ca="1">$K$329-EFEITO!$M$329*EFEITO!$Z$329</f>
        <v>37966.969207022586</v>
      </c>
      <c r="O329" s="55">
        <f>$L$329-EFEITO!$O$329*EFEITO!$AA$329</f>
        <v>18909.875766890713</v>
      </c>
      <c r="P329" s="39"/>
      <c r="Q329" s="39"/>
      <c r="R329" s="39"/>
      <c r="S329" s="39"/>
      <c r="T329" s="39"/>
      <c r="U329" s="39"/>
      <c r="V329" s="39"/>
      <c r="W329" s="39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1.25" customHeight="1" x14ac:dyDescent="0.2">
      <c r="A330" s="35" t="s">
        <v>27</v>
      </c>
      <c r="B330" s="35" t="s">
        <v>40</v>
      </c>
      <c r="C330" s="35" t="s">
        <v>23</v>
      </c>
      <c r="D330" s="35" t="s">
        <v>41</v>
      </c>
      <c r="E330" s="35" t="s">
        <v>50</v>
      </c>
      <c r="F330" s="35" t="s">
        <v>52</v>
      </c>
      <c r="G330" s="35" t="s">
        <v>25</v>
      </c>
      <c r="H330" s="35" t="s">
        <v>25</v>
      </c>
      <c r="I330" s="54">
        <v>44440</v>
      </c>
      <c r="J330" s="55">
        <f>EFEITO!$J$330*EFEITO!$Y$224</f>
        <v>0</v>
      </c>
      <c r="K330" s="55">
        <f ca="1">EFEITO!$L$330*EFEITO!$Z$224</f>
        <v>2481.6971774935087</v>
      </c>
      <c r="L330" s="55">
        <f>EFEITO!$N$330*EFEITO!$AA$224</f>
        <v>1236.0371738275439</v>
      </c>
      <c r="M330" s="55">
        <f>$J$330-EFEITO!$K$330*EFEITO!$Y$330</f>
        <v>0</v>
      </c>
      <c r="N330" s="55">
        <f ca="1">$K$330-EFEITO!$M$330*EFEITO!$Z$330</f>
        <v>148.90183064961047</v>
      </c>
      <c r="O330" s="55">
        <f>$L$330-EFEITO!$O$330*EFEITO!$AA$330</f>
        <v>74.162230429652709</v>
      </c>
      <c r="P330" s="39"/>
      <c r="Q330" s="39"/>
      <c r="R330" s="39"/>
      <c r="S330" s="39"/>
      <c r="T330" s="39"/>
      <c r="U330" s="39"/>
      <c r="V330" s="39"/>
      <c r="W330" s="39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1.25" customHeight="1" x14ac:dyDescent="0.2">
      <c r="A331" s="35" t="s">
        <v>21</v>
      </c>
      <c r="B331" s="35" t="s">
        <v>40</v>
      </c>
      <c r="C331" s="35" t="s">
        <v>23</v>
      </c>
      <c r="D331" s="35" t="s">
        <v>41</v>
      </c>
      <c r="E331" s="35" t="s">
        <v>50</v>
      </c>
      <c r="F331" s="35" t="s">
        <v>52</v>
      </c>
      <c r="G331" s="35" t="s">
        <v>25</v>
      </c>
      <c r="H331" s="35" t="s">
        <v>25</v>
      </c>
      <c r="I331" s="54">
        <v>44470</v>
      </c>
      <c r="J331" s="55">
        <f>EFEITO!$J$331*EFEITO!$Y$224</f>
        <v>0</v>
      </c>
      <c r="K331" s="55">
        <f ca="1">EFEITO!$L$331*EFEITO!$Z$224</f>
        <v>65603.591921195155</v>
      </c>
      <c r="L331" s="55">
        <f>EFEITO!$N$331*EFEITO!$AA$224</f>
        <v>32674.606348671499</v>
      </c>
      <c r="M331" s="55">
        <f>$J$331-EFEITO!$K$331*EFEITO!$Y$331</f>
        <v>0</v>
      </c>
      <c r="N331" s="55">
        <f ca="1">$K$331-EFEITO!$M$331*EFEITO!$Z$331</f>
        <v>40936.641358825778</v>
      </c>
      <c r="O331" s="55">
        <f>$L$331-EFEITO!$O$331*EFEITO!$AA$331</f>
        <v>20388.954361571014</v>
      </c>
      <c r="P331" s="39"/>
      <c r="Q331" s="39"/>
      <c r="R331" s="39"/>
      <c r="S331" s="39"/>
      <c r="T331" s="39"/>
      <c r="U331" s="39"/>
      <c r="V331" s="39"/>
      <c r="W331" s="39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1.25" customHeight="1" x14ac:dyDescent="0.2">
      <c r="A332" s="35" t="s">
        <v>27</v>
      </c>
      <c r="B332" s="35" t="s">
        <v>40</v>
      </c>
      <c r="C332" s="35" t="s">
        <v>23</v>
      </c>
      <c r="D332" s="35" t="s">
        <v>41</v>
      </c>
      <c r="E332" s="35" t="s">
        <v>50</v>
      </c>
      <c r="F332" s="35" t="s">
        <v>52</v>
      </c>
      <c r="G332" s="35" t="s">
        <v>25</v>
      </c>
      <c r="H332" s="35" t="s">
        <v>25</v>
      </c>
      <c r="I332" s="54">
        <v>44470</v>
      </c>
      <c r="J332" s="55">
        <f>EFEITO!$J$332*EFEITO!$Y$224</f>
        <v>0</v>
      </c>
      <c r="K332" s="55">
        <f ca="1">EFEITO!$L$332*EFEITO!$Z$224</f>
        <v>2550.8001255350955</v>
      </c>
      <c r="L332" s="55">
        <f>EFEITO!$N$332*EFEITO!$AA$224</f>
        <v>1270.4546738251631</v>
      </c>
      <c r="M332" s="55">
        <f>$J$332-EFEITO!$K$332*EFEITO!$Y$332</f>
        <v>0</v>
      </c>
      <c r="N332" s="55">
        <f ca="1">$K$332-EFEITO!$M$332*EFEITO!$Z$332</f>
        <v>153.04800753210566</v>
      </c>
      <c r="O332" s="55">
        <f>$L$332-EFEITO!$O$332*EFEITO!$AA$332</f>
        <v>76.227280429509847</v>
      </c>
      <c r="P332" s="39"/>
      <c r="Q332" s="39"/>
      <c r="R332" s="39"/>
      <c r="S332" s="39"/>
      <c r="T332" s="39"/>
      <c r="U332" s="39"/>
      <c r="V332" s="39"/>
      <c r="W332" s="39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1.25" customHeight="1" x14ac:dyDescent="0.2">
      <c r="A333" s="35" t="s">
        <v>21</v>
      </c>
      <c r="B333" s="35" t="s">
        <v>40</v>
      </c>
      <c r="C333" s="35" t="s">
        <v>23</v>
      </c>
      <c r="D333" s="35" t="s">
        <v>41</v>
      </c>
      <c r="E333" s="35" t="s">
        <v>50</v>
      </c>
      <c r="F333" s="35" t="s">
        <v>52</v>
      </c>
      <c r="G333" s="35" t="s">
        <v>25</v>
      </c>
      <c r="H333" s="35" t="s">
        <v>25</v>
      </c>
      <c r="I333" s="54">
        <v>44501</v>
      </c>
      <c r="J333" s="55">
        <f>EFEITO!$J$333*EFEITO!$Y$224</f>
        <v>0</v>
      </c>
      <c r="K333" s="55">
        <f ca="1">EFEITO!$L$333*EFEITO!$Z$224</f>
        <v>69099.943565584996</v>
      </c>
      <c r="L333" s="55">
        <f>EFEITO!$N$333*EFEITO!$AA$224</f>
        <v>34416.003584575883</v>
      </c>
      <c r="M333" s="55">
        <f>$J$333-EFEITO!$K$333*EFEITO!$Y$333</f>
        <v>0</v>
      </c>
      <c r="N333" s="55">
        <f ca="1">$K$333-EFEITO!$M$333*EFEITO!$Z$333</f>
        <v>43118.364784925041</v>
      </c>
      <c r="O333" s="55">
        <f>$L$333-EFEITO!$O$333*EFEITO!$AA$333</f>
        <v>21475.586236775351</v>
      </c>
      <c r="P333" s="39"/>
      <c r="Q333" s="39"/>
      <c r="R333" s="39"/>
      <c r="S333" s="39"/>
      <c r="T333" s="39"/>
      <c r="U333" s="39"/>
      <c r="V333" s="39"/>
      <c r="W333" s="39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1.25" customHeight="1" x14ac:dyDescent="0.2">
      <c r="A334" s="35" t="s">
        <v>27</v>
      </c>
      <c r="B334" s="35" t="s">
        <v>40</v>
      </c>
      <c r="C334" s="35" t="s">
        <v>23</v>
      </c>
      <c r="D334" s="35" t="s">
        <v>41</v>
      </c>
      <c r="E334" s="35" t="s">
        <v>50</v>
      </c>
      <c r="F334" s="35" t="s">
        <v>52</v>
      </c>
      <c r="G334" s="35" t="s">
        <v>25</v>
      </c>
      <c r="H334" s="35" t="s">
        <v>25</v>
      </c>
      <c r="I334" s="54">
        <v>44501</v>
      </c>
      <c r="J334" s="55">
        <f>EFEITO!$J$334*EFEITO!$Y$224</f>
        <v>0</v>
      </c>
      <c r="K334" s="55">
        <f ca="1">EFEITO!$L$334*EFEITO!$Z$224</f>
        <v>2692.4397084774782</v>
      </c>
      <c r="L334" s="55">
        <f>EFEITO!$N$334*EFEITO!$AA$224</f>
        <v>1340.999860155687</v>
      </c>
      <c r="M334" s="55">
        <f>$J$334-EFEITO!$K$334*EFEITO!$Y$334</f>
        <v>0</v>
      </c>
      <c r="N334" s="55">
        <f ca="1">$K$334-EFEITO!$M$334*EFEITO!$Z$334</f>
        <v>161.54638250864855</v>
      </c>
      <c r="O334" s="55">
        <f>$L$334-EFEITO!$O$334*EFEITO!$AA$334</f>
        <v>80.459991609341159</v>
      </c>
      <c r="P334" s="39"/>
      <c r="Q334" s="39"/>
      <c r="R334" s="39"/>
      <c r="S334" s="39"/>
      <c r="T334" s="39"/>
      <c r="U334" s="39"/>
      <c r="V334" s="39"/>
      <c r="W334" s="39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1.25" customHeight="1" x14ac:dyDescent="0.2">
      <c r="A335" s="35" t="s">
        <v>21</v>
      </c>
      <c r="B335" s="35" t="s">
        <v>40</v>
      </c>
      <c r="C335" s="35" t="s">
        <v>23</v>
      </c>
      <c r="D335" s="35" t="s">
        <v>41</v>
      </c>
      <c r="E335" s="35" t="s">
        <v>50</v>
      </c>
      <c r="F335" s="35" t="s">
        <v>52</v>
      </c>
      <c r="G335" s="35" t="s">
        <v>25</v>
      </c>
      <c r="H335" s="35" t="s">
        <v>25</v>
      </c>
      <c r="I335" s="54">
        <v>44531</v>
      </c>
      <c r="J335" s="55">
        <f>EFEITO!$J$335*EFEITO!$Y$224</f>
        <v>0</v>
      </c>
      <c r="K335" s="55">
        <f ca="1">EFEITO!$L$335*EFEITO!$Z$224</f>
        <v>59241.39938193775</v>
      </c>
      <c r="L335" s="55">
        <f>EFEITO!$N$335*EFEITO!$AA$224</f>
        <v>29505.844842679508</v>
      </c>
      <c r="M335" s="55">
        <f>$J$335-EFEITO!$K$335*EFEITO!$Y$335</f>
        <v>0</v>
      </c>
      <c r="N335" s="55">
        <f ca="1">$K$335-EFEITO!$M$335*EFEITO!$Z$335</f>
        <v>36966.633214329151</v>
      </c>
      <c r="O335" s="55">
        <f>$L$335-EFEITO!$O$335*EFEITO!$AA$335</f>
        <v>18411.647181832013</v>
      </c>
      <c r="P335" s="39"/>
      <c r="Q335" s="39"/>
      <c r="R335" s="39"/>
      <c r="S335" s="39"/>
      <c r="T335" s="39"/>
      <c r="U335" s="39"/>
      <c r="V335" s="39"/>
      <c r="W335" s="39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1.25" customHeight="1" x14ac:dyDescent="0.2">
      <c r="A336" s="35" t="s">
        <v>27</v>
      </c>
      <c r="B336" s="35" t="s">
        <v>40</v>
      </c>
      <c r="C336" s="35" t="s">
        <v>23</v>
      </c>
      <c r="D336" s="35" t="s">
        <v>41</v>
      </c>
      <c r="E336" s="35" t="s">
        <v>50</v>
      </c>
      <c r="F336" s="35" t="s">
        <v>52</v>
      </c>
      <c r="G336" s="35" t="s">
        <v>25</v>
      </c>
      <c r="H336" s="35" t="s">
        <v>25</v>
      </c>
      <c r="I336" s="54">
        <v>44531</v>
      </c>
      <c r="J336" s="55">
        <f>EFEITO!$J$336*EFEITO!$Y$224</f>
        <v>0</v>
      </c>
      <c r="K336" s="55">
        <f ca="1">EFEITO!$L$336*EFEITO!$Z$224</f>
        <v>3089.4597515735518</v>
      </c>
      <c r="L336" s="55">
        <f>EFEITO!$N$336*EFEITO!$AA$224</f>
        <v>1538.740155173065</v>
      </c>
      <c r="M336" s="55">
        <f>$J$336-EFEITO!$K$336*EFEITO!$Y$336</f>
        <v>0</v>
      </c>
      <c r="N336" s="55">
        <f ca="1">$K$336-EFEITO!$M$336*EFEITO!$Z$336</f>
        <v>185.36758509441279</v>
      </c>
      <c r="O336" s="55">
        <f>$L$336-EFEITO!$O$336*EFEITO!$AA$336</f>
        <v>92.324409310383999</v>
      </c>
      <c r="P336" s="39"/>
      <c r="Q336" s="39"/>
      <c r="R336" s="39"/>
      <c r="S336" s="39"/>
      <c r="T336" s="39"/>
      <c r="U336" s="39"/>
      <c r="V336" s="39"/>
      <c r="W336" s="39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1.25" customHeight="1" x14ac:dyDescent="0.2">
      <c r="A337" s="35" t="s">
        <v>21</v>
      </c>
      <c r="B337" s="35" t="s">
        <v>40</v>
      </c>
      <c r="C337" s="35" t="s">
        <v>23</v>
      </c>
      <c r="D337" s="35" t="s">
        <v>41</v>
      </c>
      <c r="E337" s="35" t="s">
        <v>50</v>
      </c>
      <c r="F337" s="35" t="s">
        <v>52</v>
      </c>
      <c r="G337" s="35" t="s">
        <v>25</v>
      </c>
      <c r="H337" s="35" t="s">
        <v>25</v>
      </c>
      <c r="I337" s="54">
        <v>44562</v>
      </c>
      <c r="J337" s="55">
        <f>EFEITO!$J$337*EFEITO!$Y$224</f>
        <v>0</v>
      </c>
      <c r="K337" s="55">
        <f ca="1">EFEITO!$L$337*EFEITO!$Z$224</f>
        <v>61749.707632590129</v>
      </c>
      <c r="L337" s="55">
        <f>EFEITO!$N$337*EFEITO!$AA$224</f>
        <v>30755.135960605512</v>
      </c>
      <c r="M337" s="55">
        <f>$J$337-EFEITO!$K$337*EFEITO!$Y$337</f>
        <v>0</v>
      </c>
      <c r="N337" s="55">
        <f ca="1">$K$337-EFEITO!$M$337*EFEITO!$Z$337</f>
        <v>38531.817562736236</v>
      </c>
      <c r="O337" s="55">
        <f>$L$337-EFEITO!$O$337*EFEITO!$AA$337</f>
        <v>19191.204839417842</v>
      </c>
      <c r="P337" s="39"/>
      <c r="Q337" s="39"/>
      <c r="R337" s="39"/>
      <c r="S337" s="39"/>
      <c r="T337" s="39"/>
      <c r="U337" s="39"/>
      <c r="V337" s="39"/>
      <c r="W337" s="39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1.25" customHeight="1" x14ac:dyDescent="0.2">
      <c r="A338" s="35" t="s">
        <v>27</v>
      </c>
      <c r="B338" s="35" t="s">
        <v>40</v>
      </c>
      <c r="C338" s="35" t="s">
        <v>23</v>
      </c>
      <c r="D338" s="35" t="s">
        <v>41</v>
      </c>
      <c r="E338" s="35" t="s">
        <v>50</v>
      </c>
      <c r="F338" s="35" t="s">
        <v>52</v>
      </c>
      <c r="G338" s="35" t="s">
        <v>25</v>
      </c>
      <c r="H338" s="35" t="s">
        <v>25</v>
      </c>
      <c r="I338" s="54">
        <v>44562</v>
      </c>
      <c r="J338" s="55">
        <f>EFEITO!$J$338*EFEITO!$Y$224</f>
        <v>0</v>
      </c>
      <c r="K338" s="55">
        <f ca="1">EFEITO!$L$338*EFEITO!$Z$224</f>
        <v>2817.3400679812162</v>
      </c>
      <c r="L338" s="55">
        <f>EFEITO!$N$338*EFEITO!$AA$224</f>
        <v>1403.2078881016946</v>
      </c>
      <c r="M338" s="55">
        <f>$J$338-EFEITO!$K$338*EFEITO!$Y$338</f>
        <v>0</v>
      </c>
      <c r="N338" s="55">
        <f ca="1">$K$338-EFEITO!$M$338*EFEITO!$Z$338</f>
        <v>169.04040407887305</v>
      </c>
      <c r="O338" s="55">
        <f>$L$338-EFEITO!$O$338*EFEITO!$AA$338</f>
        <v>84.192473286101631</v>
      </c>
      <c r="P338" s="39"/>
      <c r="Q338" s="39"/>
      <c r="R338" s="39"/>
      <c r="S338" s="39"/>
      <c r="T338" s="39"/>
      <c r="U338" s="39"/>
      <c r="V338" s="39"/>
      <c r="W338" s="39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1.25" customHeight="1" x14ac:dyDescent="0.2">
      <c r="A339" s="35" t="s">
        <v>21</v>
      </c>
      <c r="B339" s="35" t="s">
        <v>40</v>
      </c>
      <c r="C339" s="35" t="s">
        <v>23</v>
      </c>
      <c r="D339" s="35" t="s">
        <v>41</v>
      </c>
      <c r="E339" s="35" t="s">
        <v>50</v>
      </c>
      <c r="F339" s="35" t="s">
        <v>52</v>
      </c>
      <c r="G339" s="35" t="s">
        <v>25</v>
      </c>
      <c r="H339" s="35" t="s">
        <v>25</v>
      </c>
      <c r="I339" s="54">
        <v>44593</v>
      </c>
      <c r="J339" s="55">
        <f>EFEITO!$J$339*EFEITO!$Y$224</f>
        <v>0</v>
      </c>
      <c r="K339" s="55">
        <f ca="1">EFEITO!$L$339*EFEITO!$Z$224</f>
        <v>72297.564453223647</v>
      </c>
      <c r="L339" s="55">
        <f>EFEITO!$N$339*EFEITO!$AA$224</f>
        <v>36008.614609310447</v>
      </c>
      <c r="M339" s="55">
        <f>$J$339-EFEITO!$K$339*EFEITO!$Y$339</f>
        <v>0</v>
      </c>
      <c r="N339" s="55">
        <f ca="1">$K$339-EFEITO!$M$339*EFEITO!$Z$339</f>
        <v>45113.680218811554</v>
      </c>
      <c r="O339" s="55">
        <f>$L$339-EFEITO!$O$339*EFEITO!$AA$339</f>
        <v>22469.375516209722</v>
      </c>
      <c r="P339" s="39"/>
      <c r="Q339" s="39"/>
      <c r="R339" s="39"/>
      <c r="S339" s="39"/>
      <c r="T339" s="39"/>
      <c r="U339" s="39"/>
      <c r="V339" s="39"/>
      <c r="W339" s="39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1.25" customHeight="1" x14ac:dyDescent="0.2">
      <c r="A340" s="35" t="s">
        <v>27</v>
      </c>
      <c r="B340" s="35" t="s">
        <v>40</v>
      </c>
      <c r="C340" s="35" t="s">
        <v>23</v>
      </c>
      <c r="D340" s="35" t="s">
        <v>41</v>
      </c>
      <c r="E340" s="35" t="s">
        <v>50</v>
      </c>
      <c r="F340" s="35" t="s">
        <v>52</v>
      </c>
      <c r="G340" s="35" t="s">
        <v>25</v>
      </c>
      <c r="H340" s="35" t="s">
        <v>25</v>
      </c>
      <c r="I340" s="54">
        <v>44593</v>
      </c>
      <c r="J340" s="55">
        <f>EFEITO!$J$340*EFEITO!$Y$224</f>
        <v>0</v>
      </c>
      <c r="K340" s="55">
        <f ca="1">EFEITO!$L$340*EFEITO!$Z$224</f>
        <v>1789.8092753628384</v>
      </c>
      <c r="L340" s="55">
        <f>EFEITO!$N$340*EFEITO!$AA$224</f>
        <v>891.43462726752989</v>
      </c>
      <c r="M340" s="55">
        <f>$J$340-EFEITO!$K$340*EFEITO!$Y$340</f>
        <v>0</v>
      </c>
      <c r="N340" s="55">
        <f ca="1">$K$340-EFEITO!$M$340*EFEITO!$Z$340</f>
        <v>107.3885565217704</v>
      </c>
      <c r="O340" s="55">
        <f>$L$340-EFEITO!$O$340*EFEITO!$AA$340</f>
        <v>53.486077636051732</v>
      </c>
      <c r="P340" s="39"/>
      <c r="Q340" s="39"/>
      <c r="R340" s="39"/>
      <c r="S340" s="39"/>
      <c r="T340" s="39"/>
      <c r="U340" s="39"/>
      <c r="V340" s="39"/>
      <c r="W340" s="39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1.25" customHeight="1" x14ac:dyDescent="0.2">
      <c r="A341" s="35" t="s">
        <v>21</v>
      </c>
      <c r="B341" s="35" t="s">
        <v>40</v>
      </c>
      <c r="C341" s="35" t="s">
        <v>23</v>
      </c>
      <c r="D341" s="35" t="s">
        <v>41</v>
      </c>
      <c r="E341" s="35" t="s">
        <v>50</v>
      </c>
      <c r="F341" s="35" t="s">
        <v>52</v>
      </c>
      <c r="G341" s="35" t="s">
        <v>25</v>
      </c>
      <c r="H341" s="35" t="s">
        <v>25</v>
      </c>
      <c r="I341" s="54">
        <v>44621</v>
      </c>
      <c r="J341" s="55">
        <f>EFEITO!$J$341*EFEITO!$Y$224</f>
        <v>0</v>
      </c>
      <c r="K341" s="55">
        <f ca="1">EFEITO!$L$341*EFEITO!$Z$224</f>
        <v>69002.083490097531</v>
      </c>
      <c r="L341" s="55">
        <f>EFEITO!$N$341*EFEITO!$AA$224</f>
        <v>34367.263274020246</v>
      </c>
      <c r="M341" s="55">
        <f>$J$341-EFEITO!$K$341*EFEITO!$Y$341</f>
        <v>0</v>
      </c>
      <c r="N341" s="55">
        <f ca="1">$K$341-EFEITO!$M$341*EFEITO!$Z$341</f>
        <v>43057.300097820858</v>
      </c>
      <c r="O341" s="55">
        <f>$L$341-EFEITO!$O$341*EFEITO!$AA$341</f>
        <v>21445.172282988635</v>
      </c>
      <c r="P341" s="39"/>
      <c r="Q341" s="39"/>
      <c r="R341" s="39"/>
      <c r="S341" s="39"/>
      <c r="T341" s="39"/>
      <c r="U341" s="39"/>
      <c r="V341" s="39"/>
      <c r="W341" s="39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1.25" customHeight="1" x14ac:dyDescent="0.2">
      <c r="A342" s="35" t="s">
        <v>27</v>
      </c>
      <c r="B342" s="35" t="s">
        <v>40</v>
      </c>
      <c r="C342" s="35" t="s">
        <v>23</v>
      </c>
      <c r="D342" s="35" t="s">
        <v>41</v>
      </c>
      <c r="E342" s="35" t="s">
        <v>50</v>
      </c>
      <c r="F342" s="35" t="s">
        <v>52</v>
      </c>
      <c r="G342" s="35" t="s">
        <v>25</v>
      </c>
      <c r="H342" s="35" t="s">
        <v>25</v>
      </c>
      <c r="I342" s="54">
        <v>44621</v>
      </c>
      <c r="J342" s="55">
        <f>EFEITO!$J$342*EFEITO!$Y$224</f>
        <v>0</v>
      </c>
      <c r="K342" s="55">
        <f ca="1">EFEITO!$L$342*EFEITO!$Z$224</f>
        <v>4540.1924495894737</v>
      </c>
      <c r="L342" s="55">
        <f>EFEITO!$N$342*EFEITO!$AA$224</f>
        <v>2261.2938818311586</v>
      </c>
      <c r="M342" s="55">
        <f>$J$342-EFEITO!$K$342*EFEITO!$Y$342</f>
        <v>0</v>
      </c>
      <c r="N342" s="55">
        <f ca="1">$K$342-EFEITO!$M$342*EFEITO!$Z$342</f>
        <v>272.41154697536876</v>
      </c>
      <c r="O342" s="55">
        <f>$L$342-EFEITO!$O$342*EFEITO!$AA$342</f>
        <v>135.67763290986977</v>
      </c>
      <c r="P342" s="39"/>
      <c r="Q342" s="39"/>
      <c r="R342" s="39"/>
      <c r="S342" s="39"/>
      <c r="T342" s="39"/>
      <c r="U342" s="39"/>
      <c r="V342" s="39"/>
      <c r="W342" s="39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1.25" customHeight="1" x14ac:dyDescent="0.2">
      <c r="A343" s="35" t="s">
        <v>21</v>
      </c>
      <c r="B343" s="35" t="s">
        <v>40</v>
      </c>
      <c r="C343" s="35" t="s">
        <v>23</v>
      </c>
      <c r="D343" s="35" t="s">
        <v>41</v>
      </c>
      <c r="E343" s="35" t="s">
        <v>50</v>
      </c>
      <c r="F343" s="35" t="s">
        <v>52</v>
      </c>
      <c r="G343" s="35" t="s">
        <v>25</v>
      </c>
      <c r="H343" s="35" t="s">
        <v>25</v>
      </c>
      <c r="I343" s="54">
        <v>44652</v>
      </c>
      <c r="J343" s="55">
        <f>EFEITO!$J$343*EFEITO!$Y$224</f>
        <v>0</v>
      </c>
      <c r="K343" s="55">
        <f ca="1">EFEITO!$L$343*EFEITO!$Z$224</f>
        <v>66511.802095456005</v>
      </c>
      <c r="L343" s="55">
        <f>EFEITO!$N$343*EFEITO!$AA$224</f>
        <v>33126.950634354493</v>
      </c>
      <c r="M343" s="55">
        <f>$J$343-EFEITO!$K$343*EFEITO!$Y$343</f>
        <v>0</v>
      </c>
      <c r="N343" s="55">
        <f ca="1">$K$343-EFEITO!$M$343*EFEITO!$Z$343</f>
        <v>41503.364507564547</v>
      </c>
      <c r="O343" s="55">
        <f>$L$343-EFEITO!$O$343*EFEITO!$AA$343</f>
        <v>20671.217195837206</v>
      </c>
      <c r="P343" s="39"/>
      <c r="Q343" s="39"/>
      <c r="R343" s="39"/>
      <c r="S343" s="39"/>
      <c r="T343" s="39"/>
      <c r="U343" s="39"/>
      <c r="V343" s="39"/>
      <c r="W343" s="39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1.25" customHeight="1" x14ac:dyDescent="0.2">
      <c r="A344" s="35" t="s">
        <v>48</v>
      </c>
      <c r="B344" s="35" t="s">
        <v>40</v>
      </c>
      <c r="C344" s="35" t="s">
        <v>23</v>
      </c>
      <c r="D344" s="35" t="s">
        <v>41</v>
      </c>
      <c r="E344" s="35" t="s">
        <v>50</v>
      </c>
      <c r="F344" s="35" t="s">
        <v>52</v>
      </c>
      <c r="G344" s="35" t="s">
        <v>25</v>
      </c>
      <c r="H344" s="35" t="s">
        <v>25</v>
      </c>
      <c r="I344" s="54">
        <v>44652</v>
      </c>
      <c r="J344" s="55">
        <f>EFEITO!$J$344*EFEITO!$Y$224</f>
        <v>0</v>
      </c>
      <c r="K344" s="55">
        <f ca="1">EFEITO!$L$344*EFEITO!$Z$224</f>
        <v>125.75878121853997</v>
      </c>
      <c r="L344" s="55">
        <f>EFEITO!$N$344*EFEITO!$AA$224</f>
        <v>62.635574529828837</v>
      </c>
      <c r="M344" s="55">
        <f>$J$344-EFEITO!$K$344*EFEITO!$Y$344</f>
        <v>0</v>
      </c>
      <c r="N344" s="55">
        <f ca="1">$K$344-EFEITO!$M$344*EFEITO!$Z$344</f>
        <v>78.473479480368937</v>
      </c>
      <c r="O344" s="55">
        <f>$L$344-EFEITO!$O$344*EFEITO!$AA$344</f>
        <v>39.08459850661319</v>
      </c>
      <c r="P344" s="39"/>
      <c r="Q344" s="39"/>
      <c r="R344" s="39"/>
      <c r="S344" s="39"/>
      <c r="T344" s="39"/>
      <c r="U344" s="39"/>
      <c r="V344" s="39"/>
      <c r="W344" s="39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1.25" customHeight="1" x14ac:dyDescent="0.2">
      <c r="A345" s="35" t="s">
        <v>27</v>
      </c>
      <c r="B345" s="35" t="s">
        <v>40</v>
      </c>
      <c r="C345" s="35" t="s">
        <v>23</v>
      </c>
      <c r="D345" s="35" t="s">
        <v>41</v>
      </c>
      <c r="E345" s="35" t="s">
        <v>50</v>
      </c>
      <c r="F345" s="35" t="s">
        <v>52</v>
      </c>
      <c r="G345" s="35" t="s">
        <v>25</v>
      </c>
      <c r="H345" s="35" t="s">
        <v>25</v>
      </c>
      <c r="I345" s="54">
        <v>44652</v>
      </c>
      <c r="J345" s="55">
        <f>EFEITO!$J$345*EFEITO!$Y$224</f>
        <v>0</v>
      </c>
      <c r="K345" s="55">
        <f ca="1">EFEITO!$L$345*EFEITO!$Z$224</f>
        <v>8314.2435187178762</v>
      </c>
      <c r="L345" s="55">
        <f>EFEITO!$N$345*EFEITO!$AA$224</f>
        <v>4141.0024376017554</v>
      </c>
      <c r="M345" s="55">
        <f>$J$345-EFEITO!$K$345*EFEITO!$Y$345</f>
        <v>0</v>
      </c>
      <c r="N345" s="55">
        <f ca="1">$K$345-EFEITO!$M$345*EFEITO!$Z$345</f>
        <v>498.85461112307348</v>
      </c>
      <c r="O345" s="55">
        <f>$L$345-EFEITO!$O$345*EFEITO!$AA$345</f>
        <v>248.46014625610496</v>
      </c>
      <c r="P345" s="39"/>
      <c r="Q345" s="39"/>
      <c r="R345" s="39"/>
      <c r="S345" s="39"/>
      <c r="T345" s="39"/>
      <c r="U345" s="39"/>
      <c r="V345" s="39"/>
      <c r="W345" s="39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1.25" customHeight="1" x14ac:dyDescent="0.2">
      <c r="A346" s="35" t="s">
        <v>27</v>
      </c>
      <c r="B346" s="35" t="s">
        <v>40</v>
      </c>
      <c r="C346" s="35" t="s">
        <v>23</v>
      </c>
      <c r="D346" s="35" t="s">
        <v>41</v>
      </c>
      <c r="E346" s="35" t="s">
        <v>50</v>
      </c>
      <c r="F346" s="35" t="s">
        <v>52</v>
      </c>
      <c r="G346" s="35" t="s">
        <v>25</v>
      </c>
      <c r="H346" s="35" t="s">
        <v>25</v>
      </c>
      <c r="I346" s="54">
        <v>44652</v>
      </c>
      <c r="J346" s="55">
        <f>EFEITO!$J$346*EFEITO!$Y$224</f>
        <v>0</v>
      </c>
      <c r="K346" s="55">
        <f ca="1">EFEITO!$L$346*EFEITO!$Z$224</f>
        <v>6236.4337580388592</v>
      </c>
      <c r="L346" s="55">
        <f>EFEITO!$N$346*EFEITO!$AA$224</f>
        <v>3106.1259314621607</v>
      </c>
      <c r="M346" s="55">
        <f>$J$346-EFEITO!$K$346*EFEITO!$Y$346</f>
        <v>0</v>
      </c>
      <c r="N346" s="55">
        <f ca="1">$K$346-EFEITO!$M$346*EFEITO!$Z$346</f>
        <v>374.18602548233139</v>
      </c>
      <c r="O346" s="55">
        <f>$L$346-EFEITO!$O$346*EFEITO!$AA$346</f>
        <v>186.36755588772985</v>
      </c>
      <c r="P346" s="39"/>
      <c r="Q346" s="39"/>
      <c r="R346" s="39"/>
      <c r="S346" s="39"/>
      <c r="T346" s="39"/>
      <c r="U346" s="39"/>
      <c r="V346" s="39"/>
      <c r="W346" s="39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1.25" customHeight="1" x14ac:dyDescent="0.2">
      <c r="A347" s="35" t="s">
        <v>21</v>
      </c>
      <c r="B347" s="35" t="s">
        <v>40</v>
      </c>
      <c r="C347" s="35" t="s">
        <v>23</v>
      </c>
      <c r="D347" s="35" t="s">
        <v>41</v>
      </c>
      <c r="E347" s="35" t="s">
        <v>50</v>
      </c>
      <c r="F347" s="35" t="s">
        <v>52</v>
      </c>
      <c r="G347" s="35" t="s">
        <v>25</v>
      </c>
      <c r="H347" s="35" t="s">
        <v>25</v>
      </c>
      <c r="I347" s="54">
        <v>44682</v>
      </c>
      <c r="J347" s="55">
        <f>EFEITO!$J$347*EFEITO!$Y$224</f>
        <v>0</v>
      </c>
      <c r="K347" s="55">
        <f ca="1">EFEITO!$L$347*EFEITO!$Z$224</f>
        <v>71149.425409675547</v>
      </c>
      <c r="L347" s="55">
        <f>EFEITO!$N$347*EFEITO!$AA$224</f>
        <v>35436.771053449374</v>
      </c>
      <c r="M347" s="55">
        <f>$J$347-EFEITO!$K$347*EFEITO!$Y$347</f>
        <v>0</v>
      </c>
      <c r="N347" s="55">
        <f ca="1">$K$347-EFEITO!$M$347*EFEITO!$Z$347</f>
        <v>44397.241455637544</v>
      </c>
      <c r="O347" s="55">
        <f>$L$347-EFEITO!$O$347*EFEITO!$AA$347</f>
        <v>22112.545137352412</v>
      </c>
      <c r="P347" s="39"/>
      <c r="Q347" s="39"/>
      <c r="R347" s="39"/>
      <c r="S347" s="39"/>
      <c r="T347" s="39"/>
      <c r="U347" s="39"/>
      <c r="V347" s="39"/>
      <c r="W347" s="39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1.25" customHeight="1" x14ac:dyDescent="0.2">
      <c r="A348" s="35" t="s">
        <v>27</v>
      </c>
      <c r="B348" s="35" t="s">
        <v>40</v>
      </c>
      <c r="C348" s="35" t="s">
        <v>23</v>
      </c>
      <c r="D348" s="35" t="s">
        <v>41</v>
      </c>
      <c r="E348" s="35" t="s">
        <v>50</v>
      </c>
      <c r="F348" s="35" t="s">
        <v>52</v>
      </c>
      <c r="G348" s="35" t="s">
        <v>25</v>
      </c>
      <c r="H348" s="35" t="s">
        <v>25</v>
      </c>
      <c r="I348" s="54">
        <v>44682</v>
      </c>
      <c r="J348" s="55">
        <f>EFEITO!$J$348*EFEITO!$Y$224</f>
        <v>0</v>
      </c>
      <c r="K348" s="55">
        <f ca="1">EFEITO!$L$348*EFEITO!$Z$224</f>
        <v>8388.9262079056789</v>
      </c>
      <c r="L348" s="55">
        <f>EFEITO!$N$348*EFEITO!$AA$224</f>
        <v>4178.198990394214</v>
      </c>
      <c r="M348" s="55">
        <f>$J$348-EFEITO!$K$348*EFEITO!$Y$348</f>
        <v>0</v>
      </c>
      <c r="N348" s="55">
        <f ca="1">$K$348-EFEITO!$M$348*EFEITO!$Z$348</f>
        <v>503.33557247434055</v>
      </c>
      <c r="O348" s="55">
        <f>$L$348-EFEITO!$O$348*EFEITO!$AA$348</f>
        <v>250.69193942365246</v>
      </c>
      <c r="P348" s="39"/>
      <c r="Q348" s="39"/>
      <c r="R348" s="39"/>
      <c r="S348" s="39"/>
      <c r="T348" s="39"/>
      <c r="U348" s="39"/>
      <c r="V348" s="39"/>
      <c r="W348" s="39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1.25" customHeight="1" x14ac:dyDescent="0.2">
      <c r="A349" s="35" t="s">
        <v>27</v>
      </c>
      <c r="B349" s="35" t="s">
        <v>40</v>
      </c>
      <c r="C349" s="35" t="s">
        <v>23</v>
      </c>
      <c r="D349" s="35" t="s">
        <v>41</v>
      </c>
      <c r="E349" s="35" t="s">
        <v>50</v>
      </c>
      <c r="F349" s="35" t="s">
        <v>52</v>
      </c>
      <c r="G349" s="35" t="s">
        <v>25</v>
      </c>
      <c r="H349" s="35" t="s">
        <v>25</v>
      </c>
      <c r="I349" s="54">
        <v>44682</v>
      </c>
      <c r="J349" s="55">
        <f>EFEITO!$J$349*EFEITO!$Y$224</f>
        <v>0</v>
      </c>
      <c r="K349" s="55">
        <f ca="1">EFEITO!$L$349*EFEITO!$Z$224</f>
        <v>5275.4306483176615</v>
      </c>
      <c r="L349" s="55">
        <f>EFEITO!$N$349*EFEITO!$AA$224</f>
        <v>2627.4875308741512</v>
      </c>
      <c r="M349" s="55">
        <f>$J$349-EFEITO!$K$349*EFEITO!$Y$349</f>
        <v>0</v>
      </c>
      <c r="N349" s="55">
        <f ca="1">$K$349-EFEITO!$M$349*EFEITO!$Z$349</f>
        <v>316.52583889905964</v>
      </c>
      <c r="O349" s="55">
        <f>$L$349-EFEITO!$O$349*EFEITO!$AA$349</f>
        <v>157.6492518524492</v>
      </c>
      <c r="P349" s="39"/>
      <c r="Q349" s="39"/>
      <c r="R349" s="39"/>
      <c r="S349" s="39"/>
      <c r="T349" s="39"/>
      <c r="U349" s="39"/>
      <c r="V349" s="39"/>
      <c r="W349" s="39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1.25" customHeight="1" x14ac:dyDescent="0.2">
      <c r="A350" s="35" t="s">
        <v>21</v>
      </c>
      <c r="B350" s="35" t="s">
        <v>40</v>
      </c>
      <c r="C350" s="35" t="s">
        <v>23</v>
      </c>
      <c r="D350" s="35" t="s">
        <v>41</v>
      </c>
      <c r="E350" s="35" t="s">
        <v>50</v>
      </c>
      <c r="F350" s="35" t="s">
        <v>52</v>
      </c>
      <c r="G350" s="35" t="s">
        <v>25</v>
      </c>
      <c r="H350" s="35" t="s">
        <v>25</v>
      </c>
      <c r="I350" s="54">
        <v>44713</v>
      </c>
      <c r="J350" s="55">
        <f>EFEITO!$J$350*EFEITO!$Y$224</f>
        <v>0</v>
      </c>
      <c r="K350" s="55">
        <f ca="1">EFEITO!$L$350*EFEITO!$Z$224</f>
        <v>62718.43653774455</v>
      </c>
      <c r="L350" s="55">
        <f>EFEITO!$N$350*EFEITO!$AA$224</f>
        <v>31237.622280447915</v>
      </c>
      <c r="M350" s="55">
        <f>$J$350-EFEITO!$K$350*EFEITO!$Y$350</f>
        <v>0</v>
      </c>
      <c r="N350" s="55">
        <f ca="1">$K$350-EFEITO!$M$350*EFEITO!$Z$350</f>
        <v>39136.304399552595</v>
      </c>
      <c r="O350" s="55">
        <f>$L$350-EFEITO!$O$350*EFEITO!$AA$350</f>
        <v>19492.276302999497</v>
      </c>
      <c r="P350" s="39"/>
      <c r="Q350" s="39"/>
      <c r="R350" s="39"/>
      <c r="S350" s="39"/>
      <c r="T350" s="39"/>
      <c r="U350" s="39"/>
      <c r="V350" s="39"/>
      <c r="W350" s="39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1.25" customHeight="1" x14ac:dyDescent="0.2">
      <c r="A351" s="35" t="s">
        <v>48</v>
      </c>
      <c r="B351" s="35" t="s">
        <v>40</v>
      </c>
      <c r="C351" s="35" t="s">
        <v>23</v>
      </c>
      <c r="D351" s="35" t="s">
        <v>41</v>
      </c>
      <c r="E351" s="35" t="s">
        <v>50</v>
      </c>
      <c r="F351" s="35" t="s">
        <v>52</v>
      </c>
      <c r="G351" s="35" t="s">
        <v>25</v>
      </c>
      <c r="H351" s="35" t="s">
        <v>25</v>
      </c>
      <c r="I351" s="54">
        <v>44713</v>
      </c>
      <c r="J351" s="55">
        <f>EFEITO!$J$351*EFEITO!$Y$224</f>
        <v>0</v>
      </c>
      <c r="K351" s="55">
        <f ca="1">EFEITO!$L$351*EFEITO!$Z$224</f>
        <v>-5322.2146317743882</v>
      </c>
      <c r="L351" s="55">
        <f>EFEITO!$N$351*EFEITO!$AA$224</f>
        <v>-2650.788819692415</v>
      </c>
      <c r="M351" s="55">
        <f>$J$351-EFEITO!$K$351*EFEITO!$Y$351</f>
        <v>0</v>
      </c>
      <c r="N351" s="55">
        <f ca="1">$K$351-EFEITO!$M$351*EFEITO!$Z$351</f>
        <v>-3321.0619302272185</v>
      </c>
      <c r="O351" s="55">
        <f>$L$351-EFEITO!$O$351*EFEITO!$AA$351</f>
        <v>-1654.0922234880668</v>
      </c>
      <c r="P351" s="39"/>
      <c r="Q351" s="39"/>
      <c r="R351" s="39"/>
      <c r="S351" s="39"/>
      <c r="T351" s="39"/>
      <c r="U351" s="39"/>
      <c r="V351" s="39"/>
      <c r="W351" s="39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1.25" customHeight="1" x14ac:dyDescent="0.2">
      <c r="A352" s="35" t="s">
        <v>27</v>
      </c>
      <c r="B352" s="35" t="s">
        <v>40</v>
      </c>
      <c r="C352" s="35" t="s">
        <v>23</v>
      </c>
      <c r="D352" s="35" t="s">
        <v>41</v>
      </c>
      <c r="E352" s="35" t="s">
        <v>50</v>
      </c>
      <c r="F352" s="35" t="s">
        <v>52</v>
      </c>
      <c r="G352" s="35" t="s">
        <v>25</v>
      </c>
      <c r="H352" s="35" t="s">
        <v>25</v>
      </c>
      <c r="I352" s="54">
        <v>44713</v>
      </c>
      <c r="J352" s="55">
        <f>EFEITO!$J$352*EFEITO!$Y$224</f>
        <v>0</v>
      </c>
      <c r="K352" s="55">
        <f ca="1">EFEITO!$L$352*EFEITO!$Z$224</f>
        <v>5785.3331469102395</v>
      </c>
      <c r="L352" s="55">
        <f>EFEITO!$N$352*EFEITO!$AA$224</f>
        <v>2881.4502016640372</v>
      </c>
      <c r="M352" s="55">
        <f>$J$352-EFEITO!$K$352*EFEITO!$Y$352</f>
        <v>0</v>
      </c>
      <c r="N352" s="55">
        <f ca="1">$K$352-EFEITO!$M$352*EFEITO!$Z$352</f>
        <v>347.11998881461477</v>
      </c>
      <c r="O352" s="55">
        <f>$L$352-EFEITO!$O$352*EFEITO!$AA$352</f>
        <v>172.8870120998422</v>
      </c>
      <c r="P352" s="39"/>
      <c r="Q352" s="39"/>
      <c r="R352" s="39"/>
      <c r="S352" s="39"/>
      <c r="T352" s="39"/>
      <c r="U352" s="39"/>
      <c r="V352" s="39"/>
      <c r="W352" s="39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1.25" customHeight="1" x14ac:dyDescent="0.2">
      <c r="A353" s="35" t="s">
        <v>21</v>
      </c>
      <c r="B353" s="35" t="s">
        <v>40</v>
      </c>
      <c r="C353" s="35" t="s">
        <v>23</v>
      </c>
      <c r="D353" s="35" t="s">
        <v>41</v>
      </c>
      <c r="E353" s="35" t="s">
        <v>50</v>
      </c>
      <c r="F353" s="35" t="s">
        <v>52</v>
      </c>
      <c r="G353" s="35" t="s">
        <v>25</v>
      </c>
      <c r="H353" s="35" t="s">
        <v>25</v>
      </c>
      <c r="I353" s="54">
        <v>44743</v>
      </c>
      <c r="J353" s="55">
        <f>EFEITO!$J$353*EFEITO!$Y$224</f>
        <v>0</v>
      </c>
      <c r="K353" s="55">
        <f ca="1">EFEITO!$L$353*EFEITO!$Z$224</f>
        <v>51769.267565440947</v>
      </c>
      <c r="L353" s="55">
        <f>EFEITO!$N$353*EFEITO!$AA$224</f>
        <v>25784.265603806503</v>
      </c>
      <c r="M353" s="55">
        <f>$J$353-EFEITO!$K$353*EFEITO!$Y$353</f>
        <v>0</v>
      </c>
      <c r="N353" s="55">
        <f ca="1">$K$353-EFEITO!$M$353*EFEITO!$Z$353</f>
        <v>32304.022960835147</v>
      </c>
      <c r="O353" s="55">
        <f>$L$353-EFEITO!$O$353*EFEITO!$AA$353</f>
        <v>16089.381736775258</v>
      </c>
      <c r="P353" s="39"/>
      <c r="Q353" s="39"/>
      <c r="R353" s="39"/>
      <c r="S353" s="39"/>
      <c r="T353" s="39"/>
      <c r="U353" s="39"/>
      <c r="V353" s="39"/>
      <c r="W353" s="39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1.25" customHeight="1" x14ac:dyDescent="0.2">
      <c r="A354" s="35" t="s">
        <v>27</v>
      </c>
      <c r="B354" s="35" t="s">
        <v>40</v>
      </c>
      <c r="C354" s="35" t="s">
        <v>23</v>
      </c>
      <c r="D354" s="35" t="s">
        <v>41</v>
      </c>
      <c r="E354" s="35" t="s">
        <v>50</v>
      </c>
      <c r="F354" s="35" t="s">
        <v>52</v>
      </c>
      <c r="G354" s="35" t="s">
        <v>25</v>
      </c>
      <c r="H354" s="35" t="s">
        <v>25</v>
      </c>
      <c r="I354" s="54">
        <v>44743</v>
      </c>
      <c r="J354" s="55">
        <f>EFEITO!$J$354*EFEITO!$Y$224</f>
        <v>0</v>
      </c>
      <c r="K354" s="55">
        <f ca="1">EFEITO!$L$354*EFEITO!$Z$224</f>
        <v>8264.0258484019414</v>
      </c>
      <c r="L354" s="55">
        <f>EFEITO!$N$354*EFEITO!$AA$224</f>
        <v>4115.990962448207</v>
      </c>
      <c r="M354" s="55">
        <f>$J$354-EFEITO!$K$354*EFEITO!$Y$354</f>
        <v>0</v>
      </c>
      <c r="N354" s="55">
        <f ca="1">$K$354-EFEITO!$M$354*EFEITO!$Z$354</f>
        <v>495.84155090411696</v>
      </c>
      <c r="O354" s="55">
        <f>$L$354-EFEITO!$O$354*EFEITO!$AA$354</f>
        <v>246.95945774689244</v>
      </c>
      <c r="P354" s="39"/>
      <c r="Q354" s="39"/>
      <c r="R354" s="39"/>
      <c r="S354" s="39"/>
      <c r="T354" s="39"/>
      <c r="U354" s="39"/>
      <c r="V354" s="39"/>
      <c r="W354" s="39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1.25" customHeight="1" x14ac:dyDescent="0.2">
      <c r="A355" s="35" t="s">
        <v>53</v>
      </c>
      <c r="B355" s="35" t="s">
        <v>40</v>
      </c>
      <c r="C355" s="35" t="s">
        <v>23</v>
      </c>
      <c r="D355" s="35" t="s">
        <v>41</v>
      </c>
      <c r="E355" s="35" t="s">
        <v>50</v>
      </c>
      <c r="F355" s="35" t="s">
        <v>52</v>
      </c>
      <c r="G355" s="35" t="s">
        <v>25</v>
      </c>
      <c r="H355" s="35" t="s">
        <v>25</v>
      </c>
      <c r="I355" s="54">
        <v>44774</v>
      </c>
      <c r="J355" s="55">
        <f>EFEITO!$J$355*EFEITO!$Y$224</f>
        <v>0</v>
      </c>
      <c r="K355" s="55">
        <f ca="1">EFEITO!$L$355*EFEITO!$Z$224</f>
        <v>51769.267565440947</v>
      </c>
      <c r="L355" s="55">
        <f>EFEITO!$N$355*EFEITO!$AA$224</f>
        <v>25784.265603806503</v>
      </c>
      <c r="M355" s="55">
        <f>$J$355-EFEITO!$K$355*EFEITO!$Y$355</f>
        <v>0</v>
      </c>
      <c r="N355" s="55">
        <f ca="1">$K$355-EFEITO!$M$355*EFEITO!$Z$355</f>
        <v>32304.022960835147</v>
      </c>
      <c r="O355" s="55">
        <f>$L$355-EFEITO!$O$355*EFEITO!$AA$355</f>
        <v>16089.381736775258</v>
      </c>
      <c r="P355" s="39"/>
      <c r="Q355" s="39"/>
      <c r="R355" s="39"/>
      <c r="S355" s="39"/>
      <c r="T355" s="39"/>
      <c r="U355" s="39"/>
      <c r="V355" s="39"/>
      <c r="W355" s="39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1.25" customHeight="1" x14ac:dyDescent="0.2">
      <c r="A356" s="35" t="s">
        <v>53</v>
      </c>
      <c r="B356" s="35" t="s">
        <v>40</v>
      </c>
      <c r="C356" s="35" t="s">
        <v>23</v>
      </c>
      <c r="D356" s="35" t="s">
        <v>41</v>
      </c>
      <c r="E356" s="35" t="s">
        <v>50</v>
      </c>
      <c r="F356" s="35" t="s">
        <v>52</v>
      </c>
      <c r="G356" s="35" t="s">
        <v>25</v>
      </c>
      <c r="H356" s="35" t="s">
        <v>25</v>
      </c>
      <c r="I356" s="54">
        <v>44774</v>
      </c>
      <c r="J356" s="55">
        <f>EFEITO!$J$356*EFEITO!$Y$224</f>
        <v>0</v>
      </c>
      <c r="K356" s="55">
        <f ca="1">EFEITO!$L$356*EFEITO!$Z$224</f>
        <v>8264.0258484019414</v>
      </c>
      <c r="L356" s="55">
        <f>EFEITO!$N$356*EFEITO!$AA$224</f>
        <v>4115.990962448207</v>
      </c>
      <c r="M356" s="55">
        <f>$J$356-EFEITO!$K$356*EFEITO!$Y$356</f>
        <v>0</v>
      </c>
      <c r="N356" s="55">
        <f ca="1">$K$356-EFEITO!$M$356*EFEITO!$Z$356</f>
        <v>495.84155090411696</v>
      </c>
      <c r="O356" s="55">
        <f>$L$356-EFEITO!$O$356*EFEITO!$AA$356</f>
        <v>246.95945774689244</v>
      </c>
      <c r="P356" s="39"/>
      <c r="Q356" s="39"/>
      <c r="R356" s="39"/>
      <c r="S356" s="39"/>
      <c r="T356" s="39"/>
      <c r="U356" s="39"/>
      <c r="V356" s="39"/>
      <c r="W356" s="39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1.25" customHeight="1" x14ac:dyDescent="0.2">
      <c r="A357" s="35" t="s">
        <v>21</v>
      </c>
      <c r="B357" s="35" t="s">
        <v>40</v>
      </c>
      <c r="C357" s="35" t="s">
        <v>23</v>
      </c>
      <c r="D357" s="35" t="s">
        <v>41</v>
      </c>
      <c r="E357" s="35" t="s">
        <v>25</v>
      </c>
      <c r="F357" s="35" t="s">
        <v>25</v>
      </c>
      <c r="G357" s="35" t="s">
        <v>25</v>
      </c>
      <c r="H357" s="35" t="s">
        <v>25</v>
      </c>
      <c r="I357" s="54">
        <v>44440</v>
      </c>
      <c r="J357" s="55">
        <f>EFEITO!$J$357*EFEITO!$Y$224</f>
        <v>0</v>
      </c>
      <c r="K357" s="55">
        <f ca="1">EFEITO!$L$357*EFEITO!$Z$224</f>
        <v>405886.25177740905</v>
      </c>
      <c r="L357" s="55">
        <f>EFEITO!$N$357*EFEITO!$AA$224</f>
        <v>202156.20990837662</v>
      </c>
      <c r="M357" s="55">
        <f>$J$357-EFEITO!$K$357*EFEITO!$Y$357</f>
        <v>0</v>
      </c>
      <c r="N357" s="55">
        <f ca="1">$K$357-EFEITO!$M$357*EFEITO!$Z$357</f>
        <v>24353.175106644514</v>
      </c>
      <c r="O357" s="55">
        <f>$L$357-EFEITO!$O$357*EFEITO!$AA$357</f>
        <v>12129.37259450258</v>
      </c>
      <c r="P357" s="39"/>
      <c r="Q357" s="39"/>
      <c r="R357" s="39"/>
      <c r="S357" s="39"/>
      <c r="T357" s="39"/>
      <c r="U357" s="39"/>
      <c r="V357" s="39"/>
      <c r="W357" s="39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1.25" customHeight="1" x14ac:dyDescent="0.2">
      <c r="A358" s="35" t="s">
        <v>27</v>
      </c>
      <c r="B358" s="35" t="s">
        <v>40</v>
      </c>
      <c r="C358" s="35" t="s">
        <v>23</v>
      </c>
      <c r="D358" s="35" t="s">
        <v>41</v>
      </c>
      <c r="E358" s="35" t="s">
        <v>25</v>
      </c>
      <c r="F358" s="35" t="s">
        <v>25</v>
      </c>
      <c r="G358" s="35" t="s">
        <v>25</v>
      </c>
      <c r="H358" s="35" t="s">
        <v>25</v>
      </c>
      <c r="I358" s="54">
        <v>44440</v>
      </c>
      <c r="J358" s="55">
        <f>EFEITO!$J$358*EFEITO!$Y$224</f>
        <v>0</v>
      </c>
      <c r="K358" s="55">
        <f ca="1">EFEITO!$L$358*EFEITO!$Z$224</f>
        <v>22053.283064129017</v>
      </c>
      <c r="L358" s="55">
        <f>EFEITO!$N$358*EFEITO!$AA$224</f>
        <v>10983.885511662578</v>
      </c>
      <c r="M358" s="55">
        <f>$J$358-EFEITO!$K$358*EFEITO!$Y$358</f>
        <v>0</v>
      </c>
      <c r="N358" s="55">
        <f ca="1">$K$358-EFEITO!$M$358*EFEITO!$Z$358</f>
        <v>1323.1969838477416</v>
      </c>
      <c r="O358" s="55">
        <f>$L$358-EFEITO!$O$358*EFEITO!$AA$358</f>
        <v>659.03313069975411</v>
      </c>
      <c r="P358" s="39"/>
      <c r="Q358" s="39"/>
      <c r="R358" s="39"/>
      <c r="S358" s="39"/>
      <c r="T358" s="39"/>
      <c r="U358" s="39"/>
      <c r="V358" s="39"/>
      <c r="W358" s="39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1.25" customHeight="1" x14ac:dyDescent="0.2">
      <c r="A359" s="35" t="s">
        <v>21</v>
      </c>
      <c r="B359" s="35" t="s">
        <v>40</v>
      </c>
      <c r="C359" s="35" t="s">
        <v>23</v>
      </c>
      <c r="D359" s="35" t="s">
        <v>41</v>
      </c>
      <c r="E359" s="35" t="s">
        <v>25</v>
      </c>
      <c r="F359" s="35" t="s">
        <v>25</v>
      </c>
      <c r="G359" s="35" t="s">
        <v>25</v>
      </c>
      <c r="H359" s="35" t="s">
        <v>25</v>
      </c>
      <c r="I359" s="54">
        <v>44470</v>
      </c>
      <c r="J359" s="55">
        <f>EFEITO!$J$359*EFEITO!$Y$224</f>
        <v>0</v>
      </c>
      <c r="K359" s="55">
        <f ca="1">EFEITO!$L$359*EFEITO!$Z$224</f>
        <v>413029.60807713651</v>
      </c>
      <c r="L359" s="55">
        <f>EFEITO!$N$359*EFEITO!$AA$224</f>
        <v>205714.03880564604</v>
      </c>
      <c r="M359" s="55">
        <f>$J$359-EFEITO!$K$359*EFEITO!$Y$359</f>
        <v>0</v>
      </c>
      <c r="N359" s="55">
        <f ca="1">$K$359-EFEITO!$M$359*EFEITO!$Z$359</f>
        <v>24781.77648462815</v>
      </c>
      <c r="O359" s="55">
        <f>$L$359-EFEITO!$O$359*EFEITO!$AA$359</f>
        <v>12342.842328338767</v>
      </c>
      <c r="P359" s="39"/>
      <c r="Q359" s="39"/>
      <c r="R359" s="39"/>
      <c r="S359" s="39"/>
      <c r="T359" s="39"/>
      <c r="U359" s="39"/>
      <c r="V359" s="39"/>
      <c r="W359" s="39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1.25" customHeight="1" x14ac:dyDescent="0.2">
      <c r="A360" s="35" t="s">
        <v>48</v>
      </c>
      <c r="B360" s="35" t="s">
        <v>40</v>
      </c>
      <c r="C360" s="35" t="s">
        <v>23</v>
      </c>
      <c r="D360" s="35" t="s">
        <v>41</v>
      </c>
      <c r="E360" s="35" t="s">
        <v>25</v>
      </c>
      <c r="F360" s="35" t="s">
        <v>25</v>
      </c>
      <c r="G360" s="35" t="s">
        <v>25</v>
      </c>
      <c r="H360" s="35" t="s">
        <v>25</v>
      </c>
      <c r="I360" s="54">
        <v>44470</v>
      </c>
      <c r="J360" s="55">
        <f>EFEITO!$J$360*EFEITO!$Y$224</f>
        <v>0</v>
      </c>
      <c r="K360" s="55">
        <f ca="1">EFEITO!$L$360*EFEITO!$Z$224</f>
        <v>-76.828743474807695</v>
      </c>
      <c r="L360" s="55">
        <f>EFEITO!$N$360*EFEITO!$AA$224</f>
        <v>-38.265419252011476</v>
      </c>
      <c r="M360" s="55">
        <f>$J$360-EFEITO!$K$360*EFEITO!$Y$360</f>
        <v>0</v>
      </c>
      <c r="N360" s="55">
        <f ca="1">$K$360-EFEITO!$M$360*EFEITO!$Z$360</f>
        <v>-4.6097246084884631</v>
      </c>
      <c r="O360" s="55">
        <f>$L$360-EFEITO!$O$360*EFEITO!$AA$360</f>
        <v>-2.2959251551206918</v>
      </c>
      <c r="P360" s="39"/>
      <c r="Q360" s="39"/>
      <c r="R360" s="39"/>
      <c r="S360" s="39"/>
      <c r="T360" s="39"/>
      <c r="U360" s="39"/>
      <c r="V360" s="39"/>
      <c r="W360" s="39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1.25" customHeight="1" x14ac:dyDescent="0.2">
      <c r="A361" s="35" t="s">
        <v>27</v>
      </c>
      <c r="B361" s="35" t="s">
        <v>40</v>
      </c>
      <c r="C361" s="35" t="s">
        <v>23</v>
      </c>
      <c r="D361" s="35" t="s">
        <v>41</v>
      </c>
      <c r="E361" s="35" t="s">
        <v>25</v>
      </c>
      <c r="F361" s="35" t="s">
        <v>25</v>
      </c>
      <c r="G361" s="35" t="s">
        <v>25</v>
      </c>
      <c r="H361" s="35" t="s">
        <v>25</v>
      </c>
      <c r="I361" s="54">
        <v>44470</v>
      </c>
      <c r="J361" s="55">
        <f>EFEITO!$J$361*EFEITO!$Y$224</f>
        <v>0</v>
      </c>
      <c r="K361" s="55">
        <f ca="1">EFEITO!$L$361*EFEITO!$Z$224</f>
        <v>28353.669239920651</v>
      </c>
      <c r="L361" s="55">
        <f>EFEITO!$N$361*EFEITO!$AA$224</f>
        <v>14121.863663619431</v>
      </c>
      <c r="M361" s="55">
        <f>$J$361-EFEITO!$K$361*EFEITO!$Y$361</f>
        <v>0</v>
      </c>
      <c r="N361" s="55">
        <f ca="1">$K$361-EFEITO!$M$361*EFEITO!$Z$361</f>
        <v>1701.2201543952397</v>
      </c>
      <c r="O361" s="55">
        <f>$L$361-EFEITO!$O$361*EFEITO!$AA$361</f>
        <v>847.31181981716691</v>
      </c>
      <c r="P361" s="39"/>
      <c r="Q361" s="39"/>
      <c r="R361" s="39"/>
      <c r="S361" s="39"/>
      <c r="T361" s="39"/>
      <c r="U361" s="39"/>
      <c r="V361" s="39"/>
      <c r="W361" s="39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1.25" customHeight="1" x14ac:dyDescent="0.2">
      <c r="A362" s="35" t="s">
        <v>21</v>
      </c>
      <c r="B362" s="35" t="s">
        <v>40</v>
      </c>
      <c r="C362" s="35" t="s">
        <v>23</v>
      </c>
      <c r="D362" s="35" t="s">
        <v>41</v>
      </c>
      <c r="E362" s="35" t="s">
        <v>25</v>
      </c>
      <c r="F362" s="35" t="s">
        <v>25</v>
      </c>
      <c r="G362" s="35" t="s">
        <v>25</v>
      </c>
      <c r="H362" s="35" t="s">
        <v>25</v>
      </c>
      <c r="I362" s="54">
        <v>44501</v>
      </c>
      <c r="J362" s="55">
        <f>EFEITO!$J$362*EFEITO!$Y$224</f>
        <v>0</v>
      </c>
      <c r="K362" s="55">
        <f ca="1">EFEITO!$L$362*EFEITO!$Z$224</f>
        <v>439782.32081895095</v>
      </c>
      <c r="L362" s="55">
        <f>EFEITO!$N$362*EFEITO!$AA$224</f>
        <v>219038.52809043869</v>
      </c>
      <c r="M362" s="55">
        <f>$J$362-EFEITO!$K$362*EFEITO!$Y$362</f>
        <v>0</v>
      </c>
      <c r="N362" s="55">
        <f ca="1">$K$362-EFEITO!$M$362*EFEITO!$Z$362</f>
        <v>26386.939249137067</v>
      </c>
      <c r="O362" s="55">
        <f>$L$362-EFEITO!$O$362*EFEITO!$AA$362</f>
        <v>13142.311685426335</v>
      </c>
      <c r="P362" s="39"/>
      <c r="Q362" s="39"/>
      <c r="R362" s="39"/>
      <c r="S362" s="39"/>
      <c r="T362" s="39"/>
      <c r="U362" s="39"/>
      <c r="V362" s="39"/>
      <c r="W362" s="39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1.25" customHeight="1" x14ac:dyDescent="0.2">
      <c r="A363" s="35" t="s">
        <v>27</v>
      </c>
      <c r="B363" s="35" t="s">
        <v>40</v>
      </c>
      <c r="C363" s="35" t="s">
        <v>23</v>
      </c>
      <c r="D363" s="35" t="s">
        <v>41</v>
      </c>
      <c r="E363" s="35" t="s">
        <v>25</v>
      </c>
      <c r="F363" s="35" t="s">
        <v>25</v>
      </c>
      <c r="G363" s="35" t="s">
        <v>25</v>
      </c>
      <c r="H363" s="35" t="s">
        <v>25</v>
      </c>
      <c r="I363" s="54">
        <v>44501</v>
      </c>
      <c r="J363" s="55">
        <f>EFEITO!$J$363*EFEITO!$Y$224</f>
        <v>0</v>
      </c>
      <c r="K363" s="55">
        <f ca="1">EFEITO!$L$363*EFEITO!$Z$224</f>
        <v>9819.4859956237451</v>
      </c>
      <c r="L363" s="55">
        <f>EFEITO!$N$363*EFEITO!$AA$224</f>
        <v>4890.7053723325062</v>
      </c>
      <c r="M363" s="55">
        <f>$J$363-EFEITO!$K$363*EFEITO!$Y$363</f>
        <v>0</v>
      </c>
      <c r="N363" s="55">
        <f ca="1">$K$363-EFEITO!$M$363*EFEITO!$Z$363</f>
        <v>589.16915973742471</v>
      </c>
      <c r="O363" s="55">
        <f>$L$363-EFEITO!$O$363*EFEITO!$AA$363</f>
        <v>293.44232233995081</v>
      </c>
      <c r="P363" s="39"/>
      <c r="Q363" s="39"/>
      <c r="R363" s="39"/>
      <c r="S363" s="39"/>
      <c r="T363" s="39"/>
      <c r="U363" s="39"/>
      <c r="V363" s="39"/>
      <c r="W363" s="39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1.25" customHeight="1" x14ac:dyDescent="0.2">
      <c r="A364" s="35" t="s">
        <v>21</v>
      </c>
      <c r="B364" s="35" t="s">
        <v>40</v>
      </c>
      <c r="C364" s="35" t="s">
        <v>23</v>
      </c>
      <c r="D364" s="35" t="s">
        <v>41</v>
      </c>
      <c r="E364" s="35" t="s">
        <v>25</v>
      </c>
      <c r="F364" s="35" t="s">
        <v>25</v>
      </c>
      <c r="G364" s="35" t="s">
        <v>25</v>
      </c>
      <c r="H364" s="35" t="s">
        <v>25</v>
      </c>
      <c r="I364" s="54">
        <v>44531</v>
      </c>
      <c r="J364" s="55">
        <f>EFEITO!$J$364*EFEITO!$Y$224</f>
        <v>0</v>
      </c>
      <c r="K364" s="55">
        <f ca="1">EFEITO!$L$364*EFEITO!$Z$224</f>
        <v>369896.92138432176</v>
      </c>
      <c r="L364" s="55">
        <f>EFEITO!$N$364*EFEITO!$AA$224</f>
        <v>184231.31938166622</v>
      </c>
      <c r="M364" s="55">
        <f>$J$364-EFEITO!$K$364*EFEITO!$Y$364</f>
        <v>0</v>
      </c>
      <c r="N364" s="55">
        <f ca="1">$K$364-EFEITO!$M$364*EFEITO!$Z$364</f>
        <v>22193.815283059317</v>
      </c>
      <c r="O364" s="55">
        <f>$L$364-EFEITO!$O$364*EFEITO!$AA$364</f>
        <v>11053.879162899975</v>
      </c>
      <c r="P364" s="39"/>
      <c r="Q364" s="39"/>
      <c r="R364" s="39"/>
      <c r="S364" s="39"/>
      <c r="T364" s="39"/>
      <c r="U364" s="39"/>
      <c r="V364" s="39"/>
      <c r="W364" s="39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1.25" customHeight="1" x14ac:dyDescent="0.2">
      <c r="A365" s="35" t="s">
        <v>27</v>
      </c>
      <c r="B365" s="35" t="s">
        <v>40</v>
      </c>
      <c r="C365" s="35" t="s">
        <v>23</v>
      </c>
      <c r="D365" s="35" t="s">
        <v>41</v>
      </c>
      <c r="E365" s="35" t="s">
        <v>25</v>
      </c>
      <c r="F365" s="35" t="s">
        <v>25</v>
      </c>
      <c r="G365" s="35" t="s">
        <v>25</v>
      </c>
      <c r="H365" s="35" t="s">
        <v>25</v>
      </c>
      <c r="I365" s="54">
        <v>44531</v>
      </c>
      <c r="J365" s="55">
        <f>EFEITO!$J$365*EFEITO!$Y$224</f>
        <v>0</v>
      </c>
      <c r="K365" s="55">
        <f ca="1">EFEITO!$L$365*EFEITO!$Z$224</f>
        <v>20257.464836762563</v>
      </c>
      <c r="L365" s="55">
        <f>EFEITO!$N$365*EFEITO!$AA$224</f>
        <v>10089.458058308301</v>
      </c>
      <c r="M365" s="55">
        <f>$J$365-EFEITO!$K$365*EFEITO!$Y$365</f>
        <v>0</v>
      </c>
      <c r="N365" s="55">
        <f ca="1">$K$365-EFEITO!$M$365*EFEITO!$Z$365</f>
        <v>1215.4478902057526</v>
      </c>
      <c r="O365" s="55">
        <f>$L$365-EFEITO!$O$365*EFEITO!$AA$365</f>
        <v>605.36748349849768</v>
      </c>
      <c r="P365" s="39"/>
      <c r="Q365" s="39"/>
      <c r="R365" s="39"/>
      <c r="S365" s="39"/>
      <c r="T365" s="39"/>
      <c r="U365" s="39"/>
      <c r="V365" s="39"/>
      <c r="W365" s="39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1.25" customHeight="1" x14ac:dyDescent="0.2">
      <c r="A366" s="35" t="s">
        <v>21</v>
      </c>
      <c r="B366" s="35" t="s">
        <v>40</v>
      </c>
      <c r="C366" s="35" t="s">
        <v>23</v>
      </c>
      <c r="D366" s="35" t="s">
        <v>41</v>
      </c>
      <c r="E366" s="35" t="s">
        <v>25</v>
      </c>
      <c r="F366" s="35" t="s">
        <v>25</v>
      </c>
      <c r="G366" s="35" t="s">
        <v>25</v>
      </c>
      <c r="H366" s="35" t="s">
        <v>25</v>
      </c>
      <c r="I366" s="54">
        <v>44562</v>
      </c>
      <c r="J366" s="55">
        <f>EFEITO!$J$366*EFEITO!$Y$224</f>
        <v>0</v>
      </c>
      <c r="K366" s="55">
        <f ca="1">EFEITO!$L$366*EFEITO!$Z$224</f>
        <v>403861.6641630478</v>
      </c>
      <c r="L366" s="55">
        <f>EFEITO!$N$366*EFEITO!$AA$224</f>
        <v>201147.84129043398</v>
      </c>
      <c r="M366" s="55">
        <f>$J$366-EFEITO!$K$366*EFEITO!$Y$366</f>
        <v>0</v>
      </c>
      <c r="N366" s="55">
        <f ca="1">$K$366-EFEITO!$M$366*EFEITO!$Z$366</f>
        <v>24231.699849782861</v>
      </c>
      <c r="O366" s="55">
        <f>$L$366-EFEITO!$O$366*EFEITO!$AA$366</f>
        <v>12068.87047742604</v>
      </c>
      <c r="P366" s="39"/>
      <c r="Q366" s="39"/>
      <c r="R366" s="39"/>
      <c r="S366" s="39"/>
      <c r="T366" s="39"/>
      <c r="U366" s="39"/>
      <c r="V366" s="39"/>
      <c r="W366" s="39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1.25" customHeight="1" x14ac:dyDescent="0.2">
      <c r="A367" s="35" t="s">
        <v>27</v>
      </c>
      <c r="B367" s="35" t="s">
        <v>40</v>
      </c>
      <c r="C367" s="35" t="s">
        <v>23</v>
      </c>
      <c r="D367" s="35" t="s">
        <v>41</v>
      </c>
      <c r="E367" s="35" t="s">
        <v>25</v>
      </c>
      <c r="F367" s="35" t="s">
        <v>25</v>
      </c>
      <c r="G367" s="35" t="s">
        <v>25</v>
      </c>
      <c r="H367" s="35" t="s">
        <v>25</v>
      </c>
      <c r="I367" s="54">
        <v>44562</v>
      </c>
      <c r="J367" s="55">
        <f>EFEITO!$J$367*EFEITO!$Y$224</f>
        <v>0</v>
      </c>
      <c r="K367" s="55">
        <f ca="1">EFEITO!$L$367*EFEITO!$Z$224</f>
        <v>18574.529064892613</v>
      </c>
      <c r="L367" s="55">
        <f>EFEITO!$N$367*EFEITO!$AA$224</f>
        <v>9251.2529807265291</v>
      </c>
      <c r="M367" s="55">
        <f>$J$367-EFEITO!$K$367*EFEITO!$Y$367</f>
        <v>0</v>
      </c>
      <c r="N367" s="55">
        <f ca="1">$K$367-EFEITO!$M$367*EFEITO!$Z$367</f>
        <v>1114.471743893555</v>
      </c>
      <c r="O367" s="55">
        <f>$L$367-EFEITO!$O$367*EFEITO!$AA$367</f>
        <v>555.07517884359186</v>
      </c>
      <c r="P367" s="39"/>
      <c r="Q367" s="39"/>
      <c r="R367" s="39"/>
      <c r="S367" s="39"/>
      <c r="T367" s="39"/>
      <c r="U367" s="39"/>
      <c r="V367" s="39"/>
      <c r="W367" s="39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1.25" customHeight="1" x14ac:dyDescent="0.2">
      <c r="A368" s="35" t="s">
        <v>21</v>
      </c>
      <c r="B368" s="35" t="s">
        <v>40</v>
      </c>
      <c r="C368" s="35" t="s">
        <v>23</v>
      </c>
      <c r="D368" s="35" t="s">
        <v>41</v>
      </c>
      <c r="E368" s="35" t="s">
        <v>25</v>
      </c>
      <c r="F368" s="35" t="s">
        <v>25</v>
      </c>
      <c r="G368" s="35" t="s">
        <v>25</v>
      </c>
      <c r="H368" s="35" t="s">
        <v>25</v>
      </c>
      <c r="I368" s="54">
        <v>44593</v>
      </c>
      <c r="J368" s="55">
        <f>EFEITO!$J$368*EFEITO!$Y$224</f>
        <v>0</v>
      </c>
      <c r="K368" s="55">
        <f ca="1">EFEITO!$L$368*EFEITO!$Z$224</f>
        <v>430390.32883729873</v>
      </c>
      <c r="L368" s="55">
        <f>EFEITO!$N$368*EFEITO!$AA$224</f>
        <v>214360.7409168492</v>
      </c>
      <c r="M368" s="55">
        <f>$J$368-EFEITO!$K$368*EFEITO!$Y$368</f>
        <v>0</v>
      </c>
      <c r="N368" s="55">
        <f ca="1">$K$368-EFEITO!$M$368*EFEITO!$Z$368</f>
        <v>25823.419730237918</v>
      </c>
      <c r="O368" s="55">
        <f>$L$368-EFEITO!$O$368*EFEITO!$AA$368</f>
        <v>12861.644455010974</v>
      </c>
      <c r="P368" s="39"/>
      <c r="Q368" s="39"/>
      <c r="R368" s="39"/>
      <c r="S368" s="39"/>
      <c r="T368" s="39"/>
      <c r="U368" s="39"/>
      <c r="V368" s="39"/>
      <c r="W368" s="39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1.25" customHeight="1" x14ac:dyDescent="0.2">
      <c r="A369" s="35" t="s">
        <v>48</v>
      </c>
      <c r="B369" s="35" t="s">
        <v>40</v>
      </c>
      <c r="C369" s="35" t="s">
        <v>23</v>
      </c>
      <c r="D369" s="35" t="s">
        <v>41</v>
      </c>
      <c r="E369" s="35" t="s">
        <v>25</v>
      </c>
      <c r="F369" s="35" t="s">
        <v>25</v>
      </c>
      <c r="G369" s="35" t="s">
        <v>25</v>
      </c>
      <c r="H369" s="35" t="s">
        <v>25</v>
      </c>
      <c r="I369" s="54">
        <v>44593</v>
      </c>
      <c r="J369" s="55">
        <f>EFEITO!$J$369*EFEITO!$Y$224</f>
        <v>0</v>
      </c>
      <c r="K369" s="55">
        <f ca="1">EFEITO!$L$369*EFEITO!$Z$224</f>
        <v>-197.43699440453375</v>
      </c>
      <c r="L369" s="55">
        <f>EFEITO!$N$369*EFEITO!$AA$224</f>
        <v>-98.335714278912178</v>
      </c>
      <c r="M369" s="55">
        <f>$J$369-EFEITO!$K$369*EFEITO!$Y$369</f>
        <v>0</v>
      </c>
      <c r="N369" s="55">
        <f ca="1">$K$369-EFEITO!$M$369*EFEITO!$Z$369</f>
        <v>-11.846219664272013</v>
      </c>
      <c r="O369" s="55">
        <f>$L$369-EFEITO!$O$369*EFEITO!$AA$369</f>
        <v>-5.9001428567347318</v>
      </c>
      <c r="P369" s="39"/>
      <c r="Q369" s="39"/>
      <c r="R369" s="39"/>
      <c r="S369" s="39"/>
      <c r="T369" s="39"/>
      <c r="U369" s="39"/>
      <c r="V369" s="39"/>
      <c r="W369" s="39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1.25" customHeight="1" x14ac:dyDescent="0.2">
      <c r="A370" s="35" t="s">
        <v>27</v>
      </c>
      <c r="B370" s="35" t="s">
        <v>40</v>
      </c>
      <c r="C370" s="35" t="s">
        <v>23</v>
      </c>
      <c r="D370" s="35" t="s">
        <v>41</v>
      </c>
      <c r="E370" s="35" t="s">
        <v>25</v>
      </c>
      <c r="F370" s="35" t="s">
        <v>25</v>
      </c>
      <c r="G370" s="35" t="s">
        <v>25</v>
      </c>
      <c r="H370" s="35" t="s">
        <v>25</v>
      </c>
      <c r="I370" s="54">
        <v>44593</v>
      </c>
      <c r="J370" s="55">
        <f>EFEITO!$J$370*EFEITO!$Y$224</f>
        <v>0</v>
      </c>
      <c r="K370" s="55">
        <f ca="1">EFEITO!$L$370*EFEITO!$Z$224</f>
        <v>21970.445368650595</v>
      </c>
      <c r="L370" s="55">
        <f>EFEITO!$N$370*EFEITO!$AA$224</f>
        <v>10942.627266323818</v>
      </c>
      <c r="M370" s="55">
        <f>$J$370-EFEITO!$K$370*EFEITO!$Y$370</f>
        <v>0</v>
      </c>
      <c r="N370" s="55">
        <f ca="1">$K$370-EFEITO!$M$370*EFEITO!$Z$370</f>
        <v>1318.2267221190377</v>
      </c>
      <c r="O370" s="55">
        <f>$L$370-EFEITO!$O$370*EFEITO!$AA$370</f>
        <v>656.5576359794286</v>
      </c>
      <c r="P370" s="39"/>
      <c r="Q370" s="39"/>
      <c r="R370" s="39"/>
      <c r="S370" s="39"/>
      <c r="T370" s="39"/>
      <c r="U370" s="39"/>
      <c r="V370" s="39"/>
      <c r="W370" s="39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1.25" customHeight="1" x14ac:dyDescent="0.2">
      <c r="A371" s="35" t="s">
        <v>21</v>
      </c>
      <c r="B371" s="35" t="s">
        <v>40</v>
      </c>
      <c r="C371" s="35" t="s">
        <v>23</v>
      </c>
      <c r="D371" s="35" t="s">
        <v>41</v>
      </c>
      <c r="E371" s="35" t="s">
        <v>25</v>
      </c>
      <c r="F371" s="35" t="s">
        <v>25</v>
      </c>
      <c r="G371" s="35" t="s">
        <v>25</v>
      </c>
      <c r="H371" s="35" t="s">
        <v>25</v>
      </c>
      <c r="I371" s="54">
        <v>44621</v>
      </c>
      <c r="J371" s="55">
        <f>EFEITO!$J$371*EFEITO!$Y$224</f>
        <v>0</v>
      </c>
      <c r="K371" s="55">
        <f ca="1">EFEITO!$L$371*EFEITO!$Z$224</f>
        <v>383017.89729507518</v>
      </c>
      <c r="L371" s="55">
        <f>EFEITO!$N$371*EFEITO!$AA$224</f>
        <v>190766.36891537567</v>
      </c>
      <c r="M371" s="55">
        <f>$J$371-EFEITO!$K$371*EFEITO!$Y$371</f>
        <v>0</v>
      </c>
      <c r="N371" s="55">
        <f ca="1">$K$371-EFEITO!$M$371*EFEITO!$Z$371</f>
        <v>22981.073837704491</v>
      </c>
      <c r="O371" s="55">
        <f>$L$371-EFEITO!$O$371*EFEITO!$AA$371</f>
        <v>11445.982134922553</v>
      </c>
      <c r="P371" s="39"/>
      <c r="Q371" s="39"/>
      <c r="R371" s="39"/>
      <c r="S371" s="39"/>
      <c r="T371" s="39"/>
      <c r="U371" s="39"/>
      <c r="V371" s="39"/>
      <c r="W371" s="39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1.25" customHeight="1" x14ac:dyDescent="0.2">
      <c r="A372" s="35" t="s">
        <v>27</v>
      </c>
      <c r="B372" s="35" t="s">
        <v>40</v>
      </c>
      <c r="C372" s="35" t="s">
        <v>23</v>
      </c>
      <c r="D372" s="35" t="s">
        <v>41</v>
      </c>
      <c r="E372" s="35" t="s">
        <v>25</v>
      </c>
      <c r="F372" s="35" t="s">
        <v>25</v>
      </c>
      <c r="G372" s="35" t="s">
        <v>25</v>
      </c>
      <c r="H372" s="35" t="s">
        <v>25</v>
      </c>
      <c r="I372" s="54">
        <v>44621</v>
      </c>
      <c r="J372" s="55">
        <f>EFEITO!$J$372*EFEITO!$Y$224</f>
        <v>0</v>
      </c>
      <c r="K372" s="55">
        <f ca="1">EFEITO!$L$372*EFEITO!$Z$224</f>
        <v>31102.764781575082</v>
      </c>
      <c r="L372" s="55">
        <f>EFEITO!$N$372*EFEITO!$AA$224</f>
        <v>15491.081598307328</v>
      </c>
      <c r="M372" s="55">
        <f>$J$372-EFEITO!$K$372*EFEITO!$Y$372</f>
        <v>0</v>
      </c>
      <c r="N372" s="55">
        <f ca="1">$K$372-EFEITO!$M$372*EFEITO!$Z$372</f>
        <v>1866.1658868945051</v>
      </c>
      <c r="O372" s="55">
        <f>$L$372-EFEITO!$O$372*EFEITO!$AA$372</f>
        <v>929.46489589843986</v>
      </c>
      <c r="P372" s="39"/>
      <c r="Q372" s="39"/>
      <c r="R372" s="39"/>
      <c r="S372" s="39"/>
      <c r="T372" s="39"/>
      <c r="U372" s="39"/>
      <c r="V372" s="39"/>
      <c r="W372" s="39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1.25" customHeight="1" x14ac:dyDescent="0.2">
      <c r="A373" s="35" t="s">
        <v>21</v>
      </c>
      <c r="B373" s="35" t="s">
        <v>40</v>
      </c>
      <c r="C373" s="35" t="s">
        <v>23</v>
      </c>
      <c r="D373" s="35" t="s">
        <v>41</v>
      </c>
      <c r="E373" s="35" t="s">
        <v>25</v>
      </c>
      <c r="F373" s="35" t="s">
        <v>25</v>
      </c>
      <c r="G373" s="35" t="s">
        <v>25</v>
      </c>
      <c r="H373" s="35" t="s">
        <v>25</v>
      </c>
      <c r="I373" s="54">
        <v>44652</v>
      </c>
      <c r="J373" s="55">
        <f>EFEITO!$J$373*EFEITO!$Y$224</f>
        <v>0</v>
      </c>
      <c r="K373" s="55">
        <f ca="1">EFEITO!$L$373*EFEITO!$Z$224</f>
        <v>330464.03228230495</v>
      </c>
      <c r="L373" s="55">
        <f>EFEITO!$N$373*EFEITO!$AA$224</f>
        <v>164591.32573395644</v>
      </c>
      <c r="M373" s="55">
        <f>$J$373-EFEITO!$K$373*EFEITO!$Y$373</f>
        <v>0</v>
      </c>
      <c r="N373" s="55">
        <f ca="1">$K$373-EFEITO!$M$373*EFEITO!$Z$373</f>
        <v>19827.84193693829</v>
      </c>
      <c r="O373" s="55">
        <f>$L$373-EFEITO!$O$373*EFEITO!$AA$373</f>
        <v>9875.4795440374</v>
      </c>
      <c r="P373" s="39"/>
      <c r="Q373" s="39"/>
      <c r="R373" s="39"/>
      <c r="S373" s="39"/>
      <c r="T373" s="39"/>
      <c r="U373" s="39"/>
      <c r="V373" s="39"/>
      <c r="W373" s="39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1.25" customHeight="1" x14ac:dyDescent="0.2">
      <c r="A374" s="35" t="s">
        <v>27</v>
      </c>
      <c r="B374" s="35" t="s">
        <v>40</v>
      </c>
      <c r="C374" s="35" t="s">
        <v>23</v>
      </c>
      <c r="D374" s="35" t="s">
        <v>41</v>
      </c>
      <c r="E374" s="35" t="s">
        <v>25</v>
      </c>
      <c r="F374" s="35" t="s">
        <v>25</v>
      </c>
      <c r="G374" s="35" t="s">
        <v>25</v>
      </c>
      <c r="H374" s="35" t="s">
        <v>25</v>
      </c>
      <c r="I374" s="54">
        <v>44652</v>
      </c>
      <c r="J374" s="55">
        <f>EFEITO!$J$374*EFEITO!$Y$224</f>
        <v>0</v>
      </c>
      <c r="K374" s="55">
        <f ca="1">EFEITO!$L$374*EFEITO!$Z$224</f>
        <v>34274.633017769658</v>
      </c>
      <c r="L374" s="55">
        <f>EFEITO!$N$374*EFEITO!$AA$224</f>
        <v>17070.866225527243</v>
      </c>
      <c r="M374" s="55">
        <f>$J$374-EFEITO!$K$374*EFEITO!$Y$374</f>
        <v>0</v>
      </c>
      <c r="N374" s="55">
        <f ca="1">$K$374-EFEITO!$M$374*EFEITO!$Z$374</f>
        <v>2056.4779810661785</v>
      </c>
      <c r="O374" s="55">
        <f>$L$374-EFEITO!$O$374*EFEITO!$AA$374</f>
        <v>1024.2519735316346</v>
      </c>
      <c r="P374" s="39"/>
      <c r="Q374" s="39"/>
      <c r="R374" s="39"/>
      <c r="S374" s="39"/>
      <c r="T374" s="39"/>
      <c r="U374" s="39"/>
      <c r="V374" s="39"/>
      <c r="W374" s="39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1.25" customHeight="1" x14ac:dyDescent="0.2">
      <c r="A375" s="35" t="s">
        <v>27</v>
      </c>
      <c r="B375" s="35" t="s">
        <v>40</v>
      </c>
      <c r="C375" s="35" t="s">
        <v>23</v>
      </c>
      <c r="D375" s="35" t="s">
        <v>41</v>
      </c>
      <c r="E375" s="35" t="s">
        <v>25</v>
      </c>
      <c r="F375" s="35" t="s">
        <v>25</v>
      </c>
      <c r="G375" s="35" t="s">
        <v>25</v>
      </c>
      <c r="H375" s="35" t="s">
        <v>25</v>
      </c>
      <c r="I375" s="54">
        <v>44652</v>
      </c>
      <c r="J375" s="55">
        <f>EFEITO!$J$375*EFEITO!$Y$224</f>
        <v>0</v>
      </c>
      <c r="K375" s="55">
        <f ca="1">EFEITO!$L$375*EFEITO!$Z$224</f>
        <v>-1117.2358618152202</v>
      </c>
      <c r="L375" s="55">
        <f>EFEITO!$N$375*EFEITO!$AA$224</f>
        <v>-556.4518788434965</v>
      </c>
      <c r="M375" s="55">
        <f>$J$375-EFEITO!$K$375*EFEITO!$Y$375</f>
        <v>0</v>
      </c>
      <c r="N375" s="55">
        <f ca="1">$K$375-EFEITO!$M$375*EFEITO!$Z$375</f>
        <v>-67.034151708913214</v>
      </c>
      <c r="O375" s="55">
        <f>$L$375-EFEITO!$O$375*EFEITO!$AA$375</f>
        <v>-33.387112730609715</v>
      </c>
      <c r="P375" s="39"/>
      <c r="Q375" s="39"/>
      <c r="R375" s="39"/>
      <c r="S375" s="39"/>
      <c r="T375" s="39"/>
      <c r="U375" s="39"/>
      <c r="V375" s="39"/>
      <c r="W375" s="39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1.25" customHeight="1" x14ac:dyDescent="0.2">
      <c r="A376" s="35" t="s">
        <v>21</v>
      </c>
      <c r="B376" s="35" t="s">
        <v>40</v>
      </c>
      <c r="C376" s="35" t="s">
        <v>23</v>
      </c>
      <c r="D376" s="35" t="s">
        <v>41</v>
      </c>
      <c r="E376" s="35" t="s">
        <v>25</v>
      </c>
      <c r="F376" s="35" t="s">
        <v>25</v>
      </c>
      <c r="G376" s="35" t="s">
        <v>25</v>
      </c>
      <c r="H376" s="35" t="s">
        <v>25</v>
      </c>
      <c r="I376" s="54">
        <v>44682</v>
      </c>
      <c r="J376" s="55">
        <f>EFEITO!$J$376*EFEITO!$Y$224</f>
        <v>0</v>
      </c>
      <c r="K376" s="55">
        <f ca="1">EFEITO!$L$376*EFEITO!$Z$224</f>
        <v>335462.19271674147</v>
      </c>
      <c r="L376" s="55">
        <f>EFEITO!$N$376*EFEITO!$AA$224</f>
        <v>167080.71571825628</v>
      </c>
      <c r="M376" s="55">
        <f>$J$376-EFEITO!$K$376*EFEITO!$Y$376</f>
        <v>0</v>
      </c>
      <c r="N376" s="55">
        <f ca="1">$K$376-EFEITO!$M$376*EFEITO!$Z$376</f>
        <v>20127.73156300449</v>
      </c>
      <c r="O376" s="55">
        <f>$L$376-EFEITO!$O$376*EFEITO!$AA$376</f>
        <v>10024.842943095369</v>
      </c>
      <c r="P376" s="39"/>
      <c r="Q376" s="39"/>
      <c r="R376" s="39"/>
      <c r="S376" s="39"/>
      <c r="T376" s="39"/>
      <c r="U376" s="39"/>
      <c r="V376" s="39"/>
      <c r="W376" s="39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1.25" customHeight="1" x14ac:dyDescent="0.2">
      <c r="A377" s="35" t="s">
        <v>27</v>
      </c>
      <c r="B377" s="35" t="s">
        <v>40</v>
      </c>
      <c r="C377" s="35" t="s">
        <v>23</v>
      </c>
      <c r="D377" s="35" t="s">
        <v>41</v>
      </c>
      <c r="E377" s="35" t="s">
        <v>25</v>
      </c>
      <c r="F377" s="35" t="s">
        <v>25</v>
      </c>
      <c r="G377" s="35" t="s">
        <v>25</v>
      </c>
      <c r="H377" s="35" t="s">
        <v>25</v>
      </c>
      <c r="I377" s="54">
        <v>44682</v>
      </c>
      <c r="J377" s="55">
        <f>EFEITO!$J$377*EFEITO!$Y$224</f>
        <v>0</v>
      </c>
      <c r="K377" s="55">
        <f ca="1">EFEITO!$L$377*EFEITO!$Z$224</f>
        <v>34336.868592092826</v>
      </c>
      <c r="L377" s="55">
        <f>EFEITO!$N$377*EFEITO!$AA$224</f>
        <v>17101.863352854292</v>
      </c>
      <c r="M377" s="55">
        <f>$J$377-EFEITO!$K$377*EFEITO!$Y$377</f>
        <v>0</v>
      </c>
      <c r="N377" s="55">
        <f ca="1">$K$377-EFEITO!$M$377*EFEITO!$Z$377</f>
        <v>2060.21211552557</v>
      </c>
      <c r="O377" s="55">
        <f>$L$377-EFEITO!$O$377*EFEITO!$AA$377</f>
        <v>1026.1118011712588</v>
      </c>
      <c r="P377" s="39"/>
      <c r="Q377" s="39"/>
      <c r="R377" s="39"/>
      <c r="S377" s="39"/>
      <c r="T377" s="39"/>
      <c r="U377" s="39"/>
      <c r="V377" s="39"/>
      <c r="W377" s="39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1.25" customHeight="1" x14ac:dyDescent="0.2">
      <c r="A378" s="35" t="s">
        <v>21</v>
      </c>
      <c r="B378" s="35" t="s">
        <v>40</v>
      </c>
      <c r="C378" s="35" t="s">
        <v>23</v>
      </c>
      <c r="D378" s="35" t="s">
        <v>41</v>
      </c>
      <c r="E378" s="35" t="s">
        <v>25</v>
      </c>
      <c r="F378" s="35" t="s">
        <v>25</v>
      </c>
      <c r="G378" s="35" t="s">
        <v>25</v>
      </c>
      <c r="H378" s="35" t="s">
        <v>25</v>
      </c>
      <c r="I378" s="54">
        <v>44713</v>
      </c>
      <c r="J378" s="55">
        <f>EFEITO!$J$378*EFEITO!$Y$224</f>
        <v>0</v>
      </c>
      <c r="K378" s="55">
        <f ca="1">EFEITO!$L$378*EFEITO!$Z$224</f>
        <v>353644.8522688268</v>
      </c>
      <c r="L378" s="55">
        <f>EFEITO!$N$378*EFEITO!$AA$224</f>
        <v>176136.79368346839</v>
      </c>
      <c r="M378" s="55">
        <f>$J$378-EFEITO!$K$378*EFEITO!$Y$378</f>
        <v>0</v>
      </c>
      <c r="N378" s="55">
        <f ca="1">$K$378-EFEITO!$M$378*EFEITO!$Z$378</f>
        <v>21218.691136129608</v>
      </c>
      <c r="O378" s="55">
        <f>$L$378-EFEITO!$O$378*EFEITO!$AA$378</f>
        <v>10568.207621008129</v>
      </c>
      <c r="P378" s="39"/>
      <c r="Q378" s="39"/>
      <c r="R378" s="39"/>
      <c r="S378" s="39"/>
      <c r="T378" s="39"/>
      <c r="U378" s="39"/>
      <c r="V378" s="39"/>
      <c r="W378" s="39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1.25" customHeight="1" x14ac:dyDescent="0.2">
      <c r="A379" s="35" t="s">
        <v>48</v>
      </c>
      <c r="B379" s="35" t="s">
        <v>40</v>
      </c>
      <c r="C379" s="35" t="s">
        <v>23</v>
      </c>
      <c r="D379" s="35" t="s">
        <v>41</v>
      </c>
      <c r="E379" s="35" t="s">
        <v>25</v>
      </c>
      <c r="F379" s="35" t="s">
        <v>25</v>
      </c>
      <c r="G379" s="35" t="s">
        <v>25</v>
      </c>
      <c r="H379" s="35" t="s">
        <v>25</v>
      </c>
      <c r="I379" s="54">
        <v>44713</v>
      </c>
      <c r="J379" s="55">
        <f>EFEITO!$J$379*EFEITO!$Y$224</f>
        <v>0</v>
      </c>
      <c r="K379" s="55">
        <f ca="1">EFEITO!$L$379*EFEITO!$Z$224</f>
        <v>283.2791658847658</v>
      </c>
      <c r="L379" s="55">
        <f>EFEITO!$N$379*EFEITO!$AA$224</f>
        <v>141.09037266104789</v>
      </c>
      <c r="M379" s="55">
        <f>$J$379-EFEITO!$K$379*EFEITO!$Y$379</f>
        <v>0</v>
      </c>
      <c r="N379" s="55">
        <f ca="1">$K$379-EFEITO!$M$379*EFEITO!$Z$379</f>
        <v>16.996749953085953</v>
      </c>
      <c r="O379" s="55">
        <f>$L$379-EFEITO!$O$379*EFEITO!$AA$379</f>
        <v>8.4654223596628526</v>
      </c>
      <c r="P379" s="39"/>
      <c r="Q379" s="39"/>
      <c r="R379" s="39"/>
      <c r="S379" s="39"/>
      <c r="T379" s="39"/>
      <c r="U379" s="39"/>
      <c r="V379" s="39"/>
      <c r="W379" s="39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1.25" customHeight="1" x14ac:dyDescent="0.2">
      <c r="A380" s="35" t="s">
        <v>27</v>
      </c>
      <c r="B380" s="35" t="s">
        <v>40</v>
      </c>
      <c r="C380" s="35" t="s">
        <v>23</v>
      </c>
      <c r="D380" s="35" t="s">
        <v>41</v>
      </c>
      <c r="E380" s="35" t="s">
        <v>25</v>
      </c>
      <c r="F380" s="35" t="s">
        <v>25</v>
      </c>
      <c r="G380" s="35" t="s">
        <v>25</v>
      </c>
      <c r="H380" s="35" t="s">
        <v>25</v>
      </c>
      <c r="I380" s="54">
        <v>44713</v>
      </c>
      <c r="J380" s="55">
        <f>EFEITO!$J$380*EFEITO!$Y$224</f>
        <v>0</v>
      </c>
      <c r="K380" s="55">
        <f ca="1">EFEITO!$L$380*EFEITO!$Z$224</f>
        <v>45408.79186961316</v>
      </c>
      <c r="L380" s="55">
        <f>EFEITO!$N$380*EFEITO!$AA$224</f>
        <v>22616.359190982159</v>
      </c>
      <c r="M380" s="55">
        <f>$J$380-EFEITO!$K$380*EFEITO!$Y$380</f>
        <v>0</v>
      </c>
      <c r="N380" s="55">
        <f ca="1">$K$380-EFEITO!$M$380*EFEITO!$Z$380</f>
        <v>2724.5275121767918</v>
      </c>
      <c r="O380" s="55">
        <f>$L$380-EFEITO!$O$380*EFEITO!$AA$380</f>
        <v>1356.9815514589282</v>
      </c>
      <c r="P380" s="39"/>
      <c r="Q380" s="39"/>
      <c r="R380" s="39"/>
      <c r="S380" s="39"/>
      <c r="T380" s="39"/>
      <c r="U380" s="39"/>
      <c r="V380" s="39"/>
      <c r="W380" s="39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1.25" customHeight="1" x14ac:dyDescent="0.2">
      <c r="A381" s="35" t="s">
        <v>21</v>
      </c>
      <c r="B381" s="35" t="s">
        <v>40</v>
      </c>
      <c r="C381" s="35" t="s">
        <v>23</v>
      </c>
      <c r="D381" s="35" t="s">
        <v>41</v>
      </c>
      <c r="E381" s="35" t="s">
        <v>25</v>
      </c>
      <c r="F381" s="35" t="s">
        <v>25</v>
      </c>
      <c r="G381" s="35" t="s">
        <v>25</v>
      </c>
      <c r="H381" s="35" t="s">
        <v>25</v>
      </c>
      <c r="I381" s="54">
        <v>44743</v>
      </c>
      <c r="J381" s="55">
        <f>EFEITO!$J$381*EFEITO!$Y$224</f>
        <v>0</v>
      </c>
      <c r="K381" s="55">
        <f ca="1">EFEITO!$L$381*EFEITO!$Z$224</f>
        <v>345080.37882024411</v>
      </c>
      <c r="L381" s="55">
        <f>EFEITO!$N$381*EFEITO!$AA$224</f>
        <v>171871.16141668271</v>
      </c>
      <c r="M381" s="55">
        <f>$J$381-EFEITO!$K$381*EFEITO!$Y$381</f>
        <v>0</v>
      </c>
      <c r="N381" s="55">
        <f ca="1">$K$381-EFEITO!$M$381*EFEITO!$Z$381</f>
        <v>20704.822729214677</v>
      </c>
      <c r="O381" s="55">
        <f>$L$381-EFEITO!$O$381*EFEITO!$AA$381</f>
        <v>10312.269685000967</v>
      </c>
      <c r="P381" s="39"/>
      <c r="Q381" s="39"/>
      <c r="R381" s="39"/>
      <c r="S381" s="39"/>
      <c r="T381" s="39"/>
      <c r="U381" s="39"/>
      <c r="V381" s="39"/>
      <c r="W381" s="39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1.25" customHeight="1" x14ac:dyDescent="0.2">
      <c r="A382" s="35" t="s">
        <v>27</v>
      </c>
      <c r="B382" s="35" t="s">
        <v>40</v>
      </c>
      <c r="C382" s="35" t="s">
        <v>23</v>
      </c>
      <c r="D382" s="35" t="s">
        <v>41</v>
      </c>
      <c r="E382" s="35" t="s">
        <v>25</v>
      </c>
      <c r="F382" s="35" t="s">
        <v>25</v>
      </c>
      <c r="G382" s="35" t="s">
        <v>25</v>
      </c>
      <c r="H382" s="35" t="s">
        <v>25</v>
      </c>
      <c r="I382" s="54">
        <v>44743</v>
      </c>
      <c r="J382" s="55">
        <f>EFEITO!$J$382*EFEITO!$Y$224</f>
        <v>0</v>
      </c>
      <c r="K382" s="55">
        <f ca="1">EFEITO!$L$382*EFEITO!$Z$224</f>
        <v>52674.902474557392</v>
      </c>
      <c r="L382" s="55">
        <f>EFEITO!$N$382*EFEITO!$AA$224</f>
        <v>26235.327249738035</v>
      </c>
      <c r="M382" s="55">
        <f>$J$382-EFEITO!$K$382*EFEITO!$Y$382</f>
        <v>0</v>
      </c>
      <c r="N382" s="55">
        <f ca="1">$K$382-EFEITO!$M$382*EFEITO!$Z$382</f>
        <v>3160.4941484734372</v>
      </c>
      <c r="O382" s="55">
        <f>$L$382-EFEITO!$O$382*EFEITO!$AA$382</f>
        <v>1574.119634984283</v>
      </c>
      <c r="P382" s="39"/>
      <c r="Q382" s="39"/>
      <c r="R382" s="39"/>
      <c r="S382" s="39"/>
      <c r="T382" s="39"/>
      <c r="U382" s="39"/>
      <c r="V382" s="39"/>
      <c r="W382" s="39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1.25" customHeight="1" x14ac:dyDescent="0.2">
      <c r="A383" s="35" t="s">
        <v>27</v>
      </c>
      <c r="B383" s="35" t="s">
        <v>40</v>
      </c>
      <c r="C383" s="35" t="s">
        <v>23</v>
      </c>
      <c r="D383" s="35" t="s">
        <v>41</v>
      </c>
      <c r="E383" s="35" t="s">
        <v>25</v>
      </c>
      <c r="F383" s="35" t="s">
        <v>25</v>
      </c>
      <c r="G383" s="35" t="s">
        <v>25</v>
      </c>
      <c r="H383" s="35" t="s">
        <v>25</v>
      </c>
      <c r="I383" s="54">
        <v>44743</v>
      </c>
      <c r="J383" s="55">
        <f>EFEITO!$J$383*EFEITO!$Y$224</f>
        <v>0</v>
      </c>
      <c r="K383" s="55">
        <f ca="1">EFEITO!$L$383*EFEITO!$Z$224</f>
        <v>-1761.481358774362</v>
      </c>
      <c r="L383" s="55">
        <f>EFEITO!$N$383*EFEITO!$AA$224</f>
        <v>-877.3255900014251</v>
      </c>
      <c r="M383" s="55">
        <f>$J$383-EFEITO!$K$383*EFEITO!$Y$383</f>
        <v>0</v>
      </c>
      <c r="N383" s="55">
        <f ca="1">$K$383-EFEITO!$M$383*EFEITO!$Z$383</f>
        <v>-105.68888152646173</v>
      </c>
      <c r="O383" s="55">
        <f>$L$383-EFEITO!$O$383*EFEITO!$AA$383</f>
        <v>-52.639535400085492</v>
      </c>
      <c r="P383" s="39"/>
      <c r="Q383" s="39"/>
      <c r="R383" s="39"/>
      <c r="S383" s="39"/>
      <c r="T383" s="39"/>
      <c r="U383" s="39"/>
      <c r="V383" s="39"/>
      <c r="W383" s="39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1.25" customHeight="1" x14ac:dyDescent="0.2">
      <c r="A384" s="35" t="s">
        <v>53</v>
      </c>
      <c r="B384" s="35" t="s">
        <v>40</v>
      </c>
      <c r="C384" s="35" t="s">
        <v>23</v>
      </c>
      <c r="D384" s="35" t="s">
        <v>41</v>
      </c>
      <c r="E384" s="35" t="s">
        <v>25</v>
      </c>
      <c r="F384" s="35" t="s">
        <v>25</v>
      </c>
      <c r="G384" s="35" t="s">
        <v>25</v>
      </c>
      <c r="H384" s="35" t="s">
        <v>25</v>
      </c>
      <c r="I384" s="54">
        <v>44774</v>
      </c>
      <c r="J384" s="55">
        <f>EFEITO!$J$384*EFEITO!$Y$224</f>
        <v>0</v>
      </c>
      <c r="K384" s="55">
        <f ca="1">EFEITO!$L$384*EFEITO!$Z$224</f>
        <v>345080.37882024411</v>
      </c>
      <c r="L384" s="55">
        <f>EFEITO!$N$384*EFEITO!$AA$224</f>
        <v>171871.16141668271</v>
      </c>
      <c r="M384" s="55">
        <f>$J$384-EFEITO!$K$384*EFEITO!$Y$384</f>
        <v>0</v>
      </c>
      <c r="N384" s="55">
        <f ca="1">$K$384-EFEITO!$M$384*EFEITO!$Z$384</f>
        <v>20704.822729214677</v>
      </c>
      <c r="O384" s="55">
        <f>$L$384-EFEITO!$O$384*EFEITO!$AA$384</f>
        <v>10312.269685000967</v>
      </c>
      <c r="P384" s="39"/>
      <c r="Q384" s="39"/>
      <c r="R384" s="39"/>
      <c r="S384" s="39"/>
      <c r="T384" s="39"/>
      <c r="U384" s="39"/>
      <c r="V384" s="39"/>
      <c r="W384" s="39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1.25" customHeight="1" x14ac:dyDescent="0.2">
      <c r="A385" s="35" t="s">
        <v>53</v>
      </c>
      <c r="B385" s="35" t="s">
        <v>40</v>
      </c>
      <c r="C385" s="35" t="s">
        <v>23</v>
      </c>
      <c r="D385" s="35" t="s">
        <v>41</v>
      </c>
      <c r="E385" s="35" t="s">
        <v>25</v>
      </c>
      <c r="F385" s="35" t="s">
        <v>25</v>
      </c>
      <c r="G385" s="35" t="s">
        <v>25</v>
      </c>
      <c r="H385" s="35" t="s">
        <v>25</v>
      </c>
      <c r="I385" s="54">
        <v>44774</v>
      </c>
      <c r="J385" s="55">
        <f>EFEITO!$J$385*EFEITO!$Y$224</f>
        <v>0</v>
      </c>
      <c r="K385" s="55">
        <f ca="1">EFEITO!$L$385*EFEITO!$Z$224</f>
        <v>52674.902474557392</v>
      </c>
      <c r="L385" s="55">
        <f>EFEITO!$N$385*EFEITO!$AA$224</f>
        <v>26235.327249738035</v>
      </c>
      <c r="M385" s="55">
        <f>$J$385-EFEITO!$K$385*EFEITO!$Y$385</f>
        <v>0</v>
      </c>
      <c r="N385" s="55">
        <f ca="1">$K$385-EFEITO!$M$385*EFEITO!$Z$385</f>
        <v>3160.4941484734372</v>
      </c>
      <c r="O385" s="55">
        <f>$L$385-EFEITO!$O$385*EFEITO!$AA$385</f>
        <v>1574.119634984283</v>
      </c>
      <c r="P385" s="39"/>
      <c r="Q385" s="39"/>
      <c r="R385" s="39"/>
      <c r="S385" s="39"/>
      <c r="T385" s="39"/>
      <c r="U385" s="39"/>
      <c r="V385" s="39"/>
      <c r="W385" s="39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1.25" customHeight="1" x14ac:dyDescent="0.2">
      <c r="A386" s="35" t="s">
        <v>53</v>
      </c>
      <c r="B386" s="35" t="s">
        <v>40</v>
      </c>
      <c r="C386" s="35" t="s">
        <v>23</v>
      </c>
      <c r="D386" s="35" t="s">
        <v>41</v>
      </c>
      <c r="E386" s="35" t="s">
        <v>25</v>
      </c>
      <c r="F386" s="35" t="s">
        <v>25</v>
      </c>
      <c r="G386" s="35" t="s">
        <v>25</v>
      </c>
      <c r="H386" s="35" t="s">
        <v>25</v>
      </c>
      <c r="I386" s="54">
        <v>44774</v>
      </c>
      <c r="J386" s="55">
        <f>EFEITO!$J$386*EFEITO!$Y$224</f>
        <v>0</v>
      </c>
      <c r="K386" s="55">
        <f ca="1">EFEITO!$L$386*EFEITO!$Z$224</f>
        <v>-1761.481358774362</v>
      </c>
      <c r="L386" s="55">
        <f>EFEITO!$N$386*EFEITO!$AA$224</f>
        <v>-877.3255900014251</v>
      </c>
      <c r="M386" s="55">
        <f>$J$386-EFEITO!$K$386*EFEITO!$Y$386</f>
        <v>0</v>
      </c>
      <c r="N386" s="55">
        <f ca="1">$K$386-EFEITO!$M$386*EFEITO!$Z$386</f>
        <v>-105.68888152646173</v>
      </c>
      <c r="O386" s="55">
        <f>$L$386-EFEITO!$O$386*EFEITO!$AA$386</f>
        <v>-52.639535400085492</v>
      </c>
      <c r="P386" s="39"/>
      <c r="Q386" s="39"/>
      <c r="R386" s="39"/>
      <c r="S386" s="39"/>
      <c r="T386" s="39"/>
      <c r="U386" s="39"/>
      <c r="V386" s="39"/>
      <c r="W386" s="39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1.25" customHeight="1" x14ac:dyDescent="0.2">
      <c r="A387" s="35" t="s">
        <v>21</v>
      </c>
      <c r="B387" s="35" t="s">
        <v>32</v>
      </c>
      <c r="C387" s="35" t="s">
        <v>23</v>
      </c>
      <c r="D387" s="35" t="s">
        <v>39</v>
      </c>
      <c r="E387" s="35" t="s">
        <v>25</v>
      </c>
      <c r="F387" s="35" t="s">
        <v>25</v>
      </c>
      <c r="G387" s="35" t="s">
        <v>25</v>
      </c>
      <c r="H387" s="35" t="s">
        <v>25</v>
      </c>
      <c r="I387" s="54">
        <v>44440</v>
      </c>
      <c r="J387" s="55">
        <f>EFEITO!$J$387*EFEITO!$Y$387</f>
        <v>0</v>
      </c>
      <c r="K387" s="55">
        <f ca="1">EFEITO!$L$387*EFEITO!$Z$387</f>
        <v>104206.81643585551</v>
      </c>
      <c r="L387" s="55">
        <f>EFEITO!$N$387*EFEITO!$AA$387</f>
        <v>51901.376223117935</v>
      </c>
      <c r="M387" s="55">
        <f>$J$387-EFEITO!$K$387*EFEITO!$Y$387</f>
        <v>0</v>
      </c>
      <c r="N387" s="55">
        <f ca="1">$K$387-EFEITO!$M$387*EFEITO!$Z$387</f>
        <v>0</v>
      </c>
      <c r="O387" s="55">
        <f>$L$387-EFEITO!$O$387*EFEITO!$AA$387</f>
        <v>0</v>
      </c>
      <c r="P387" s="39"/>
      <c r="Q387" s="39"/>
      <c r="R387" s="39"/>
      <c r="S387" s="39"/>
      <c r="T387" s="39"/>
      <c r="U387" s="39"/>
      <c r="V387" s="39"/>
      <c r="W387" s="39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1.25" customHeight="1" x14ac:dyDescent="0.2">
      <c r="A388" s="35" t="s">
        <v>27</v>
      </c>
      <c r="B388" s="35" t="s">
        <v>32</v>
      </c>
      <c r="C388" s="35" t="s">
        <v>23</v>
      </c>
      <c r="D388" s="35" t="s">
        <v>39</v>
      </c>
      <c r="E388" s="35" t="s">
        <v>25</v>
      </c>
      <c r="F388" s="35" t="s">
        <v>25</v>
      </c>
      <c r="G388" s="35" t="s">
        <v>25</v>
      </c>
      <c r="H388" s="35" t="s">
        <v>25</v>
      </c>
      <c r="I388" s="54">
        <v>44440</v>
      </c>
      <c r="J388" s="55">
        <f>EFEITO!$J$388*EFEITO!$Y$388</f>
        <v>0</v>
      </c>
      <c r="K388" s="55">
        <f ca="1">EFEITO!$L$388*EFEITO!$Z$388</f>
        <v>9022.0122225723899</v>
      </c>
      <c r="L388" s="55">
        <f>EFEITO!$N$388*EFEITO!$AA$388</f>
        <v>4493.5145959624651</v>
      </c>
      <c r="M388" s="55">
        <f>$J$388-EFEITO!$K$388*EFEITO!$Y$388</f>
        <v>0</v>
      </c>
      <c r="N388" s="55">
        <f ca="1">$K$388-EFEITO!$M$388*EFEITO!$Z$388</f>
        <v>0</v>
      </c>
      <c r="O388" s="55">
        <f>$L$388-EFEITO!$O$388*EFEITO!$AA$388</f>
        <v>0</v>
      </c>
      <c r="P388" s="39"/>
      <c r="Q388" s="39"/>
      <c r="R388" s="39"/>
      <c r="S388" s="39"/>
      <c r="T388" s="39"/>
      <c r="U388" s="39"/>
      <c r="V388" s="39"/>
      <c r="W388" s="39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1.25" customHeight="1" x14ac:dyDescent="0.2">
      <c r="A389" s="35" t="s">
        <v>21</v>
      </c>
      <c r="B389" s="35" t="s">
        <v>32</v>
      </c>
      <c r="C389" s="35" t="s">
        <v>23</v>
      </c>
      <c r="D389" s="35" t="s">
        <v>39</v>
      </c>
      <c r="E389" s="35" t="s">
        <v>25</v>
      </c>
      <c r="F389" s="35" t="s">
        <v>25</v>
      </c>
      <c r="G389" s="35" t="s">
        <v>25</v>
      </c>
      <c r="H389" s="35" t="s">
        <v>25</v>
      </c>
      <c r="I389" s="54">
        <v>44470</v>
      </c>
      <c r="J389" s="55">
        <f>EFEITO!$J$389*EFEITO!$Y$389</f>
        <v>0</v>
      </c>
      <c r="K389" s="55">
        <f ca="1">EFEITO!$L$389*EFEITO!$Z$389</f>
        <v>104268.19358846388</v>
      </c>
      <c r="L389" s="55">
        <f>EFEITO!$N$389*EFEITO!$AA$389</f>
        <v>51931.945803861163</v>
      </c>
      <c r="M389" s="55">
        <f>$J$389-EFEITO!$K$389*EFEITO!$Y$389</f>
        <v>0</v>
      </c>
      <c r="N389" s="55">
        <f ca="1">$K$389-EFEITO!$M$389*EFEITO!$Z$389</f>
        <v>0</v>
      </c>
      <c r="O389" s="55">
        <f>$L$389-EFEITO!$O$389*EFEITO!$AA$389</f>
        <v>0</v>
      </c>
      <c r="P389" s="39"/>
      <c r="Q389" s="39"/>
      <c r="R389" s="39"/>
      <c r="S389" s="39"/>
      <c r="T389" s="39"/>
      <c r="U389" s="39"/>
      <c r="V389" s="39"/>
      <c r="W389" s="39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1.25" customHeight="1" x14ac:dyDescent="0.2">
      <c r="A390" s="35" t="s">
        <v>27</v>
      </c>
      <c r="B390" s="35" t="s">
        <v>32</v>
      </c>
      <c r="C390" s="35" t="s">
        <v>23</v>
      </c>
      <c r="D390" s="35" t="s">
        <v>39</v>
      </c>
      <c r="E390" s="35" t="s">
        <v>25</v>
      </c>
      <c r="F390" s="35" t="s">
        <v>25</v>
      </c>
      <c r="G390" s="35" t="s">
        <v>25</v>
      </c>
      <c r="H390" s="35" t="s">
        <v>25</v>
      </c>
      <c r="I390" s="54">
        <v>44470</v>
      </c>
      <c r="J390" s="55">
        <f>EFEITO!$J$390*EFEITO!$Y$390</f>
        <v>0</v>
      </c>
      <c r="K390" s="55">
        <f ca="1">EFEITO!$L$390*EFEITO!$Z$390</f>
        <v>9146.0541603613256</v>
      </c>
      <c r="L390" s="55">
        <f>EFEITO!$N$390*EFEITO!$AA$390</f>
        <v>4555.2950773246512</v>
      </c>
      <c r="M390" s="55">
        <f>$J$390-EFEITO!$K$390*EFEITO!$Y$390</f>
        <v>0</v>
      </c>
      <c r="N390" s="55">
        <f ca="1">$K$390-EFEITO!$M$390*EFEITO!$Z$390</f>
        <v>0</v>
      </c>
      <c r="O390" s="55">
        <f>$L$390-EFEITO!$O$390*EFEITO!$AA$390</f>
        <v>0</v>
      </c>
      <c r="P390" s="39"/>
      <c r="Q390" s="39"/>
      <c r="R390" s="39"/>
      <c r="S390" s="39"/>
      <c r="T390" s="39"/>
      <c r="U390" s="39"/>
      <c r="V390" s="39"/>
      <c r="W390" s="39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1.25" customHeight="1" x14ac:dyDescent="0.2">
      <c r="A391" s="35" t="s">
        <v>21</v>
      </c>
      <c r="B391" s="35" t="s">
        <v>32</v>
      </c>
      <c r="C391" s="35" t="s">
        <v>23</v>
      </c>
      <c r="D391" s="35" t="s">
        <v>39</v>
      </c>
      <c r="E391" s="35" t="s">
        <v>25</v>
      </c>
      <c r="F391" s="35" t="s">
        <v>25</v>
      </c>
      <c r="G391" s="35" t="s">
        <v>25</v>
      </c>
      <c r="H391" s="35" t="s">
        <v>25</v>
      </c>
      <c r="I391" s="54">
        <v>44501</v>
      </c>
      <c r="J391" s="55">
        <f>EFEITO!$J$391*EFEITO!$Y$391</f>
        <v>0</v>
      </c>
      <c r="K391" s="55">
        <f ca="1">EFEITO!$L$391*EFEITO!$Z$391</f>
        <v>115679.62265418851</v>
      </c>
      <c r="L391" s="55">
        <f>EFEITO!$N$391*EFEITO!$AA$391</f>
        <v>57615.536315890371</v>
      </c>
      <c r="M391" s="55">
        <f>$J$391-EFEITO!$K$391*EFEITO!$Y$391</f>
        <v>0</v>
      </c>
      <c r="N391" s="55">
        <f ca="1">$K$391-EFEITO!$M$391*EFEITO!$Z$391</f>
        <v>0</v>
      </c>
      <c r="O391" s="55">
        <f>$L$391-EFEITO!$O$391*EFEITO!$AA$391</f>
        <v>0</v>
      </c>
      <c r="P391" s="39"/>
      <c r="Q391" s="39"/>
      <c r="R391" s="39"/>
      <c r="S391" s="39"/>
      <c r="T391" s="39"/>
      <c r="U391" s="39"/>
      <c r="V391" s="39"/>
      <c r="W391" s="39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1.25" customHeight="1" x14ac:dyDescent="0.2">
      <c r="A392" s="35" t="s">
        <v>27</v>
      </c>
      <c r="B392" s="35" t="s">
        <v>32</v>
      </c>
      <c r="C392" s="35" t="s">
        <v>23</v>
      </c>
      <c r="D392" s="35" t="s">
        <v>39</v>
      </c>
      <c r="E392" s="35" t="s">
        <v>25</v>
      </c>
      <c r="F392" s="35" t="s">
        <v>25</v>
      </c>
      <c r="G392" s="35" t="s">
        <v>25</v>
      </c>
      <c r="H392" s="35" t="s">
        <v>25</v>
      </c>
      <c r="I392" s="54">
        <v>44501</v>
      </c>
      <c r="J392" s="55">
        <f>EFEITO!$J$392*EFEITO!$Y$392</f>
        <v>0</v>
      </c>
      <c r="K392" s="55">
        <f ca="1">EFEITO!$L$392*EFEITO!$Z$392</f>
        <v>5622.6622319551998</v>
      </c>
      <c r="L392" s="55">
        <f>EFEITO!$N$392*EFEITO!$AA$392</f>
        <v>2800.4301240298901</v>
      </c>
      <c r="M392" s="55">
        <f>$J$392-EFEITO!$K$392*EFEITO!$Y$392</f>
        <v>0</v>
      </c>
      <c r="N392" s="55">
        <f ca="1">$K$392-EFEITO!$M$392*EFEITO!$Z$392</f>
        <v>0</v>
      </c>
      <c r="O392" s="55">
        <f>$L$392-EFEITO!$O$392*EFEITO!$AA$392</f>
        <v>0</v>
      </c>
      <c r="P392" s="39"/>
      <c r="Q392" s="39"/>
      <c r="R392" s="39"/>
      <c r="S392" s="39"/>
      <c r="T392" s="39"/>
      <c r="U392" s="39"/>
      <c r="V392" s="39"/>
      <c r="W392" s="39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1.25" customHeight="1" x14ac:dyDescent="0.2">
      <c r="A393" s="35" t="s">
        <v>21</v>
      </c>
      <c r="B393" s="35" t="s">
        <v>32</v>
      </c>
      <c r="C393" s="35" t="s">
        <v>23</v>
      </c>
      <c r="D393" s="35" t="s">
        <v>39</v>
      </c>
      <c r="E393" s="35" t="s">
        <v>25</v>
      </c>
      <c r="F393" s="35" t="s">
        <v>25</v>
      </c>
      <c r="G393" s="35" t="s">
        <v>25</v>
      </c>
      <c r="H393" s="35" t="s">
        <v>25</v>
      </c>
      <c r="I393" s="54">
        <v>44531</v>
      </c>
      <c r="J393" s="55">
        <f>EFEITO!$J$393*EFEITO!$Y$393</f>
        <v>0</v>
      </c>
      <c r="K393" s="55">
        <f ca="1">EFEITO!$L$393*EFEITO!$Z$393</f>
        <v>105918.08012431393</v>
      </c>
      <c r="L393" s="55">
        <f>EFEITO!$N$393*EFEITO!$AA$393</f>
        <v>52753.690337965811</v>
      </c>
      <c r="M393" s="55">
        <f>$J$393-EFEITO!$K$393*EFEITO!$Y$393</f>
        <v>0</v>
      </c>
      <c r="N393" s="55">
        <f ca="1">$K$393-EFEITO!$M$393*EFEITO!$Z$393</f>
        <v>0</v>
      </c>
      <c r="O393" s="55">
        <f>$L$393-EFEITO!$O$393*EFEITO!$AA$393</f>
        <v>0</v>
      </c>
      <c r="P393" s="39"/>
      <c r="Q393" s="39"/>
      <c r="R393" s="39"/>
      <c r="S393" s="39"/>
      <c r="T393" s="39"/>
      <c r="U393" s="39"/>
      <c r="V393" s="39"/>
      <c r="W393" s="39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1.25" customHeight="1" x14ac:dyDescent="0.2">
      <c r="A394" s="35" t="s">
        <v>27</v>
      </c>
      <c r="B394" s="35" t="s">
        <v>32</v>
      </c>
      <c r="C394" s="35" t="s">
        <v>23</v>
      </c>
      <c r="D394" s="35" t="s">
        <v>39</v>
      </c>
      <c r="E394" s="35" t="s">
        <v>25</v>
      </c>
      <c r="F394" s="35" t="s">
        <v>25</v>
      </c>
      <c r="G394" s="35" t="s">
        <v>25</v>
      </c>
      <c r="H394" s="35" t="s">
        <v>25</v>
      </c>
      <c r="I394" s="54">
        <v>44531</v>
      </c>
      <c r="J394" s="55">
        <f>EFEITO!$J$394*EFEITO!$Y$394</f>
        <v>0</v>
      </c>
      <c r="K394" s="55">
        <f ca="1">EFEITO!$L$394*EFEITO!$Z$394</f>
        <v>7411.1838747458351</v>
      </c>
      <c r="L394" s="55">
        <f>EFEITO!$N$394*EFEITO!$AA$394</f>
        <v>3691.223431421688</v>
      </c>
      <c r="M394" s="55">
        <f>$J$394-EFEITO!$K$394*EFEITO!$Y$394</f>
        <v>0</v>
      </c>
      <c r="N394" s="55">
        <f ca="1">$K$394-EFEITO!$M$394*EFEITO!$Z$394</f>
        <v>0</v>
      </c>
      <c r="O394" s="55">
        <f>$L$394-EFEITO!$O$394*EFEITO!$AA$394</f>
        <v>0</v>
      </c>
      <c r="P394" s="39"/>
      <c r="Q394" s="39"/>
      <c r="R394" s="39"/>
      <c r="S394" s="39"/>
      <c r="T394" s="39"/>
      <c r="U394" s="39"/>
      <c r="V394" s="39"/>
      <c r="W394" s="39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1.25" customHeight="1" x14ac:dyDescent="0.2">
      <c r="A395" s="35" t="s">
        <v>21</v>
      </c>
      <c r="B395" s="35" t="s">
        <v>32</v>
      </c>
      <c r="C395" s="35" t="s">
        <v>23</v>
      </c>
      <c r="D395" s="35" t="s">
        <v>39</v>
      </c>
      <c r="E395" s="35" t="s">
        <v>25</v>
      </c>
      <c r="F395" s="35" t="s">
        <v>25</v>
      </c>
      <c r="G395" s="35" t="s">
        <v>25</v>
      </c>
      <c r="H395" s="35" t="s">
        <v>25</v>
      </c>
      <c r="I395" s="54">
        <v>44562</v>
      </c>
      <c r="J395" s="55">
        <f>EFEITO!$J$395*EFEITO!$Y$395</f>
        <v>0</v>
      </c>
      <c r="K395" s="55">
        <f ca="1">EFEITO!$L$395*EFEITO!$Z$395</f>
        <v>112251.08632526804</v>
      </c>
      <c r="L395" s="55">
        <f>EFEITO!$N$395*EFEITO!$AA$395</f>
        <v>55907.915260107875</v>
      </c>
      <c r="M395" s="55">
        <f>$J$395-EFEITO!$K$395*EFEITO!$Y$395</f>
        <v>0</v>
      </c>
      <c r="N395" s="55">
        <f ca="1">$K$395-EFEITO!$M$395*EFEITO!$Z$395</f>
        <v>0</v>
      </c>
      <c r="O395" s="55">
        <f>$L$395-EFEITO!$O$395*EFEITO!$AA$395</f>
        <v>0</v>
      </c>
      <c r="P395" s="39"/>
      <c r="Q395" s="39"/>
      <c r="R395" s="39"/>
      <c r="S395" s="39"/>
      <c r="T395" s="39"/>
      <c r="U395" s="39"/>
      <c r="V395" s="39"/>
      <c r="W395" s="39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1.25" customHeight="1" x14ac:dyDescent="0.2">
      <c r="A396" s="35" t="s">
        <v>27</v>
      </c>
      <c r="B396" s="35" t="s">
        <v>32</v>
      </c>
      <c r="C396" s="35" t="s">
        <v>23</v>
      </c>
      <c r="D396" s="35" t="s">
        <v>39</v>
      </c>
      <c r="E396" s="35" t="s">
        <v>25</v>
      </c>
      <c r="F396" s="35" t="s">
        <v>25</v>
      </c>
      <c r="G396" s="35" t="s">
        <v>25</v>
      </c>
      <c r="H396" s="35" t="s">
        <v>25</v>
      </c>
      <c r="I396" s="54">
        <v>44562</v>
      </c>
      <c r="J396" s="55">
        <f>EFEITO!$J$396*EFEITO!$Y$396</f>
        <v>0</v>
      </c>
      <c r="K396" s="55">
        <f ca="1">EFEITO!$L$396*EFEITO!$Z$396</f>
        <v>7067.3859779675058</v>
      </c>
      <c r="L396" s="55">
        <f>EFEITO!$N$396*EFEITO!$AA$396</f>
        <v>3519.9910246012346</v>
      </c>
      <c r="M396" s="55">
        <f>$J$396-EFEITO!$K$396*EFEITO!$Y$396</f>
        <v>0</v>
      </c>
      <c r="N396" s="55">
        <f ca="1">$K$396-EFEITO!$M$396*EFEITO!$Z$396</f>
        <v>0</v>
      </c>
      <c r="O396" s="55">
        <f>$L$396-EFEITO!$O$396*EFEITO!$AA$396</f>
        <v>0</v>
      </c>
      <c r="P396" s="39"/>
      <c r="Q396" s="39"/>
      <c r="R396" s="39"/>
      <c r="S396" s="39"/>
      <c r="T396" s="39"/>
      <c r="U396" s="39"/>
      <c r="V396" s="39"/>
      <c r="W396" s="39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1.25" customHeight="1" x14ac:dyDescent="0.2">
      <c r="A397" s="35" t="s">
        <v>21</v>
      </c>
      <c r="B397" s="35" t="s">
        <v>32</v>
      </c>
      <c r="C397" s="35" t="s">
        <v>23</v>
      </c>
      <c r="D397" s="35" t="s">
        <v>39</v>
      </c>
      <c r="E397" s="35" t="s">
        <v>25</v>
      </c>
      <c r="F397" s="35" t="s">
        <v>25</v>
      </c>
      <c r="G397" s="35" t="s">
        <v>25</v>
      </c>
      <c r="H397" s="35" t="s">
        <v>25</v>
      </c>
      <c r="I397" s="54">
        <v>44593</v>
      </c>
      <c r="J397" s="55">
        <f>EFEITO!$J$397*EFEITO!$Y$397</f>
        <v>0</v>
      </c>
      <c r="K397" s="55">
        <f ca="1">EFEITO!$L$397*EFEITO!$Z$397</f>
        <v>146727.01923515886</v>
      </c>
      <c r="L397" s="55">
        <f>EFEITO!$N$397*EFEITO!$AA$397</f>
        <v>73079.04115954123</v>
      </c>
      <c r="M397" s="55">
        <f>$J$397-EFEITO!$K$397*EFEITO!$Y$397</f>
        <v>0</v>
      </c>
      <c r="N397" s="55">
        <f ca="1">$K$397-EFEITO!$M$397*EFEITO!$Z$397</f>
        <v>0</v>
      </c>
      <c r="O397" s="55">
        <f>$L$397-EFEITO!$O$397*EFEITO!$AA$397</f>
        <v>0</v>
      </c>
      <c r="P397" s="39"/>
      <c r="Q397" s="39"/>
      <c r="R397" s="39"/>
      <c r="S397" s="39"/>
      <c r="T397" s="39"/>
      <c r="U397" s="39"/>
      <c r="V397" s="39"/>
      <c r="W397" s="39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1.25" customHeight="1" x14ac:dyDescent="0.2">
      <c r="A398" s="35" t="s">
        <v>27</v>
      </c>
      <c r="B398" s="35" t="s">
        <v>32</v>
      </c>
      <c r="C398" s="35" t="s">
        <v>23</v>
      </c>
      <c r="D398" s="35" t="s">
        <v>39</v>
      </c>
      <c r="E398" s="35" t="s">
        <v>25</v>
      </c>
      <c r="F398" s="35" t="s">
        <v>25</v>
      </c>
      <c r="G398" s="35" t="s">
        <v>25</v>
      </c>
      <c r="H398" s="35" t="s">
        <v>25</v>
      </c>
      <c r="I398" s="54">
        <v>44593</v>
      </c>
      <c r="J398" s="55">
        <f>EFEITO!$J$398*EFEITO!$Y$398</f>
        <v>0</v>
      </c>
      <c r="K398" s="55">
        <f ca="1">EFEITO!$L$398*EFEITO!$Z$398</f>
        <v>9369.2438062099282</v>
      </c>
      <c r="L398" s="55">
        <f>EFEITO!$N$398*EFEITO!$AA$398</f>
        <v>4666.457189118204</v>
      </c>
      <c r="M398" s="55">
        <f>$J$398-EFEITO!$K$398*EFEITO!$Y$398</f>
        <v>0</v>
      </c>
      <c r="N398" s="55">
        <f ca="1">$K$398-EFEITO!$M$398*EFEITO!$Z$398</f>
        <v>0</v>
      </c>
      <c r="O398" s="55">
        <f>$L$398-EFEITO!$O$398*EFEITO!$AA$398</f>
        <v>0</v>
      </c>
      <c r="P398" s="39"/>
      <c r="Q398" s="39"/>
      <c r="R398" s="39"/>
      <c r="S398" s="39"/>
      <c r="T398" s="39"/>
      <c r="U398" s="39"/>
      <c r="V398" s="39"/>
      <c r="W398" s="39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1.25" customHeight="1" x14ac:dyDescent="0.2">
      <c r="A399" s="35" t="s">
        <v>21</v>
      </c>
      <c r="B399" s="35" t="s">
        <v>32</v>
      </c>
      <c r="C399" s="35" t="s">
        <v>23</v>
      </c>
      <c r="D399" s="35" t="s">
        <v>39</v>
      </c>
      <c r="E399" s="35" t="s">
        <v>25</v>
      </c>
      <c r="F399" s="35" t="s">
        <v>25</v>
      </c>
      <c r="G399" s="35" t="s">
        <v>25</v>
      </c>
      <c r="H399" s="35" t="s">
        <v>25</v>
      </c>
      <c r="I399" s="54">
        <v>44621</v>
      </c>
      <c r="J399" s="55">
        <f>EFEITO!$J$399*EFEITO!$Y$399</f>
        <v>0</v>
      </c>
      <c r="K399" s="55">
        <f ca="1">EFEITO!$L$399*EFEITO!$Z$399</f>
        <v>135560.66956901026</v>
      </c>
      <c r="L399" s="55">
        <f>EFEITO!$N$399*EFEITO!$AA$399</f>
        <v>67517.515197193003</v>
      </c>
      <c r="M399" s="55">
        <f>$J$399-EFEITO!$K$399*EFEITO!$Y$399</f>
        <v>0</v>
      </c>
      <c r="N399" s="55">
        <f ca="1">$K$399-EFEITO!$M$399*EFEITO!$Z$399</f>
        <v>0</v>
      </c>
      <c r="O399" s="55">
        <f>$L$399-EFEITO!$O$399*EFEITO!$AA$399</f>
        <v>0</v>
      </c>
      <c r="P399" s="39"/>
      <c r="Q399" s="39"/>
      <c r="R399" s="39"/>
      <c r="S399" s="39"/>
      <c r="T399" s="39"/>
      <c r="U399" s="39"/>
      <c r="V399" s="39"/>
      <c r="W399" s="39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1.25" customHeight="1" x14ac:dyDescent="0.2">
      <c r="A400" s="35" t="s">
        <v>27</v>
      </c>
      <c r="B400" s="35" t="s">
        <v>32</v>
      </c>
      <c r="C400" s="35" t="s">
        <v>23</v>
      </c>
      <c r="D400" s="35" t="s">
        <v>39</v>
      </c>
      <c r="E400" s="35" t="s">
        <v>25</v>
      </c>
      <c r="F400" s="35" t="s">
        <v>25</v>
      </c>
      <c r="G400" s="35" t="s">
        <v>25</v>
      </c>
      <c r="H400" s="35" t="s">
        <v>25</v>
      </c>
      <c r="I400" s="54">
        <v>44621</v>
      </c>
      <c r="J400" s="55">
        <f>EFEITO!$J$400*EFEITO!$Y$400</f>
        <v>0</v>
      </c>
      <c r="K400" s="55">
        <f ca="1">EFEITO!$L$400*EFEITO!$Z$400</f>
        <v>11445.336723459341</v>
      </c>
      <c r="L400" s="55">
        <f>EFEITO!$N$400*EFEITO!$AA$400</f>
        <v>5700.4786020901565</v>
      </c>
      <c r="M400" s="55">
        <f>$J$400-EFEITO!$K$400*EFEITO!$Y$400</f>
        <v>0</v>
      </c>
      <c r="N400" s="55">
        <f ca="1">$K$400-EFEITO!$M$400*EFEITO!$Z$400</f>
        <v>0</v>
      </c>
      <c r="O400" s="55">
        <f>$L$400-EFEITO!$O$400*EFEITO!$AA$400</f>
        <v>0</v>
      </c>
      <c r="P400" s="39"/>
      <c r="Q400" s="39"/>
      <c r="R400" s="39"/>
      <c r="S400" s="39"/>
      <c r="T400" s="39"/>
      <c r="U400" s="39"/>
      <c r="V400" s="39"/>
      <c r="W400" s="39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1.25" customHeight="1" x14ac:dyDescent="0.2">
      <c r="A401" s="35" t="s">
        <v>21</v>
      </c>
      <c r="B401" s="35" t="s">
        <v>32</v>
      </c>
      <c r="C401" s="35" t="s">
        <v>23</v>
      </c>
      <c r="D401" s="35" t="s">
        <v>39</v>
      </c>
      <c r="E401" s="35" t="s">
        <v>25</v>
      </c>
      <c r="F401" s="35" t="s">
        <v>25</v>
      </c>
      <c r="G401" s="35" t="s">
        <v>25</v>
      </c>
      <c r="H401" s="35" t="s">
        <v>25</v>
      </c>
      <c r="I401" s="54">
        <v>44652</v>
      </c>
      <c r="J401" s="55">
        <f>EFEITO!$J$401*EFEITO!$Y$401</f>
        <v>0</v>
      </c>
      <c r="K401" s="55">
        <f ca="1">EFEITO!$L$401*EFEITO!$Z$401</f>
        <v>102829.90800531258</v>
      </c>
      <c r="L401" s="55">
        <f>EFEITO!$N$401*EFEITO!$AA$401</f>
        <v>51215.591502668482</v>
      </c>
      <c r="M401" s="55">
        <f>$J$401-EFEITO!$K$401*EFEITO!$Y$401</f>
        <v>0</v>
      </c>
      <c r="N401" s="55">
        <f ca="1">$K$401-EFEITO!$M$401*EFEITO!$Z$401</f>
        <v>0</v>
      </c>
      <c r="O401" s="55">
        <f>$L$401-EFEITO!$O$401*EFEITO!$AA$401</f>
        <v>0</v>
      </c>
      <c r="P401" s="39"/>
      <c r="Q401" s="39"/>
      <c r="R401" s="39"/>
      <c r="S401" s="39"/>
      <c r="T401" s="39"/>
      <c r="U401" s="39"/>
      <c r="V401" s="39"/>
      <c r="W401" s="39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1.25" customHeight="1" x14ac:dyDescent="0.2">
      <c r="A402" s="35" t="s">
        <v>27</v>
      </c>
      <c r="B402" s="35" t="s">
        <v>32</v>
      </c>
      <c r="C402" s="35" t="s">
        <v>23</v>
      </c>
      <c r="D402" s="35" t="s">
        <v>39</v>
      </c>
      <c r="E402" s="35" t="s">
        <v>25</v>
      </c>
      <c r="F402" s="35" t="s">
        <v>25</v>
      </c>
      <c r="G402" s="35" t="s">
        <v>25</v>
      </c>
      <c r="H402" s="35" t="s">
        <v>25</v>
      </c>
      <c r="I402" s="54">
        <v>44652</v>
      </c>
      <c r="J402" s="55">
        <f>EFEITO!$J$402*EFEITO!$Y$402</f>
        <v>0</v>
      </c>
      <c r="K402" s="55">
        <f ca="1">EFEITO!$L$402*EFEITO!$Z$402</f>
        <v>15905.266742714797</v>
      </c>
      <c r="L402" s="55">
        <f>EFEITO!$N$402*EFEITO!$AA$402</f>
        <v>7921.7968783340184</v>
      </c>
      <c r="M402" s="55">
        <f>$J$402-EFEITO!$K$402*EFEITO!$Y$402</f>
        <v>0</v>
      </c>
      <c r="N402" s="55">
        <f ca="1">$K$402-EFEITO!$M$402*EFEITO!$Z$402</f>
        <v>0</v>
      </c>
      <c r="O402" s="55">
        <f>$L$402-EFEITO!$O$402*EFEITO!$AA$402</f>
        <v>0</v>
      </c>
      <c r="P402" s="39"/>
      <c r="Q402" s="39"/>
      <c r="R402" s="39"/>
      <c r="S402" s="39"/>
      <c r="T402" s="39"/>
      <c r="U402" s="39"/>
      <c r="V402" s="39"/>
      <c r="W402" s="39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1.25" customHeight="1" x14ac:dyDescent="0.2">
      <c r="A403" s="35" t="s">
        <v>21</v>
      </c>
      <c r="B403" s="35" t="s">
        <v>32</v>
      </c>
      <c r="C403" s="35" t="s">
        <v>23</v>
      </c>
      <c r="D403" s="35" t="s">
        <v>39</v>
      </c>
      <c r="E403" s="35" t="s">
        <v>25</v>
      </c>
      <c r="F403" s="35" t="s">
        <v>25</v>
      </c>
      <c r="G403" s="35" t="s">
        <v>25</v>
      </c>
      <c r="H403" s="35" t="s">
        <v>25</v>
      </c>
      <c r="I403" s="54">
        <v>44682</v>
      </c>
      <c r="J403" s="55">
        <f>EFEITO!$J$403*EFEITO!$Y$403</f>
        <v>0</v>
      </c>
      <c r="K403" s="55">
        <f ca="1">EFEITO!$L$403*EFEITO!$Z$403</f>
        <v>100819.48434924555</v>
      </c>
      <c r="L403" s="55">
        <f>EFEITO!$N$403*EFEITO!$AA$403</f>
        <v>50214.277403358858</v>
      </c>
      <c r="M403" s="55">
        <f>$J$403-EFEITO!$K$403*EFEITO!$Y$403</f>
        <v>0</v>
      </c>
      <c r="N403" s="55">
        <f ca="1">$K$403-EFEITO!$M$403*EFEITO!$Z$403</f>
        <v>0</v>
      </c>
      <c r="O403" s="55">
        <f>$L$403-EFEITO!$O$403*EFEITO!$AA$403</f>
        <v>0</v>
      </c>
      <c r="P403" s="39"/>
      <c r="Q403" s="39"/>
      <c r="R403" s="39"/>
      <c r="S403" s="39"/>
      <c r="T403" s="39"/>
      <c r="U403" s="39"/>
      <c r="V403" s="39"/>
      <c r="W403" s="39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1.25" customHeight="1" x14ac:dyDescent="0.2">
      <c r="A404" s="35" t="s">
        <v>27</v>
      </c>
      <c r="B404" s="35" t="s">
        <v>32</v>
      </c>
      <c r="C404" s="35" t="s">
        <v>23</v>
      </c>
      <c r="D404" s="35" t="s">
        <v>39</v>
      </c>
      <c r="E404" s="35" t="s">
        <v>25</v>
      </c>
      <c r="F404" s="35" t="s">
        <v>25</v>
      </c>
      <c r="G404" s="35" t="s">
        <v>25</v>
      </c>
      <c r="H404" s="35" t="s">
        <v>25</v>
      </c>
      <c r="I404" s="54">
        <v>44682</v>
      </c>
      <c r="J404" s="55">
        <f>EFEITO!$J$404*EFEITO!$Y$404</f>
        <v>0</v>
      </c>
      <c r="K404" s="55">
        <f ca="1">EFEITO!$L$404*EFEITO!$Z$404</f>
        <v>16728.493167210225</v>
      </c>
      <c r="L404" s="55">
        <f>EFEITO!$N$404*EFEITO!$AA$404</f>
        <v>8331.8140522187005</v>
      </c>
      <c r="M404" s="55">
        <f>$J$404-EFEITO!$K$404*EFEITO!$Y$404</f>
        <v>0</v>
      </c>
      <c r="N404" s="55">
        <f ca="1">$K$404-EFEITO!$M$404*EFEITO!$Z$404</f>
        <v>0</v>
      </c>
      <c r="O404" s="55">
        <f>$L$404-EFEITO!$O$404*EFEITO!$AA$404</f>
        <v>0</v>
      </c>
      <c r="P404" s="39"/>
      <c r="Q404" s="39"/>
      <c r="R404" s="39"/>
      <c r="S404" s="39"/>
      <c r="T404" s="39"/>
      <c r="U404" s="39"/>
      <c r="V404" s="39"/>
      <c r="W404" s="39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1.25" customHeight="1" x14ac:dyDescent="0.2">
      <c r="A405" s="35" t="s">
        <v>21</v>
      </c>
      <c r="B405" s="35" t="s">
        <v>32</v>
      </c>
      <c r="C405" s="35" t="s">
        <v>23</v>
      </c>
      <c r="D405" s="35" t="s">
        <v>39</v>
      </c>
      <c r="E405" s="35" t="s">
        <v>25</v>
      </c>
      <c r="F405" s="35" t="s">
        <v>25</v>
      </c>
      <c r="G405" s="35" t="s">
        <v>25</v>
      </c>
      <c r="H405" s="35" t="s">
        <v>25</v>
      </c>
      <c r="I405" s="54">
        <v>44713</v>
      </c>
      <c r="J405" s="55">
        <f>EFEITO!$J$405*EFEITO!$Y$405</f>
        <v>0</v>
      </c>
      <c r="K405" s="55">
        <f ca="1">EFEITO!$L$405*EFEITO!$Z$405</f>
        <v>98345.512967185263</v>
      </c>
      <c r="L405" s="55">
        <f>EFEITO!$N$405*EFEITO!$AA$405</f>
        <v>48982.088148785704</v>
      </c>
      <c r="M405" s="55">
        <f>$J$405-EFEITO!$K$405*EFEITO!$Y$405</f>
        <v>0</v>
      </c>
      <c r="N405" s="55">
        <f ca="1">$K$405-EFEITO!$M$405*EFEITO!$Z$405</f>
        <v>0</v>
      </c>
      <c r="O405" s="55">
        <f>$L$405-EFEITO!$O$405*EFEITO!$AA$405</f>
        <v>0</v>
      </c>
      <c r="P405" s="39"/>
      <c r="Q405" s="39"/>
      <c r="R405" s="39"/>
      <c r="S405" s="39"/>
      <c r="T405" s="39"/>
      <c r="U405" s="39"/>
      <c r="V405" s="39"/>
      <c r="W405" s="39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1.25" customHeight="1" x14ac:dyDescent="0.2">
      <c r="A406" s="35" t="s">
        <v>27</v>
      </c>
      <c r="B406" s="35" t="s">
        <v>32</v>
      </c>
      <c r="C406" s="35" t="s">
        <v>23</v>
      </c>
      <c r="D406" s="35" t="s">
        <v>39</v>
      </c>
      <c r="E406" s="35" t="s">
        <v>25</v>
      </c>
      <c r="F406" s="35" t="s">
        <v>25</v>
      </c>
      <c r="G406" s="35" t="s">
        <v>25</v>
      </c>
      <c r="H406" s="35" t="s">
        <v>25</v>
      </c>
      <c r="I406" s="54">
        <v>44713</v>
      </c>
      <c r="J406" s="55">
        <f>EFEITO!$J$406*EFEITO!$Y$406</f>
        <v>0</v>
      </c>
      <c r="K406" s="55">
        <f ca="1">EFEITO!$L$406*EFEITO!$Z$406</f>
        <v>17442.270823068353</v>
      </c>
      <c r="L406" s="55">
        <f>EFEITO!$N$406*EFEITO!$AA$406</f>
        <v>8687.3190366661584</v>
      </c>
      <c r="M406" s="55">
        <f>$J$406-EFEITO!$K$406*EFEITO!$Y$406</f>
        <v>0</v>
      </c>
      <c r="N406" s="55">
        <f ca="1">$K$406-EFEITO!$M$406*EFEITO!$Z$406</f>
        <v>0</v>
      </c>
      <c r="O406" s="55">
        <f>$L$406-EFEITO!$O$406*EFEITO!$AA$406</f>
        <v>0</v>
      </c>
      <c r="P406" s="39"/>
      <c r="Q406" s="39"/>
      <c r="R406" s="39"/>
      <c r="S406" s="39"/>
      <c r="T406" s="39"/>
      <c r="U406" s="39"/>
      <c r="V406" s="39"/>
      <c r="W406" s="39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1.25" customHeight="1" x14ac:dyDescent="0.2">
      <c r="A407" s="35" t="s">
        <v>21</v>
      </c>
      <c r="B407" s="35" t="s">
        <v>32</v>
      </c>
      <c r="C407" s="35" t="s">
        <v>23</v>
      </c>
      <c r="D407" s="35" t="s">
        <v>39</v>
      </c>
      <c r="E407" s="35" t="s">
        <v>25</v>
      </c>
      <c r="F407" s="35" t="s">
        <v>25</v>
      </c>
      <c r="G407" s="35" t="s">
        <v>25</v>
      </c>
      <c r="H407" s="35" t="s">
        <v>25</v>
      </c>
      <c r="I407" s="54">
        <v>44743</v>
      </c>
      <c r="J407" s="55">
        <f>EFEITO!$J$407*EFEITO!$Y$407</f>
        <v>0</v>
      </c>
      <c r="K407" s="55">
        <f ca="1">EFEITO!$L$407*EFEITO!$Z$407</f>
        <v>88473.663246958575</v>
      </c>
      <c r="L407" s="55">
        <f>EFEITO!$N$407*EFEITO!$AA$407</f>
        <v>44065.302434840101</v>
      </c>
      <c r="M407" s="55">
        <f>$J$407-EFEITO!$K$407*EFEITO!$Y$407</f>
        <v>0</v>
      </c>
      <c r="N407" s="55">
        <f ca="1">$K$407-EFEITO!$M$407*EFEITO!$Z$407</f>
        <v>0</v>
      </c>
      <c r="O407" s="55">
        <f>$L$407-EFEITO!$O$407*EFEITO!$AA$407</f>
        <v>0</v>
      </c>
      <c r="P407" s="39"/>
      <c r="Q407" s="39"/>
      <c r="R407" s="39"/>
      <c r="S407" s="39"/>
      <c r="T407" s="39"/>
      <c r="U407" s="39"/>
      <c r="V407" s="39"/>
      <c r="W407" s="39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1.25" customHeight="1" x14ac:dyDescent="0.2">
      <c r="A408" s="35" t="s">
        <v>27</v>
      </c>
      <c r="B408" s="35" t="s">
        <v>32</v>
      </c>
      <c r="C408" s="35" t="s">
        <v>23</v>
      </c>
      <c r="D408" s="35" t="s">
        <v>39</v>
      </c>
      <c r="E408" s="35" t="s">
        <v>25</v>
      </c>
      <c r="F408" s="35" t="s">
        <v>25</v>
      </c>
      <c r="G408" s="35" t="s">
        <v>25</v>
      </c>
      <c r="H408" s="35" t="s">
        <v>25</v>
      </c>
      <c r="I408" s="54">
        <v>44743</v>
      </c>
      <c r="J408" s="55">
        <f>EFEITO!$J$408*EFEITO!$Y$408</f>
        <v>0</v>
      </c>
      <c r="K408" s="55">
        <f ca="1">EFEITO!$L$408*EFEITO!$Z$408</f>
        <v>17481.329011091857</v>
      </c>
      <c r="L408" s="55">
        <f>EFEITO!$N$408*EFEITO!$AA$408</f>
        <v>8706.7724062300294</v>
      </c>
      <c r="M408" s="55">
        <f>$J$408-EFEITO!$K$408*EFEITO!$Y$408</f>
        <v>0</v>
      </c>
      <c r="N408" s="55">
        <f ca="1">$K$408-EFEITO!$M$408*EFEITO!$Z$408</f>
        <v>0</v>
      </c>
      <c r="O408" s="55">
        <f>$L$408-EFEITO!$O$408*EFEITO!$AA$408</f>
        <v>0</v>
      </c>
      <c r="P408" s="39"/>
      <c r="Q408" s="39"/>
      <c r="R408" s="39"/>
      <c r="S408" s="39"/>
      <c r="T408" s="39"/>
      <c r="U408" s="39"/>
      <c r="V408" s="39"/>
      <c r="W408" s="39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1.25" customHeight="1" x14ac:dyDescent="0.2">
      <c r="A409" s="35" t="s">
        <v>53</v>
      </c>
      <c r="B409" s="35" t="s">
        <v>32</v>
      </c>
      <c r="C409" s="35" t="s">
        <v>23</v>
      </c>
      <c r="D409" s="35" t="s">
        <v>39</v>
      </c>
      <c r="E409" s="35" t="s">
        <v>25</v>
      </c>
      <c r="F409" s="35" t="s">
        <v>25</v>
      </c>
      <c r="G409" s="35" t="s">
        <v>25</v>
      </c>
      <c r="H409" s="35" t="s">
        <v>25</v>
      </c>
      <c r="I409" s="54">
        <v>44774</v>
      </c>
      <c r="J409" s="55">
        <f>EFEITO!$J$409*EFEITO!$Y$409</f>
        <v>0</v>
      </c>
      <c r="K409" s="55">
        <f ca="1">EFEITO!$L$409*EFEITO!$Z$409</f>
        <v>88473.663246958575</v>
      </c>
      <c r="L409" s="55">
        <f>EFEITO!$N$409*EFEITO!$AA$409</f>
        <v>44065.302434840101</v>
      </c>
      <c r="M409" s="55">
        <f>$J$409-EFEITO!$K$409*EFEITO!$Y$409</f>
        <v>0</v>
      </c>
      <c r="N409" s="55">
        <f ca="1">$K$409-EFEITO!$M$409*EFEITO!$Z$409</f>
        <v>0</v>
      </c>
      <c r="O409" s="55">
        <f>$L$409-EFEITO!$O$409*EFEITO!$AA$409</f>
        <v>0</v>
      </c>
      <c r="P409" s="39"/>
      <c r="Q409" s="39"/>
      <c r="R409" s="39"/>
      <c r="S409" s="39"/>
      <c r="T409" s="39"/>
      <c r="U409" s="39"/>
      <c r="V409" s="39"/>
      <c r="W409" s="39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1.25" customHeight="1" x14ac:dyDescent="0.2">
      <c r="A410" s="35" t="s">
        <v>53</v>
      </c>
      <c r="B410" s="35" t="s">
        <v>32</v>
      </c>
      <c r="C410" s="35" t="s">
        <v>23</v>
      </c>
      <c r="D410" s="35" t="s">
        <v>39</v>
      </c>
      <c r="E410" s="35" t="s">
        <v>25</v>
      </c>
      <c r="F410" s="35" t="s">
        <v>25</v>
      </c>
      <c r="G410" s="35" t="s">
        <v>25</v>
      </c>
      <c r="H410" s="35" t="s">
        <v>25</v>
      </c>
      <c r="I410" s="54">
        <v>44774</v>
      </c>
      <c r="J410" s="55">
        <f>EFEITO!$J$410*EFEITO!$Y$410</f>
        <v>0</v>
      </c>
      <c r="K410" s="55">
        <f ca="1">EFEITO!$L$410*EFEITO!$Z$410</f>
        <v>17481.329011091857</v>
      </c>
      <c r="L410" s="55">
        <f>EFEITO!$N$410*EFEITO!$AA$410</f>
        <v>8706.7724062300294</v>
      </c>
      <c r="M410" s="55">
        <f>$J$410-EFEITO!$K$410*EFEITO!$Y$410</f>
        <v>0</v>
      </c>
      <c r="N410" s="55">
        <f ca="1">$K$410-EFEITO!$M$410*EFEITO!$Z$410</f>
        <v>0</v>
      </c>
      <c r="O410" s="55">
        <f>$L$410-EFEITO!$O$410*EFEITO!$AA$410</f>
        <v>0</v>
      </c>
      <c r="P410" s="39"/>
      <c r="Q410" s="39"/>
      <c r="R410" s="39"/>
      <c r="S410" s="39"/>
      <c r="T410" s="39"/>
      <c r="U410" s="39"/>
      <c r="V410" s="39"/>
      <c r="W410" s="39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1.25" customHeight="1" x14ac:dyDescent="0.2">
      <c r="A411" s="35" t="s">
        <v>21</v>
      </c>
      <c r="B411" s="35" t="s">
        <v>32</v>
      </c>
      <c r="C411" s="35" t="s">
        <v>23</v>
      </c>
      <c r="D411" s="35" t="s">
        <v>49</v>
      </c>
      <c r="E411" s="35" t="s">
        <v>25</v>
      </c>
      <c r="F411" s="35" t="s">
        <v>25</v>
      </c>
      <c r="G411" s="35" t="s">
        <v>25</v>
      </c>
      <c r="H411" s="35" t="s">
        <v>25</v>
      </c>
      <c r="I411" s="54">
        <v>44440</v>
      </c>
      <c r="J411" s="55">
        <f>EFEITO!$J$411*EFEITO!$Y$411</f>
        <v>0</v>
      </c>
      <c r="K411" s="55">
        <f ca="1">EFEITO!$L$411*EFEITO!$Z$411</f>
        <v>1250.7204384669812</v>
      </c>
      <c r="L411" s="55">
        <f>EFEITO!$N$411*EFEITO!$AA$411</f>
        <v>622.93537262771758</v>
      </c>
      <c r="M411" s="55">
        <f>$J$411-EFEITO!$K$411*EFEITO!$Y$411</f>
        <v>0</v>
      </c>
      <c r="N411" s="55">
        <f ca="1">$K$411-EFEITO!$M$411*EFEITO!$Z$411</f>
        <v>0</v>
      </c>
      <c r="O411" s="55">
        <f>$L$411-EFEITO!$O$411*EFEITO!$AA$411</f>
        <v>0</v>
      </c>
      <c r="P411" s="39"/>
      <c r="Q411" s="39"/>
      <c r="R411" s="39"/>
      <c r="S411" s="39"/>
      <c r="T411" s="39"/>
      <c r="U411" s="39"/>
      <c r="V411" s="39"/>
      <c r="W411" s="39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1.25" customHeight="1" x14ac:dyDescent="0.2">
      <c r="A412" s="35" t="s">
        <v>21</v>
      </c>
      <c r="B412" s="35" t="s">
        <v>32</v>
      </c>
      <c r="C412" s="35" t="s">
        <v>23</v>
      </c>
      <c r="D412" s="35" t="s">
        <v>49</v>
      </c>
      <c r="E412" s="35" t="s">
        <v>25</v>
      </c>
      <c r="F412" s="35" t="s">
        <v>25</v>
      </c>
      <c r="G412" s="35" t="s">
        <v>25</v>
      </c>
      <c r="H412" s="35" t="s">
        <v>25</v>
      </c>
      <c r="I412" s="54">
        <v>44470</v>
      </c>
      <c r="J412" s="55">
        <f>EFEITO!$J$412*EFEITO!$Y$412</f>
        <v>0</v>
      </c>
      <c r="K412" s="55">
        <f ca="1">EFEITO!$L$412*EFEITO!$Z$412</f>
        <v>1373.0455328263117</v>
      </c>
      <c r="L412" s="55">
        <f>EFEITO!$N$412*EFEITO!$AA$412</f>
        <v>683.86076082226089</v>
      </c>
      <c r="M412" s="55">
        <f>$J$412-EFEITO!$K$412*EFEITO!$Y$412</f>
        <v>0</v>
      </c>
      <c r="N412" s="55">
        <f ca="1">$K$412-EFEITO!$M$412*EFEITO!$Z$412</f>
        <v>0</v>
      </c>
      <c r="O412" s="55">
        <f>$L$412-EFEITO!$O$412*EFEITO!$AA$412</f>
        <v>0</v>
      </c>
      <c r="P412" s="39"/>
      <c r="Q412" s="39"/>
      <c r="R412" s="39"/>
      <c r="S412" s="39"/>
      <c r="T412" s="39"/>
      <c r="U412" s="39"/>
      <c r="V412" s="39"/>
      <c r="W412" s="39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1.25" customHeight="1" x14ac:dyDescent="0.2">
      <c r="A413" s="35" t="s">
        <v>21</v>
      </c>
      <c r="B413" s="35" t="s">
        <v>32</v>
      </c>
      <c r="C413" s="35" t="s">
        <v>23</v>
      </c>
      <c r="D413" s="35" t="s">
        <v>49</v>
      </c>
      <c r="E413" s="35" t="s">
        <v>25</v>
      </c>
      <c r="F413" s="35" t="s">
        <v>25</v>
      </c>
      <c r="G413" s="35" t="s">
        <v>25</v>
      </c>
      <c r="H413" s="35" t="s">
        <v>25</v>
      </c>
      <c r="I413" s="54">
        <v>44501</v>
      </c>
      <c r="J413" s="55">
        <f>EFEITO!$J$413*EFEITO!$Y$413</f>
        <v>0</v>
      </c>
      <c r="K413" s="55">
        <f ca="1">EFEITO!$L$413*EFEITO!$Z$413</f>
        <v>1508.2469529076773</v>
      </c>
      <c r="L413" s="55">
        <f>EFEITO!$N$413*EFEITO!$AA$413</f>
        <v>751.1993477741247</v>
      </c>
      <c r="M413" s="55">
        <f>$J$413-EFEITO!$K$413*EFEITO!$Y$413</f>
        <v>0</v>
      </c>
      <c r="N413" s="55">
        <f ca="1">$K$413-EFEITO!$M$413*EFEITO!$Z$413</f>
        <v>0</v>
      </c>
      <c r="O413" s="55">
        <f>$L$413-EFEITO!$O$413*EFEITO!$AA$413</f>
        <v>0</v>
      </c>
      <c r="P413" s="39"/>
      <c r="Q413" s="39"/>
      <c r="R413" s="39"/>
      <c r="S413" s="39"/>
      <c r="T413" s="39"/>
      <c r="U413" s="39"/>
      <c r="V413" s="39"/>
      <c r="W413" s="39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1.25" customHeight="1" x14ac:dyDescent="0.2">
      <c r="A414" s="35" t="s">
        <v>21</v>
      </c>
      <c r="B414" s="35" t="s">
        <v>32</v>
      </c>
      <c r="C414" s="35" t="s">
        <v>23</v>
      </c>
      <c r="D414" s="35" t="s">
        <v>49</v>
      </c>
      <c r="E414" s="35" t="s">
        <v>25</v>
      </c>
      <c r="F414" s="35" t="s">
        <v>25</v>
      </c>
      <c r="G414" s="35" t="s">
        <v>25</v>
      </c>
      <c r="H414" s="35" t="s">
        <v>25</v>
      </c>
      <c r="I414" s="54">
        <v>44531</v>
      </c>
      <c r="J414" s="55">
        <f>EFEITO!$J$414*EFEITO!$Y$414</f>
        <v>0</v>
      </c>
      <c r="K414" s="55">
        <f ca="1">EFEITO!$L$414*EFEITO!$Z$414</f>
        <v>1627.1383604077987</v>
      </c>
      <c r="L414" s="55">
        <f>EFEITO!$N$414*EFEITO!$AA$414</f>
        <v>810.41454963338265</v>
      </c>
      <c r="M414" s="55">
        <f>$J$414-EFEITO!$K$414*EFEITO!$Y$414</f>
        <v>0</v>
      </c>
      <c r="N414" s="55">
        <f ca="1">$K$414-EFEITO!$M$414*EFEITO!$Z$414</f>
        <v>0</v>
      </c>
      <c r="O414" s="55">
        <f>$L$414-EFEITO!$O$414*EFEITO!$AA$414</f>
        <v>0</v>
      </c>
      <c r="P414" s="39"/>
      <c r="Q414" s="39"/>
      <c r="R414" s="39"/>
      <c r="S414" s="39"/>
      <c r="T414" s="39"/>
      <c r="U414" s="39"/>
      <c r="V414" s="39"/>
      <c r="W414" s="39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1.25" customHeight="1" x14ac:dyDescent="0.2">
      <c r="A415" s="35" t="s">
        <v>21</v>
      </c>
      <c r="B415" s="35" t="s">
        <v>32</v>
      </c>
      <c r="C415" s="35" t="s">
        <v>23</v>
      </c>
      <c r="D415" s="35" t="s">
        <v>49</v>
      </c>
      <c r="E415" s="35" t="s">
        <v>25</v>
      </c>
      <c r="F415" s="35" t="s">
        <v>25</v>
      </c>
      <c r="G415" s="35" t="s">
        <v>25</v>
      </c>
      <c r="H415" s="35" t="s">
        <v>25</v>
      </c>
      <c r="I415" s="54">
        <v>44562</v>
      </c>
      <c r="J415" s="55">
        <f>EFEITO!$J$415*EFEITO!$Y$415</f>
        <v>0</v>
      </c>
      <c r="K415" s="55">
        <f ca="1">EFEITO!$L$415*EFEITO!$Z$415</f>
        <v>1790.2384862202398</v>
      </c>
      <c r="L415" s="55">
        <f>EFEITO!$N$415*EFEITO!$AA$415</f>
        <v>891.64840055944069</v>
      </c>
      <c r="M415" s="55">
        <f>$J$415-EFEITO!$K$415*EFEITO!$Y$415</f>
        <v>0</v>
      </c>
      <c r="N415" s="55">
        <f ca="1">$K$415-EFEITO!$M$415*EFEITO!$Z$415</f>
        <v>0</v>
      </c>
      <c r="O415" s="55">
        <f>$L$415-EFEITO!$O$415*EFEITO!$AA$415</f>
        <v>0</v>
      </c>
      <c r="P415" s="39"/>
      <c r="Q415" s="39"/>
      <c r="R415" s="39"/>
      <c r="S415" s="39"/>
      <c r="T415" s="39"/>
      <c r="U415" s="39"/>
      <c r="V415" s="39"/>
      <c r="W415" s="39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1.25" customHeight="1" x14ac:dyDescent="0.2">
      <c r="A416" s="35" t="s">
        <v>21</v>
      </c>
      <c r="B416" s="35" t="s">
        <v>32</v>
      </c>
      <c r="C416" s="35" t="s">
        <v>23</v>
      </c>
      <c r="D416" s="35" t="s">
        <v>49</v>
      </c>
      <c r="E416" s="35" t="s">
        <v>25</v>
      </c>
      <c r="F416" s="35" t="s">
        <v>25</v>
      </c>
      <c r="G416" s="35" t="s">
        <v>25</v>
      </c>
      <c r="H416" s="35" t="s">
        <v>25</v>
      </c>
      <c r="I416" s="54">
        <v>44593</v>
      </c>
      <c r="J416" s="55">
        <f>EFEITO!$J$416*EFEITO!$Y$416</f>
        <v>0</v>
      </c>
      <c r="K416" s="55">
        <f ca="1">EFEITO!$L$416*EFEITO!$Z$416</f>
        <v>2619.473862719281</v>
      </c>
      <c r="L416" s="55">
        <f>EFEITO!$N$416*EFEITO!$AA$416</f>
        <v>1304.6584005308716</v>
      </c>
      <c r="M416" s="55">
        <f>$J$416-EFEITO!$K$416*EFEITO!$Y$416</f>
        <v>0</v>
      </c>
      <c r="N416" s="55">
        <f ca="1">$K$416-EFEITO!$M$416*EFEITO!$Z$416</f>
        <v>0</v>
      </c>
      <c r="O416" s="55">
        <f>$L$416-EFEITO!$O$416*EFEITO!$AA$416</f>
        <v>0</v>
      </c>
      <c r="P416" s="39"/>
      <c r="Q416" s="39"/>
      <c r="R416" s="39"/>
      <c r="S416" s="39"/>
      <c r="T416" s="39"/>
      <c r="U416" s="39"/>
      <c r="V416" s="39"/>
      <c r="W416" s="39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1.25" customHeight="1" x14ac:dyDescent="0.2">
      <c r="A417" s="35" t="s">
        <v>21</v>
      </c>
      <c r="B417" s="35" t="s">
        <v>32</v>
      </c>
      <c r="C417" s="35" t="s">
        <v>23</v>
      </c>
      <c r="D417" s="35" t="s">
        <v>49</v>
      </c>
      <c r="E417" s="35" t="s">
        <v>25</v>
      </c>
      <c r="F417" s="35" t="s">
        <v>25</v>
      </c>
      <c r="G417" s="35" t="s">
        <v>25</v>
      </c>
      <c r="H417" s="35" t="s">
        <v>25</v>
      </c>
      <c r="I417" s="54">
        <v>44621</v>
      </c>
      <c r="J417" s="55">
        <f>EFEITO!$J$417*EFEITO!$Y$417</f>
        <v>0</v>
      </c>
      <c r="K417" s="55">
        <f ca="1">EFEITO!$L$417*EFEITO!$Z$417</f>
        <v>2180.3911555978943</v>
      </c>
      <c r="L417" s="55">
        <f>EFEITO!$N$417*EFEITO!$AA$417</f>
        <v>1085.9683229062475</v>
      </c>
      <c r="M417" s="55">
        <f>$J$417-EFEITO!$K$417*EFEITO!$Y$417</f>
        <v>0</v>
      </c>
      <c r="N417" s="55">
        <f ca="1">$K$417-EFEITO!$M$417*EFEITO!$Z$417</f>
        <v>0</v>
      </c>
      <c r="O417" s="55">
        <f>$L$417-EFEITO!$O$417*EFEITO!$AA$417</f>
        <v>0</v>
      </c>
      <c r="P417" s="39"/>
      <c r="Q417" s="39"/>
      <c r="R417" s="39"/>
      <c r="S417" s="39"/>
      <c r="T417" s="39"/>
      <c r="U417" s="39"/>
      <c r="V417" s="39"/>
      <c r="W417" s="39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1.25" customHeight="1" x14ac:dyDescent="0.2">
      <c r="A418" s="35" t="s">
        <v>21</v>
      </c>
      <c r="B418" s="35" t="s">
        <v>32</v>
      </c>
      <c r="C418" s="35" t="s">
        <v>23</v>
      </c>
      <c r="D418" s="35" t="s">
        <v>49</v>
      </c>
      <c r="E418" s="35" t="s">
        <v>25</v>
      </c>
      <c r="F418" s="35" t="s">
        <v>25</v>
      </c>
      <c r="G418" s="35" t="s">
        <v>25</v>
      </c>
      <c r="H418" s="35" t="s">
        <v>25</v>
      </c>
      <c r="I418" s="54">
        <v>44652</v>
      </c>
      <c r="J418" s="55">
        <f>EFEITO!$J$418*EFEITO!$Y$418</f>
        <v>0</v>
      </c>
      <c r="K418" s="55">
        <f ca="1">EFEITO!$L$418*EFEITO!$Z$418</f>
        <v>1567.9072620864385</v>
      </c>
      <c r="L418" s="55">
        <f>EFEITO!$N$418*EFEITO!$AA$418</f>
        <v>780.91383534970907</v>
      </c>
      <c r="M418" s="55">
        <f>$J$418-EFEITO!$K$418*EFEITO!$Y$418</f>
        <v>0</v>
      </c>
      <c r="N418" s="55">
        <f ca="1">$K$418-EFEITO!$M$418*EFEITO!$Z$418</f>
        <v>0</v>
      </c>
      <c r="O418" s="55">
        <f>$L$418-EFEITO!$O$418*EFEITO!$AA$418</f>
        <v>0</v>
      </c>
      <c r="P418" s="39"/>
      <c r="Q418" s="39"/>
      <c r="R418" s="39"/>
      <c r="S418" s="39"/>
      <c r="T418" s="39"/>
      <c r="U418" s="39"/>
      <c r="V418" s="39"/>
      <c r="W418" s="39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1.25" customHeight="1" x14ac:dyDescent="0.2">
      <c r="A419" s="35" t="s">
        <v>21</v>
      </c>
      <c r="B419" s="35" t="s">
        <v>32</v>
      </c>
      <c r="C419" s="35" t="s">
        <v>23</v>
      </c>
      <c r="D419" s="35" t="s">
        <v>49</v>
      </c>
      <c r="E419" s="35" t="s">
        <v>25</v>
      </c>
      <c r="F419" s="35" t="s">
        <v>25</v>
      </c>
      <c r="G419" s="35" t="s">
        <v>25</v>
      </c>
      <c r="H419" s="35" t="s">
        <v>25</v>
      </c>
      <c r="I419" s="54">
        <v>44682</v>
      </c>
      <c r="J419" s="55">
        <f>EFEITO!$J$419*EFEITO!$Y$419</f>
        <v>0</v>
      </c>
      <c r="K419" s="55">
        <f ca="1">EFEITO!$L$419*EFEITO!$Z$419</f>
        <v>1419.400305425637</v>
      </c>
      <c r="L419" s="55">
        <f>EFEITO!$N$419*EFEITO!$AA$419</f>
        <v>706.94827634861429</v>
      </c>
      <c r="M419" s="55">
        <f>$J$419-EFEITO!$K$419*EFEITO!$Y$419</f>
        <v>0</v>
      </c>
      <c r="N419" s="55">
        <f ca="1">$K$419-EFEITO!$M$419*EFEITO!$Z$419</f>
        <v>0</v>
      </c>
      <c r="O419" s="55">
        <f>$L$419-EFEITO!$O$419*EFEITO!$AA$419</f>
        <v>0</v>
      </c>
      <c r="P419" s="39"/>
      <c r="Q419" s="39"/>
      <c r="R419" s="39"/>
      <c r="S419" s="39"/>
      <c r="T419" s="39"/>
      <c r="U419" s="39"/>
      <c r="V419" s="39"/>
      <c r="W419" s="39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1.25" customHeight="1" x14ac:dyDescent="0.2">
      <c r="A420" s="35" t="s">
        <v>21</v>
      </c>
      <c r="B420" s="35" t="s">
        <v>32</v>
      </c>
      <c r="C420" s="35" t="s">
        <v>23</v>
      </c>
      <c r="D420" s="35" t="s">
        <v>49</v>
      </c>
      <c r="E420" s="35" t="s">
        <v>25</v>
      </c>
      <c r="F420" s="35" t="s">
        <v>25</v>
      </c>
      <c r="G420" s="35" t="s">
        <v>25</v>
      </c>
      <c r="H420" s="35" t="s">
        <v>25</v>
      </c>
      <c r="I420" s="54">
        <v>44713</v>
      </c>
      <c r="J420" s="55">
        <f>EFEITO!$J$420*EFEITO!$Y$420</f>
        <v>0</v>
      </c>
      <c r="K420" s="55">
        <f ca="1">EFEITO!$L$420*EFEITO!$Z$420</f>
        <v>1498.8043140448517</v>
      </c>
      <c r="L420" s="55">
        <f>EFEITO!$N$420*EFEITO!$AA$420</f>
        <v>746.49633535208977</v>
      </c>
      <c r="M420" s="55">
        <f>$J$420-EFEITO!$K$420*EFEITO!$Y$420</f>
        <v>0</v>
      </c>
      <c r="N420" s="55">
        <f ca="1">$K$420-EFEITO!$M$420*EFEITO!$Z$420</f>
        <v>0</v>
      </c>
      <c r="O420" s="55">
        <f>$L$420-EFEITO!$O$420*EFEITO!$AA$420</f>
        <v>0</v>
      </c>
      <c r="P420" s="39"/>
      <c r="Q420" s="39"/>
      <c r="R420" s="39"/>
      <c r="S420" s="39"/>
      <c r="T420" s="39"/>
      <c r="U420" s="39"/>
      <c r="V420" s="39"/>
      <c r="W420" s="39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1.25" customHeight="1" x14ac:dyDescent="0.2">
      <c r="A421" s="35" t="s">
        <v>21</v>
      </c>
      <c r="B421" s="35" t="s">
        <v>32</v>
      </c>
      <c r="C421" s="35" t="s">
        <v>23</v>
      </c>
      <c r="D421" s="35" t="s">
        <v>49</v>
      </c>
      <c r="E421" s="35" t="s">
        <v>25</v>
      </c>
      <c r="F421" s="35" t="s">
        <v>25</v>
      </c>
      <c r="G421" s="35" t="s">
        <v>25</v>
      </c>
      <c r="H421" s="35" t="s">
        <v>25</v>
      </c>
      <c r="I421" s="54">
        <v>44743</v>
      </c>
      <c r="J421" s="55">
        <f>EFEITO!$J$421*EFEITO!$Y$421</f>
        <v>0</v>
      </c>
      <c r="K421" s="55">
        <f ca="1">EFEITO!$L$421*EFEITO!$Z$421</f>
        <v>1473.9100843155845</v>
      </c>
      <c r="L421" s="55">
        <f>EFEITO!$N$421*EFEITO!$AA$421</f>
        <v>734.09748442127045</v>
      </c>
      <c r="M421" s="55">
        <f>$J$421-EFEITO!$K$421*EFEITO!$Y$421</f>
        <v>0</v>
      </c>
      <c r="N421" s="55">
        <f ca="1">$K$421-EFEITO!$M$421*EFEITO!$Z$421</f>
        <v>0</v>
      </c>
      <c r="O421" s="55">
        <f>$L$421-EFEITO!$O$421*EFEITO!$AA$421</f>
        <v>0</v>
      </c>
      <c r="P421" s="39"/>
      <c r="Q421" s="39"/>
      <c r="R421" s="39"/>
      <c r="S421" s="39"/>
      <c r="T421" s="39"/>
      <c r="U421" s="39"/>
      <c r="V421" s="39"/>
      <c r="W421" s="39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1.25" customHeight="1" x14ac:dyDescent="0.2">
      <c r="A422" s="35" t="s">
        <v>53</v>
      </c>
      <c r="B422" s="35" t="s">
        <v>32</v>
      </c>
      <c r="C422" s="35" t="s">
        <v>23</v>
      </c>
      <c r="D422" s="35" t="s">
        <v>49</v>
      </c>
      <c r="E422" s="35" t="s">
        <v>25</v>
      </c>
      <c r="F422" s="35" t="s">
        <v>25</v>
      </c>
      <c r="G422" s="35" t="s">
        <v>25</v>
      </c>
      <c r="H422" s="35" t="s">
        <v>25</v>
      </c>
      <c r="I422" s="54">
        <v>44774</v>
      </c>
      <c r="J422" s="55">
        <f>EFEITO!$J$422*EFEITO!$Y$422</f>
        <v>0</v>
      </c>
      <c r="K422" s="55">
        <f ca="1">EFEITO!$L$422*EFEITO!$Z$422</f>
        <v>1473.9100843155845</v>
      </c>
      <c r="L422" s="55">
        <f>EFEITO!$N$422*EFEITO!$AA$422</f>
        <v>734.09748442127045</v>
      </c>
      <c r="M422" s="55">
        <f>$J$422-EFEITO!$K$422*EFEITO!$Y$422</f>
        <v>0</v>
      </c>
      <c r="N422" s="55">
        <f ca="1">$K$422-EFEITO!$M$422*EFEITO!$Z$422</f>
        <v>0</v>
      </c>
      <c r="O422" s="55">
        <f>$L$422-EFEITO!$O$422*EFEITO!$AA$422</f>
        <v>0</v>
      </c>
      <c r="P422" s="39"/>
      <c r="Q422" s="39"/>
      <c r="R422" s="39"/>
      <c r="S422" s="39"/>
      <c r="T422" s="39"/>
      <c r="U422" s="39"/>
      <c r="V422" s="39"/>
      <c r="W422" s="39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1.25" customHeight="1" x14ac:dyDescent="0.2">
      <c r="A423" s="35" t="s">
        <v>21</v>
      </c>
      <c r="B423" s="35" t="s">
        <v>32</v>
      </c>
      <c r="C423" s="35" t="s">
        <v>23</v>
      </c>
      <c r="D423" s="35" t="s">
        <v>33</v>
      </c>
      <c r="E423" s="35" t="s">
        <v>25</v>
      </c>
      <c r="F423" s="35" t="s">
        <v>25</v>
      </c>
      <c r="G423" s="35" t="s">
        <v>25</v>
      </c>
      <c r="H423" s="35" t="s">
        <v>25</v>
      </c>
      <c r="I423" s="54">
        <v>44440</v>
      </c>
      <c r="J423" s="55">
        <f>EFEITO!$J$423*EFEITO!$Y$423</f>
        <v>0</v>
      </c>
      <c r="K423" s="55">
        <f ca="1">EFEITO!$L$423*EFEITO!$Z$423</f>
        <v>116820.8943240182</v>
      </c>
      <c r="L423" s="55">
        <f>EFEITO!$N$423*EFEITO!$AA$423</f>
        <v>58183.959499080869</v>
      </c>
      <c r="M423" s="55">
        <f>$J$423-EFEITO!$K$423*EFEITO!$Y$423</f>
        <v>0</v>
      </c>
      <c r="N423" s="55">
        <f ca="1">$K$423-EFEITO!$M$423*EFEITO!$Z$423</f>
        <v>0</v>
      </c>
      <c r="O423" s="55">
        <f>$L$423-EFEITO!$O$423*EFEITO!$AA$423</f>
        <v>0</v>
      </c>
      <c r="P423" s="39"/>
      <c r="Q423" s="39"/>
      <c r="R423" s="39"/>
      <c r="S423" s="39"/>
      <c r="T423" s="39"/>
      <c r="U423" s="39"/>
      <c r="V423" s="39"/>
      <c r="W423" s="39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1.25" customHeight="1" x14ac:dyDescent="0.2">
      <c r="A424" s="35" t="s">
        <v>27</v>
      </c>
      <c r="B424" s="35" t="s">
        <v>32</v>
      </c>
      <c r="C424" s="35" t="s">
        <v>23</v>
      </c>
      <c r="D424" s="35" t="s">
        <v>33</v>
      </c>
      <c r="E424" s="35" t="s">
        <v>25</v>
      </c>
      <c r="F424" s="35" t="s">
        <v>25</v>
      </c>
      <c r="G424" s="35" t="s">
        <v>25</v>
      </c>
      <c r="H424" s="35" t="s">
        <v>25</v>
      </c>
      <c r="I424" s="54">
        <v>44440</v>
      </c>
      <c r="J424" s="55">
        <f>EFEITO!$J$424*EFEITO!$Y$424</f>
        <v>0</v>
      </c>
      <c r="K424" s="55">
        <f ca="1">EFEITO!$L$424*EFEITO!$Z$424</f>
        <v>23847.813658923267</v>
      </c>
      <c r="L424" s="55">
        <f>EFEITO!$N$424*EFEITO!$AA$424</f>
        <v>11877.671645141127</v>
      </c>
      <c r="M424" s="55">
        <f>$J$424-EFEITO!$K$424*EFEITO!$Y$424</f>
        <v>0</v>
      </c>
      <c r="N424" s="55">
        <f ca="1">$K$424-EFEITO!$M$424*EFEITO!$Z$424</f>
        <v>0</v>
      </c>
      <c r="O424" s="55">
        <f>$L$424-EFEITO!$O$424*EFEITO!$AA$424</f>
        <v>0</v>
      </c>
      <c r="P424" s="39"/>
      <c r="Q424" s="39"/>
      <c r="R424" s="39"/>
      <c r="S424" s="39"/>
      <c r="T424" s="39"/>
      <c r="U424" s="39"/>
      <c r="V424" s="39"/>
      <c r="W424" s="39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1.25" customHeight="1" x14ac:dyDescent="0.2">
      <c r="A425" s="35" t="s">
        <v>21</v>
      </c>
      <c r="B425" s="35" t="s">
        <v>32</v>
      </c>
      <c r="C425" s="35" t="s">
        <v>23</v>
      </c>
      <c r="D425" s="35" t="s">
        <v>33</v>
      </c>
      <c r="E425" s="35" t="s">
        <v>25</v>
      </c>
      <c r="F425" s="35" t="s">
        <v>25</v>
      </c>
      <c r="G425" s="35" t="s">
        <v>25</v>
      </c>
      <c r="H425" s="35" t="s">
        <v>25</v>
      </c>
      <c r="I425" s="54">
        <v>44470</v>
      </c>
      <c r="J425" s="55">
        <f>EFEITO!$J$425*EFEITO!$Y$425</f>
        <v>0</v>
      </c>
      <c r="K425" s="55">
        <f ca="1">EFEITO!$L$425*EFEITO!$Z$425</f>
        <v>122576.61192176778</v>
      </c>
      <c r="L425" s="55">
        <f>EFEITO!$N$425*EFEITO!$AA$425</f>
        <v>61050.659343603074</v>
      </c>
      <c r="M425" s="55">
        <f>$J$425-EFEITO!$K$425*EFEITO!$Y$425</f>
        <v>0</v>
      </c>
      <c r="N425" s="55">
        <f ca="1">$K$425-EFEITO!$M$425*EFEITO!$Z$425</f>
        <v>0</v>
      </c>
      <c r="O425" s="55">
        <f>$L$425-EFEITO!$O$425*EFEITO!$AA$425</f>
        <v>0</v>
      </c>
      <c r="P425" s="39"/>
      <c r="Q425" s="39"/>
      <c r="R425" s="39"/>
      <c r="S425" s="39"/>
      <c r="T425" s="39"/>
      <c r="U425" s="39"/>
      <c r="V425" s="39"/>
      <c r="W425" s="39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1.25" customHeight="1" x14ac:dyDescent="0.2">
      <c r="A426" s="35" t="s">
        <v>27</v>
      </c>
      <c r="B426" s="35" t="s">
        <v>32</v>
      </c>
      <c r="C426" s="35" t="s">
        <v>23</v>
      </c>
      <c r="D426" s="35" t="s">
        <v>33</v>
      </c>
      <c r="E426" s="35" t="s">
        <v>25</v>
      </c>
      <c r="F426" s="35" t="s">
        <v>25</v>
      </c>
      <c r="G426" s="35" t="s">
        <v>25</v>
      </c>
      <c r="H426" s="35" t="s">
        <v>25</v>
      </c>
      <c r="I426" s="54">
        <v>44470</v>
      </c>
      <c r="J426" s="55">
        <f>EFEITO!$J$426*EFEITO!$Y$426</f>
        <v>0</v>
      </c>
      <c r="K426" s="55">
        <f ca="1">EFEITO!$L$426*EFEITO!$Z$426</f>
        <v>24334.538771216183</v>
      </c>
      <c r="L426" s="55">
        <f>EFEITO!$N$426*EFEITO!$AA$426</f>
        <v>12120.090558167836</v>
      </c>
      <c r="M426" s="55">
        <f>$J$426-EFEITO!$K$426*EFEITO!$Y$426</f>
        <v>0</v>
      </c>
      <c r="N426" s="55">
        <f ca="1">$K$426-EFEITO!$M$426*EFEITO!$Z$426</f>
        <v>0</v>
      </c>
      <c r="O426" s="55">
        <f>$L$426-EFEITO!$O$426*EFEITO!$AA$426</f>
        <v>0</v>
      </c>
      <c r="P426" s="39"/>
      <c r="Q426" s="39"/>
      <c r="R426" s="39"/>
      <c r="S426" s="39"/>
      <c r="T426" s="39"/>
      <c r="U426" s="39"/>
      <c r="V426" s="39"/>
      <c r="W426" s="39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1.25" customHeight="1" x14ac:dyDescent="0.2">
      <c r="A427" s="35" t="s">
        <v>21</v>
      </c>
      <c r="B427" s="35" t="s">
        <v>32</v>
      </c>
      <c r="C427" s="35" t="s">
        <v>23</v>
      </c>
      <c r="D427" s="35" t="s">
        <v>33</v>
      </c>
      <c r="E427" s="35" t="s">
        <v>25</v>
      </c>
      <c r="F427" s="35" t="s">
        <v>25</v>
      </c>
      <c r="G427" s="35" t="s">
        <v>25</v>
      </c>
      <c r="H427" s="35" t="s">
        <v>25</v>
      </c>
      <c r="I427" s="54">
        <v>44501</v>
      </c>
      <c r="J427" s="55">
        <f>EFEITO!$J$427*EFEITO!$Y$427</f>
        <v>0</v>
      </c>
      <c r="K427" s="55">
        <f ca="1">EFEITO!$L$427*EFEITO!$Z$427</f>
        <v>120494.51005251474</v>
      </c>
      <c r="L427" s="55">
        <f>EFEITO!$N$427*EFEITO!$AA$427</f>
        <v>60013.645104544368</v>
      </c>
      <c r="M427" s="55">
        <f>$J$427-EFEITO!$K$427*EFEITO!$Y$427</f>
        <v>0</v>
      </c>
      <c r="N427" s="55">
        <f ca="1">$K$427-EFEITO!$M$427*EFEITO!$Z$427</f>
        <v>0</v>
      </c>
      <c r="O427" s="55">
        <f>$L$427-EFEITO!$O$427*EFEITO!$AA$427</f>
        <v>0</v>
      </c>
      <c r="P427" s="39"/>
      <c r="Q427" s="39"/>
      <c r="R427" s="39"/>
      <c r="S427" s="39"/>
      <c r="T427" s="39"/>
      <c r="U427" s="39"/>
      <c r="V427" s="39"/>
      <c r="W427" s="39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1.25" customHeight="1" x14ac:dyDescent="0.2">
      <c r="A428" s="35" t="s">
        <v>27</v>
      </c>
      <c r="B428" s="35" t="s">
        <v>32</v>
      </c>
      <c r="C428" s="35" t="s">
        <v>23</v>
      </c>
      <c r="D428" s="35" t="s">
        <v>33</v>
      </c>
      <c r="E428" s="35" t="s">
        <v>25</v>
      </c>
      <c r="F428" s="35" t="s">
        <v>25</v>
      </c>
      <c r="G428" s="35" t="s">
        <v>25</v>
      </c>
      <c r="H428" s="35" t="s">
        <v>25</v>
      </c>
      <c r="I428" s="54">
        <v>44501</v>
      </c>
      <c r="J428" s="55">
        <f>EFEITO!$J$428*EFEITO!$Y$428</f>
        <v>0</v>
      </c>
      <c r="K428" s="55">
        <f ca="1">EFEITO!$L$428*EFEITO!$Z$428</f>
        <v>13191.366491367262</v>
      </c>
      <c r="L428" s="55">
        <f>EFEITO!$N$428*EFEITO!$AA$428</f>
        <v>6570.1083535827975</v>
      </c>
      <c r="M428" s="55">
        <f>$J$428-EFEITO!$K$428*EFEITO!$Y$428</f>
        <v>0</v>
      </c>
      <c r="N428" s="55">
        <f ca="1">$K$428-EFEITO!$M$428*EFEITO!$Z$428</f>
        <v>0</v>
      </c>
      <c r="O428" s="55">
        <f>$L$428-EFEITO!$O$428*EFEITO!$AA$428</f>
        <v>0</v>
      </c>
      <c r="P428" s="39"/>
      <c r="Q428" s="39"/>
      <c r="R428" s="39"/>
      <c r="S428" s="39"/>
      <c r="T428" s="39"/>
      <c r="U428" s="39"/>
      <c r="V428" s="39"/>
      <c r="W428" s="39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1.25" customHeight="1" x14ac:dyDescent="0.2">
      <c r="A429" s="35" t="s">
        <v>21</v>
      </c>
      <c r="B429" s="35" t="s">
        <v>32</v>
      </c>
      <c r="C429" s="35" t="s">
        <v>23</v>
      </c>
      <c r="D429" s="35" t="s">
        <v>33</v>
      </c>
      <c r="E429" s="35" t="s">
        <v>25</v>
      </c>
      <c r="F429" s="35" t="s">
        <v>25</v>
      </c>
      <c r="G429" s="35" t="s">
        <v>25</v>
      </c>
      <c r="H429" s="35" t="s">
        <v>25</v>
      </c>
      <c r="I429" s="54">
        <v>44531</v>
      </c>
      <c r="J429" s="55">
        <f>EFEITO!$J$429*EFEITO!$Y$429</f>
        <v>0</v>
      </c>
      <c r="K429" s="55">
        <f ca="1">EFEITO!$L$429*EFEITO!$Z$429</f>
        <v>103455.26822454607</v>
      </c>
      <c r="L429" s="55">
        <f>EFEITO!$N$429*EFEITO!$AA$429</f>
        <v>51527.059188982334</v>
      </c>
      <c r="M429" s="55">
        <f>$J$429-EFEITO!$K$429*EFEITO!$Y$429</f>
        <v>0</v>
      </c>
      <c r="N429" s="55">
        <f ca="1">$K$429-EFEITO!$M$429*EFEITO!$Z$429</f>
        <v>0</v>
      </c>
      <c r="O429" s="55">
        <f>$L$429-EFEITO!$O$429*EFEITO!$AA$429</f>
        <v>0</v>
      </c>
      <c r="P429" s="39"/>
      <c r="Q429" s="39"/>
      <c r="R429" s="39"/>
      <c r="S429" s="39"/>
      <c r="T429" s="39"/>
      <c r="U429" s="39"/>
      <c r="V429" s="39"/>
      <c r="W429" s="39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1.25" customHeight="1" x14ac:dyDescent="0.2">
      <c r="A430" s="35" t="s">
        <v>27</v>
      </c>
      <c r="B430" s="35" t="s">
        <v>32</v>
      </c>
      <c r="C430" s="35" t="s">
        <v>23</v>
      </c>
      <c r="D430" s="35" t="s">
        <v>33</v>
      </c>
      <c r="E430" s="35" t="s">
        <v>25</v>
      </c>
      <c r="F430" s="35" t="s">
        <v>25</v>
      </c>
      <c r="G430" s="35" t="s">
        <v>25</v>
      </c>
      <c r="H430" s="35" t="s">
        <v>25</v>
      </c>
      <c r="I430" s="54">
        <v>44531</v>
      </c>
      <c r="J430" s="55">
        <f>EFEITO!$J$430*EFEITO!$Y$430</f>
        <v>0</v>
      </c>
      <c r="K430" s="55">
        <f ca="1">EFEITO!$L$430*EFEITO!$Z$430</f>
        <v>9982.1569105787858</v>
      </c>
      <c r="L430" s="55">
        <f>EFEITO!$N$430*EFEITO!$AA$430</f>
        <v>4971.7254499666533</v>
      </c>
      <c r="M430" s="55">
        <f>$J$430-EFEITO!$K$430*EFEITO!$Y$430</f>
        <v>0</v>
      </c>
      <c r="N430" s="55">
        <f ca="1">$K$430-EFEITO!$M$430*EFEITO!$Z$430</f>
        <v>0</v>
      </c>
      <c r="O430" s="55">
        <f>$L$430-EFEITO!$O$430*EFEITO!$AA$430</f>
        <v>0</v>
      </c>
      <c r="P430" s="39"/>
      <c r="Q430" s="39"/>
      <c r="R430" s="39"/>
      <c r="S430" s="39"/>
      <c r="T430" s="39"/>
      <c r="U430" s="39"/>
      <c r="V430" s="39"/>
      <c r="W430" s="39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1.25" customHeight="1" x14ac:dyDescent="0.2">
      <c r="A431" s="35" t="s">
        <v>21</v>
      </c>
      <c r="B431" s="35" t="s">
        <v>32</v>
      </c>
      <c r="C431" s="35" t="s">
        <v>23</v>
      </c>
      <c r="D431" s="35" t="s">
        <v>33</v>
      </c>
      <c r="E431" s="35" t="s">
        <v>25</v>
      </c>
      <c r="F431" s="35" t="s">
        <v>25</v>
      </c>
      <c r="G431" s="35" t="s">
        <v>25</v>
      </c>
      <c r="H431" s="35" t="s">
        <v>25</v>
      </c>
      <c r="I431" s="54">
        <v>44562</v>
      </c>
      <c r="J431" s="55">
        <f>EFEITO!$J$431*EFEITO!$Y$431</f>
        <v>0</v>
      </c>
      <c r="K431" s="55">
        <f ca="1">EFEITO!$L$431*EFEITO!$Z$431</f>
        <v>69193.08232164105</v>
      </c>
      <c r="L431" s="55">
        <f>EFEITO!$N$431*EFEITO!$AA$431</f>
        <v>34462.392388920503</v>
      </c>
      <c r="M431" s="55">
        <f>$J$431-EFEITO!$K$431*EFEITO!$Y$431</f>
        <v>0</v>
      </c>
      <c r="N431" s="55">
        <f ca="1">$K$431-EFEITO!$M$431*EFEITO!$Z$431</f>
        <v>0</v>
      </c>
      <c r="O431" s="55">
        <f>$L$431-EFEITO!$O$431*EFEITO!$AA$431</f>
        <v>0</v>
      </c>
      <c r="P431" s="39"/>
      <c r="Q431" s="39"/>
      <c r="R431" s="39"/>
      <c r="S431" s="39"/>
      <c r="T431" s="39"/>
      <c r="U431" s="39"/>
      <c r="V431" s="39"/>
      <c r="W431" s="39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1.25" customHeight="1" x14ac:dyDescent="0.2">
      <c r="A432" s="35" t="s">
        <v>27</v>
      </c>
      <c r="B432" s="35" t="s">
        <v>32</v>
      </c>
      <c r="C432" s="35" t="s">
        <v>23</v>
      </c>
      <c r="D432" s="35" t="s">
        <v>33</v>
      </c>
      <c r="E432" s="35" t="s">
        <v>25</v>
      </c>
      <c r="F432" s="35" t="s">
        <v>25</v>
      </c>
      <c r="G432" s="35" t="s">
        <v>25</v>
      </c>
      <c r="H432" s="35" t="s">
        <v>25</v>
      </c>
      <c r="I432" s="54">
        <v>44562</v>
      </c>
      <c r="J432" s="55">
        <f>EFEITO!$J$432*EFEITO!$Y$432</f>
        <v>0</v>
      </c>
      <c r="K432" s="55">
        <f ca="1">EFEITO!$L$432*EFEITO!$Z$432</f>
        <v>6192.2250397265398</v>
      </c>
      <c r="L432" s="55">
        <f>EFEITO!$N$432*EFEITO!$AA$432</f>
        <v>3084.1072823953605</v>
      </c>
      <c r="M432" s="55">
        <f>$J$432-EFEITO!$K$432*EFEITO!$Y$432</f>
        <v>0</v>
      </c>
      <c r="N432" s="55">
        <f ca="1">$K$432-EFEITO!$M$432*EFEITO!$Z$432</f>
        <v>0</v>
      </c>
      <c r="O432" s="55">
        <f>$L$432-EFEITO!$O$432*EFEITO!$AA$432</f>
        <v>0</v>
      </c>
      <c r="P432" s="39"/>
      <c r="Q432" s="39"/>
      <c r="R432" s="39"/>
      <c r="S432" s="39"/>
      <c r="T432" s="39"/>
      <c r="U432" s="39"/>
      <c r="V432" s="39"/>
      <c r="W432" s="39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1.25" customHeight="1" x14ac:dyDescent="0.2">
      <c r="A433" s="35" t="s">
        <v>21</v>
      </c>
      <c r="B433" s="35" t="s">
        <v>32</v>
      </c>
      <c r="C433" s="35" t="s">
        <v>23</v>
      </c>
      <c r="D433" s="35" t="s">
        <v>33</v>
      </c>
      <c r="E433" s="35" t="s">
        <v>25</v>
      </c>
      <c r="F433" s="35" t="s">
        <v>25</v>
      </c>
      <c r="G433" s="35" t="s">
        <v>25</v>
      </c>
      <c r="H433" s="35" t="s">
        <v>25</v>
      </c>
      <c r="I433" s="54">
        <v>44593</v>
      </c>
      <c r="J433" s="55">
        <f>EFEITO!$J$433*EFEITO!$Y$433</f>
        <v>0</v>
      </c>
      <c r="K433" s="55">
        <f ca="1">EFEITO!$L$433*EFEITO!$Z$433</f>
        <v>118837.75614294625</v>
      </c>
      <c r="L433" s="55">
        <f>EFEITO!$N$433*EFEITO!$AA$433</f>
        <v>59188.480197769146</v>
      </c>
      <c r="M433" s="55">
        <f>$J$433-EFEITO!$K$433*EFEITO!$Y$433</f>
        <v>0</v>
      </c>
      <c r="N433" s="55">
        <f ca="1">$K$433-EFEITO!$M$433*EFEITO!$Z$433</f>
        <v>0</v>
      </c>
      <c r="O433" s="55">
        <f>$L$433-EFEITO!$O$433*EFEITO!$AA$433</f>
        <v>0</v>
      </c>
      <c r="P433" s="39"/>
      <c r="Q433" s="39"/>
      <c r="R433" s="39"/>
      <c r="S433" s="39"/>
      <c r="T433" s="39"/>
      <c r="U433" s="39"/>
      <c r="V433" s="39"/>
      <c r="W433" s="39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1.25" customHeight="1" x14ac:dyDescent="0.2">
      <c r="A434" s="35" t="s">
        <v>27</v>
      </c>
      <c r="B434" s="35" t="s">
        <v>32</v>
      </c>
      <c r="C434" s="35" t="s">
        <v>23</v>
      </c>
      <c r="D434" s="35" t="s">
        <v>33</v>
      </c>
      <c r="E434" s="35" t="s">
        <v>25</v>
      </c>
      <c r="F434" s="35" t="s">
        <v>25</v>
      </c>
      <c r="G434" s="35" t="s">
        <v>25</v>
      </c>
      <c r="H434" s="35" t="s">
        <v>25</v>
      </c>
      <c r="I434" s="54">
        <v>44593</v>
      </c>
      <c r="J434" s="55">
        <f>EFEITO!$J$434*EFEITO!$Y$434</f>
        <v>0</v>
      </c>
      <c r="K434" s="55">
        <f ca="1">EFEITO!$L$434*EFEITO!$Z$434</f>
        <v>8621.1292817597059</v>
      </c>
      <c r="L434" s="55">
        <f>EFEITO!$N$434*EFEITO!$AA$434</f>
        <v>4293.8503413178905</v>
      </c>
      <c r="M434" s="55">
        <f>$J$434-EFEITO!$K$434*EFEITO!$Y$434</f>
        <v>0</v>
      </c>
      <c r="N434" s="55">
        <f ca="1">$K$434-EFEITO!$M$434*EFEITO!$Z$434</f>
        <v>0</v>
      </c>
      <c r="O434" s="55">
        <f>$L$434-EFEITO!$O$434*EFEITO!$AA$434</f>
        <v>0</v>
      </c>
      <c r="P434" s="39"/>
      <c r="Q434" s="39"/>
      <c r="R434" s="39"/>
      <c r="S434" s="39"/>
      <c r="T434" s="39"/>
      <c r="U434" s="39"/>
      <c r="V434" s="39"/>
      <c r="W434" s="39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1.25" customHeight="1" x14ac:dyDescent="0.2">
      <c r="A435" s="35" t="s">
        <v>21</v>
      </c>
      <c r="B435" s="35" t="s">
        <v>32</v>
      </c>
      <c r="C435" s="35" t="s">
        <v>23</v>
      </c>
      <c r="D435" s="35" t="s">
        <v>33</v>
      </c>
      <c r="E435" s="35" t="s">
        <v>25</v>
      </c>
      <c r="F435" s="35" t="s">
        <v>25</v>
      </c>
      <c r="G435" s="35" t="s">
        <v>25</v>
      </c>
      <c r="H435" s="35" t="s">
        <v>25</v>
      </c>
      <c r="I435" s="54">
        <v>44621</v>
      </c>
      <c r="J435" s="55">
        <f>EFEITO!$J$435*EFEITO!$Y$435</f>
        <v>0</v>
      </c>
      <c r="K435" s="55">
        <f ca="1">EFEITO!$L$435*EFEITO!$Z$435</f>
        <v>100947.81839560848</v>
      </c>
      <c r="L435" s="55">
        <f>EFEITO!$N$435*EFEITO!$AA$435</f>
        <v>50278.195617640151</v>
      </c>
      <c r="M435" s="55">
        <f>$J$435-EFEITO!$K$435*EFEITO!$Y$435</f>
        <v>0</v>
      </c>
      <c r="N435" s="55">
        <f ca="1">$K$435-EFEITO!$M$435*EFEITO!$Z$435</f>
        <v>0</v>
      </c>
      <c r="O435" s="55">
        <f>$L$435-EFEITO!$O$435*EFEITO!$AA$435</f>
        <v>0</v>
      </c>
      <c r="P435" s="39"/>
      <c r="Q435" s="39"/>
      <c r="R435" s="39"/>
      <c r="S435" s="39"/>
      <c r="T435" s="39"/>
      <c r="U435" s="39"/>
      <c r="V435" s="39"/>
      <c r="W435" s="39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1.25" customHeight="1" x14ac:dyDescent="0.2">
      <c r="A436" s="35" t="s">
        <v>27</v>
      </c>
      <c r="B436" s="35" t="s">
        <v>32</v>
      </c>
      <c r="C436" s="35" t="s">
        <v>23</v>
      </c>
      <c r="D436" s="35" t="s">
        <v>33</v>
      </c>
      <c r="E436" s="35" t="s">
        <v>25</v>
      </c>
      <c r="F436" s="35" t="s">
        <v>25</v>
      </c>
      <c r="G436" s="35" t="s">
        <v>25</v>
      </c>
      <c r="H436" s="35" t="s">
        <v>25</v>
      </c>
      <c r="I436" s="54">
        <v>44621</v>
      </c>
      <c r="J436" s="55">
        <f>EFEITO!$J$436*EFEITO!$Y$436</f>
        <v>0</v>
      </c>
      <c r="K436" s="55">
        <f ca="1">EFEITO!$L$436*EFEITO!$Z$436</f>
        <v>12399.043248604719</v>
      </c>
      <c r="L436" s="55">
        <f>EFEITO!$N$436*EFEITO!$AA$436</f>
        <v>6175.4828567156846</v>
      </c>
      <c r="M436" s="55">
        <f>$J$436-EFEITO!$K$436*EFEITO!$Y$436</f>
        <v>0</v>
      </c>
      <c r="N436" s="55">
        <f ca="1">$K$436-EFEITO!$M$436*EFEITO!$Z$436</f>
        <v>0</v>
      </c>
      <c r="O436" s="55">
        <f>$L$436-EFEITO!$O$436*EFEITO!$AA$436</f>
        <v>0</v>
      </c>
      <c r="P436" s="39"/>
      <c r="Q436" s="39"/>
      <c r="R436" s="39"/>
      <c r="S436" s="39"/>
      <c r="T436" s="39"/>
      <c r="U436" s="39"/>
      <c r="V436" s="39"/>
      <c r="W436" s="39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1.25" customHeight="1" x14ac:dyDescent="0.2">
      <c r="A437" s="35" t="s">
        <v>21</v>
      </c>
      <c r="B437" s="35" t="s">
        <v>32</v>
      </c>
      <c r="C437" s="35" t="s">
        <v>23</v>
      </c>
      <c r="D437" s="35" t="s">
        <v>33</v>
      </c>
      <c r="E437" s="35" t="s">
        <v>25</v>
      </c>
      <c r="F437" s="35" t="s">
        <v>25</v>
      </c>
      <c r="G437" s="35" t="s">
        <v>25</v>
      </c>
      <c r="H437" s="35" t="s">
        <v>25</v>
      </c>
      <c r="I437" s="54">
        <v>44652</v>
      </c>
      <c r="J437" s="55">
        <f>EFEITO!$J$437*EFEITO!$Y$437</f>
        <v>0</v>
      </c>
      <c r="K437" s="55">
        <f ca="1">EFEITO!$L$437*EFEITO!$Z$437</f>
        <v>99423.690640976973</v>
      </c>
      <c r="L437" s="55">
        <f>EFEITO!$N$437*EFEITO!$AA$437</f>
        <v>49519.086658065331</v>
      </c>
      <c r="M437" s="55">
        <f>$J$437-EFEITO!$K$437*EFEITO!$Y$437</f>
        <v>0</v>
      </c>
      <c r="N437" s="55">
        <f ca="1">$K$437-EFEITO!$M$437*EFEITO!$Z$437</f>
        <v>0</v>
      </c>
      <c r="O437" s="55">
        <f>$L$437-EFEITO!$O$437*EFEITO!$AA$437</f>
        <v>0</v>
      </c>
      <c r="P437" s="39"/>
      <c r="Q437" s="39"/>
      <c r="R437" s="39"/>
      <c r="S437" s="39"/>
      <c r="T437" s="39"/>
      <c r="U437" s="39"/>
      <c r="V437" s="39"/>
      <c r="W437" s="39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1.25" customHeight="1" x14ac:dyDescent="0.2">
      <c r="A438" s="35" t="s">
        <v>27</v>
      </c>
      <c r="B438" s="35" t="s">
        <v>32</v>
      </c>
      <c r="C438" s="35" t="s">
        <v>23</v>
      </c>
      <c r="D438" s="35" t="s">
        <v>33</v>
      </c>
      <c r="E438" s="35" t="s">
        <v>25</v>
      </c>
      <c r="F438" s="35" t="s">
        <v>25</v>
      </c>
      <c r="G438" s="35" t="s">
        <v>25</v>
      </c>
      <c r="H438" s="35" t="s">
        <v>25</v>
      </c>
      <c r="I438" s="54">
        <v>44652</v>
      </c>
      <c r="J438" s="55">
        <f>EFEITO!$J$438*EFEITO!$Y$438</f>
        <v>0</v>
      </c>
      <c r="K438" s="55">
        <f ca="1">EFEITO!$L$438*EFEITO!$Z$438</f>
        <v>14059.660055889806</v>
      </c>
      <c r="L438" s="55">
        <f>EFEITO!$N$438*EFEITO!$AA$438</f>
        <v>7002.5717231180997</v>
      </c>
      <c r="M438" s="55">
        <f>$J$438-EFEITO!$K$438*EFEITO!$Y$438</f>
        <v>0</v>
      </c>
      <c r="N438" s="55">
        <f ca="1">$K$438-EFEITO!$M$438*EFEITO!$Z$438</f>
        <v>0</v>
      </c>
      <c r="O438" s="55">
        <f>$L$438-EFEITO!$O$438*EFEITO!$AA$438</f>
        <v>0</v>
      </c>
      <c r="P438" s="39"/>
      <c r="Q438" s="39"/>
      <c r="R438" s="39"/>
      <c r="S438" s="39"/>
      <c r="T438" s="39"/>
      <c r="U438" s="39"/>
      <c r="V438" s="39"/>
      <c r="W438" s="39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1.25" customHeight="1" x14ac:dyDescent="0.2">
      <c r="A439" s="35" t="s">
        <v>21</v>
      </c>
      <c r="B439" s="35" t="s">
        <v>32</v>
      </c>
      <c r="C439" s="35" t="s">
        <v>23</v>
      </c>
      <c r="D439" s="35" t="s">
        <v>33</v>
      </c>
      <c r="E439" s="35" t="s">
        <v>25</v>
      </c>
      <c r="F439" s="35" t="s">
        <v>25</v>
      </c>
      <c r="G439" s="35" t="s">
        <v>25</v>
      </c>
      <c r="H439" s="35" t="s">
        <v>25</v>
      </c>
      <c r="I439" s="54">
        <v>44682</v>
      </c>
      <c r="J439" s="55">
        <f>EFEITO!$J$439*EFEITO!$Y$439</f>
        <v>0</v>
      </c>
      <c r="K439" s="55">
        <f ca="1">EFEITO!$L$439*EFEITO!$Z$439</f>
        <v>94988.654851450789</v>
      </c>
      <c r="L439" s="55">
        <f>EFEITO!$N$439*EFEITO!$AA$439</f>
        <v>47310.16723275229</v>
      </c>
      <c r="M439" s="55">
        <f>$J$439-EFEITO!$K$439*EFEITO!$Y$439</f>
        <v>0</v>
      </c>
      <c r="N439" s="55">
        <f ca="1">$K$439-EFEITO!$M$439*EFEITO!$Z$439</f>
        <v>0</v>
      </c>
      <c r="O439" s="55">
        <f>$L$439-EFEITO!$O$439*EFEITO!$AA$439</f>
        <v>0</v>
      </c>
      <c r="P439" s="39"/>
      <c r="Q439" s="39"/>
      <c r="R439" s="39"/>
      <c r="S439" s="39"/>
      <c r="T439" s="39"/>
      <c r="U439" s="39"/>
      <c r="V439" s="39"/>
      <c r="W439" s="39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1.25" customHeight="1" x14ac:dyDescent="0.2">
      <c r="A440" s="35" t="s">
        <v>27</v>
      </c>
      <c r="B440" s="35" t="s">
        <v>32</v>
      </c>
      <c r="C440" s="35" t="s">
        <v>23</v>
      </c>
      <c r="D440" s="35" t="s">
        <v>33</v>
      </c>
      <c r="E440" s="35" t="s">
        <v>25</v>
      </c>
      <c r="F440" s="35" t="s">
        <v>25</v>
      </c>
      <c r="G440" s="35" t="s">
        <v>25</v>
      </c>
      <c r="H440" s="35" t="s">
        <v>25</v>
      </c>
      <c r="I440" s="54">
        <v>44682</v>
      </c>
      <c r="J440" s="55">
        <f>EFEITO!$J$440*EFEITO!$Y$440</f>
        <v>0</v>
      </c>
      <c r="K440" s="55">
        <f ca="1">EFEITO!$L$440*EFEITO!$Z$440</f>
        <v>13371.635051475749</v>
      </c>
      <c r="L440" s="55">
        <f>EFEITO!$N$440*EFEITO!$AA$440</f>
        <v>6659.8931361852819</v>
      </c>
      <c r="M440" s="55">
        <f>$J$440-EFEITO!$K$440*EFEITO!$Y$440</f>
        <v>0</v>
      </c>
      <c r="N440" s="55">
        <f ca="1">$K$440-EFEITO!$M$440*EFEITO!$Z$440</f>
        <v>0</v>
      </c>
      <c r="O440" s="55">
        <f>$L$440-EFEITO!$O$440*EFEITO!$AA$440</f>
        <v>0</v>
      </c>
      <c r="P440" s="39"/>
      <c r="Q440" s="39"/>
      <c r="R440" s="39"/>
      <c r="S440" s="39"/>
      <c r="T440" s="39"/>
      <c r="U440" s="39"/>
      <c r="V440" s="39"/>
      <c r="W440" s="39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1.25" customHeight="1" x14ac:dyDescent="0.2">
      <c r="A441" s="35" t="s">
        <v>21</v>
      </c>
      <c r="B441" s="35" t="s">
        <v>32</v>
      </c>
      <c r="C441" s="35" t="s">
        <v>23</v>
      </c>
      <c r="D441" s="35" t="s">
        <v>33</v>
      </c>
      <c r="E441" s="35" t="s">
        <v>25</v>
      </c>
      <c r="F441" s="35" t="s">
        <v>25</v>
      </c>
      <c r="G441" s="35" t="s">
        <v>25</v>
      </c>
      <c r="H441" s="35" t="s">
        <v>25</v>
      </c>
      <c r="I441" s="54">
        <v>44713</v>
      </c>
      <c r="J441" s="55">
        <f>EFEITO!$J$441*EFEITO!$Y$441</f>
        <v>0</v>
      </c>
      <c r="K441" s="55">
        <f ca="1">EFEITO!$L$441*EFEITO!$Z$441</f>
        <v>105182.41271472834</v>
      </c>
      <c r="L441" s="55">
        <f>EFEITO!$N$441*EFEITO!$AA$441</f>
        <v>52387.282915630909</v>
      </c>
      <c r="M441" s="55">
        <f>$J$441-EFEITO!$K$441*EFEITO!$Y$441</f>
        <v>0</v>
      </c>
      <c r="N441" s="55">
        <f ca="1">$K$441-EFEITO!$M$441*EFEITO!$Z$441</f>
        <v>0</v>
      </c>
      <c r="O441" s="55">
        <f>$L$441-EFEITO!$O$441*EFEITO!$AA$441</f>
        <v>0</v>
      </c>
      <c r="P441" s="39"/>
      <c r="Q441" s="39"/>
      <c r="R441" s="39"/>
      <c r="S441" s="39"/>
      <c r="T441" s="39"/>
      <c r="U441" s="39"/>
      <c r="V441" s="39"/>
      <c r="W441" s="39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1.25" customHeight="1" x14ac:dyDescent="0.2">
      <c r="A442" s="35" t="s">
        <v>27</v>
      </c>
      <c r="B442" s="35" t="s">
        <v>32</v>
      </c>
      <c r="C442" s="35" t="s">
        <v>23</v>
      </c>
      <c r="D442" s="35" t="s">
        <v>33</v>
      </c>
      <c r="E442" s="35" t="s">
        <v>25</v>
      </c>
      <c r="F442" s="35" t="s">
        <v>25</v>
      </c>
      <c r="G442" s="35" t="s">
        <v>25</v>
      </c>
      <c r="H442" s="35" t="s">
        <v>25</v>
      </c>
      <c r="I442" s="54">
        <v>44713</v>
      </c>
      <c r="J442" s="55">
        <f>EFEITO!$J$442*EFEITO!$Y$442</f>
        <v>0</v>
      </c>
      <c r="K442" s="55">
        <f ca="1">EFEITO!$L$442*EFEITO!$Z$442</f>
        <v>20341.590164813191</v>
      </c>
      <c r="L442" s="55">
        <f>EFEITO!$N$442*EFEITO!$AA$442</f>
        <v>10131.357623522792</v>
      </c>
      <c r="M442" s="55">
        <f>$J$442-EFEITO!$K$442*EFEITO!$Y$442</f>
        <v>0</v>
      </c>
      <c r="N442" s="55">
        <f ca="1">$K$442-EFEITO!$M$442*EFEITO!$Z$442</f>
        <v>0</v>
      </c>
      <c r="O442" s="55">
        <f>$L$442-EFEITO!$O$442*EFEITO!$AA$442</f>
        <v>0</v>
      </c>
      <c r="P442" s="39"/>
      <c r="Q442" s="39"/>
      <c r="R442" s="39"/>
      <c r="S442" s="39"/>
      <c r="T442" s="39"/>
      <c r="U442" s="39"/>
      <c r="V442" s="39"/>
      <c r="W442" s="39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1.25" customHeight="1" x14ac:dyDescent="0.2">
      <c r="A443" s="35" t="s">
        <v>21</v>
      </c>
      <c r="B443" s="35" t="s">
        <v>32</v>
      </c>
      <c r="C443" s="35" t="s">
        <v>23</v>
      </c>
      <c r="D443" s="35" t="s">
        <v>33</v>
      </c>
      <c r="E443" s="35" t="s">
        <v>25</v>
      </c>
      <c r="F443" s="35" t="s">
        <v>25</v>
      </c>
      <c r="G443" s="35" t="s">
        <v>25</v>
      </c>
      <c r="H443" s="35" t="s">
        <v>25</v>
      </c>
      <c r="I443" s="54">
        <v>44743</v>
      </c>
      <c r="J443" s="55">
        <f>EFEITO!$J$443*EFEITO!$Y$443</f>
        <v>0</v>
      </c>
      <c r="K443" s="55">
        <f ca="1">EFEITO!$L$443*EFEITO!$Z$443</f>
        <v>94158.131842379546</v>
      </c>
      <c r="L443" s="55">
        <f>EFEITO!$N$443*EFEITO!$AA$443</f>
        <v>46896.515912905124</v>
      </c>
      <c r="M443" s="55">
        <f>$J$443-EFEITO!$K$443*EFEITO!$Y$443</f>
        <v>0</v>
      </c>
      <c r="N443" s="55">
        <f ca="1">$K$443-EFEITO!$M$443*EFEITO!$Z$443</f>
        <v>0</v>
      </c>
      <c r="O443" s="55">
        <f>$L$443-EFEITO!$O$443*EFEITO!$AA$443</f>
        <v>0</v>
      </c>
      <c r="P443" s="39"/>
      <c r="Q443" s="39"/>
      <c r="R443" s="39"/>
      <c r="S443" s="39"/>
      <c r="T443" s="39"/>
      <c r="U443" s="39"/>
      <c r="V443" s="39"/>
      <c r="W443" s="39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1.25" customHeight="1" x14ac:dyDescent="0.2">
      <c r="A444" s="35" t="s">
        <v>27</v>
      </c>
      <c r="B444" s="35" t="s">
        <v>32</v>
      </c>
      <c r="C444" s="35" t="s">
        <v>23</v>
      </c>
      <c r="D444" s="35" t="s">
        <v>33</v>
      </c>
      <c r="E444" s="35" t="s">
        <v>25</v>
      </c>
      <c r="F444" s="35" t="s">
        <v>25</v>
      </c>
      <c r="G444" s="35" t="s">
        <v>25</v>
      </c>
      <c r="H444" s="35" t="s">
        <v>25</v>
      </c>
      <c r="I444" s="54">
        <v>44743</v>
      </c>
      <c r="J444" s="55">
        <f>EFEITO!$J$444*EFEITO!$Y$444</f>
        <v>0</v>
      </c>
      <c r="K444" s="55">
        <f ca="1">EFEITO!$L$444*EFEITO!$Z$444</f>
        <v>25142.313604845171</v>
      </c>
      <c r="L444" s="55">
        <f>EFEITO!$N$444*EFEITO!$AA$444</f>
        <v>12522.411893543735</v>
      </c>
      <c r="M444" s="55">
        <f>$J$444-EFEITO!$K$444*EFEITO!$Y$444</f>
        <v>0</v>
      </c>
      <c r="N444" s="55">
        <f ca="1">$K$444-EFEITO!$M$444*EFEITO!$Z$444</f>
        <v>0</v>
      </c>
      <c r="O444" s="55">
        <f>$L$444-EFEITO!$O$444*EFEITO!$AA$444</f>
        <v>0</v>
      </c>
      <c r="P444" s="39"/>
      <c r="Q444" s="39"/>
      <c r="R444" s="39"/>
      <c r="S444" s="39"/>
      <c r="T444" s="39"/>
      <c r="U444" s="39"/>
      <c r="V444" s="39"/>
      <c r="W444" s="39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1.25" customHeight="1" x14ac:dyDescent="0.2">
      <c r="A445" s="35" t="s">
        <v>53</v>
      </c>
      <c r="B445" s="35" t="s">
        <v>32</v>
      </c>
      <c r="C445" s="35" t="s">
        <v>23</v>
      </c>
      <c r="D445" s="35" t="s">
        <v>33</v>
      </c>
      <c r="E445" s="35" t="s">
        <v>25</v>
      </c>
      <c r="F445" s="35" t="s">
        <v>25</v>
      </c>
      <c r="G445" s="35" t="s">
        <v>25</v>
      </c>
      <c r="H445" s="35" t="s">
        <v>25</v>
      </c>
      <c r="I445" s="54">
        <v>44774</v>
      </c>
      <c r="J445" s="55">
        <f>EFEITO!$J$445*EFEITO!$Y$445</f>
        <v>0</v>
      </c>
      <c r="K445" s="55">
        <f ca="1">EFEITO!$L$445*EFEITO!$Z$445</f>
        <v>94158.131842379546</v>
      </c>
      <c r="L445" s="55">
        <f>EFEITO!$N$445*EFEITO!$AA$445</f>
        <v>46896.515912905124</v>
      </c>
      <c r="M445" s="55">
        <f>$J$445-EFEITO!$K$445*EFEITO!$Y$445</f>
        <v>0</v>
      </c>
      <c r="N445" s="55">
        <f ca="1">$K$445-EFEITO!$M$445*EFEITO!$Z$445</f>
        <v>0</v>
      </c>
      <c r="O445" s="55">
        <f>$L$445-EFEITO!$O$445*EFEITO!$AA$445</f>
        <v>0</v>
      </c>
      <c r="P445" s="39"/>
      <c r="Q445" s="39"/>
      <c r="R445" s="39"/>
      <c r="S445" s="39"/>
      <c r="T445" s="39"/>
      <c r="U445" s="39"/>
      <c r="V445" s="39"/>
      <c r="W445" s="39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1.25" customHeight="1" x14ac:dyDescent="0.2">
      <c r="A446" s="35" t="s">
        <v>53</v>
      </c>
      <c r="B446" s="35" t="s">
        <v>32</v>
      </c>
      <c r="C446" s="35" t="s">
        <v>23</v>
      </c>
      <c r="D446" s="35" t="s">
        <v>33</v>
      </c>
      <c r="E446" s="35" t="s">
        <v>25</v>
      </c>
      <c r="F446" s="35" t="s">
        <v>25</v>
      </c>
      <c r="G446" s="35" t="s">
        <v>25</v>
      </c>
      <c r="H446" s="35" t="s">
        <v>25</v>
      </c>
      <c r="I446" s="54">
        <v>44774</v>
      </c>
      <c r="J446" s="55">
        <f>EFEITO!$J$446*EFEITO!$Y$446</f>
        <v>0</v>
      </c>
      <c r="K446" s="55">
        <f ca="1">EFEITO!$L$446*EFEITO!$Z$446</f>
        <v>25142.313604845171</v>
      </c>
      <c r="L446" s="55">
        <f>EFEITO!$N$446*EFEITO!$AA$446</f>
        <v>12522.411893543735</v>
      </c>
      <c r="M446" s="55">
        <f>$J$446-EFEITO!$K$446*EFEITO!$Y$446</f>
        <v>0</v>
      </c>
      <c r="N446" s="55">
        <f ca="1">$K$446-EFEITO!$M$446*EFEITO!$Z$446</f>
        <v>0</v>
      </c>
      <c r="O446" s="55">
        <f>$L$446-EFEITO!$O$446*EFEITO!$AA$446</f>
        <v>0</v>
      </c>
      <c r="P446" s="39"/>
      <c r="Q446" s="39"/>
      <c r="R446" s="39"/>
      <c r="S446" s="39"/>
      <c r="T446" s="39"/>
      <c r="U446" s="39"/>
      <c r="V446" s="39"/>
      <c r="W446" s="39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1.25" customHeight="1" x14ac:dyDescent="0.2">
      <c r="A447" s="35" t="s">
        <v>21</v>
      </c>
      <c r="B447" s="35" t="s">
        <v>32</v>
      </c>
      <c r="C447" s="35" t="s">
        <v>23</v>
      </c>
      <c r="D447" s="35" t="s">
        <v>42</v>
      </c>
      <c r="E447" s="35" t="s">
        <v>25</v>
      </c>
      <c r="F447" s="35" t="s">
        <v>25</v>
      </c>
      <c r="G447" s="35" t="s">
        <v>25</v>
      </c>
      <c r="H447" s="35" t="s">
        <v>25</v>
      </c>
      <c r="I447" s="54">
        <v>44440</v>
      </c>
      <c r="J447" s="55">
        <f>EFEITO!$J$447*EFEITO!$Y$447</f>
        <v>0</v>
      </c>
      <c r="K447" s="55">
        <f ca="1">EFEITO!$L$447*EFEITO!$Z$447</f>
        <v>24016.064315024523</v>
      </c>
      <c r="L447" s="55">
        <f>EFEITO!$N$447*EFEITO!$AA$447</f>
        <v>11961.470775570113</v>
      </c>
      <c r="M447" s="55">
        <f>$J$447-EFEITO!$K$447*EFEITO!$Y$447</f>
        <v>0</v>
      </c>
      <c r="N447" s="55">
        <f ca="1">$K$447-EFEITO!$M$447*EFEITO!$Z$447</f>
        <v>0</v>
      </c>
      <c r="O447" s="55">
        <f>$L$447-EFEITO!$O$447*EFEITO!$AA$447</f>
        <v>0</v>
      </c>
      <c r="P447" s="39"/>
      <c r="Q447" s="39"/>
      <c r="R447" s="39"/>
      <c r="S447" s="39"/>
      <c r="T447" s="39"/>
      <c r="U447" s="39"/>
      <c r="V447" s="39"/>
      <c r="W447" s="39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1.25" customHeight="1" x14ac:dyDescent="0.2">
      <c r="A448" s="35" t="s">
        <v>21</v>
      </c>
      <c r="B448" s="35" t="s">
        <v>32</v>
      </c>
      <c r="C448" s="35" t="s">
        <v>23</v>
      </c>
      <c r="D448" s="35" t="s">
        <v>42</v>
      </c>
      <c r="E448" s="35" t="s">
        <v>25</v>
      </c>
      <c r="F448" s="35" t="s">
        <v>25</v>
      </c>
      <c r="G448" s="35" t="s">
        <v>25</v>
      </c>
      <c r="H448" s="35" t="s">
        <v>25</v>
      </c>
      <c r="I448" s="54">
        <v>44470</v>
      </c>
      <c r="J448" s="55">
        <f>EFEITO!$J$448*EFEITO!$Y$448</f>
        <v>0</v>
      </c>
      <c r="K448" s="55">
        <f ca="1">EFEITO!$L$448*EFEITO!$Z$448</f>
        <v>25375.8043112714</v>
      </c>
      <c r="L448" s="55">
        <f>EFEITO!$N$448*EFEITO!$AA$448</f>
        <v>12638.704564343143</v>
      </c>
      <c r="M448" s="55">
        <f>$J$448-EFEITO!$K$448*EFEITO!$Y$448</f>
        <v>0</v>
      </c>
      <c r="N448" s="55">
        <f ca="1">$K$448-EFEITO!$M$448*EFEITO!$Z$448</f>
        <v>0</v>
      </c>
      <c r="O448" s="55">
        <f>$L$448-EFEITO!$O$448*EFEITO!$AA$448</f>
        <v>0</v>
      </c>
      <c r="P448" s="39"/>
      <c r="Q448" s="39"/>
      <c r="R448" s="39"/>
      <c r="S448" s="39"/>
      <c r="T448" s="39"/>
      <c r="U448" s="39"/>
      <c r="V448" s="39"/>
      <c r="W448" s="39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1.25" customHeight="1" x14ac:dyDescent="0.2">
      <c r="A449" s="35" t="s">
        <v>21</v>
      </c>
      <c r="B449" s="35" t="s">
        <v>32</v>
      </c>
      <c r="C449" s="35" t="s">
        <v>23</v>
      </c>
      <c r="D449" s="35" t="s">
        <v>42</v>
      </c>
      <c r="E449" s="35" t="s">
        <v>25</v>
      </c>
      <c r="F449" s="35" t="s">
        <v>25</v>
      </c>
      <c r="G449" s="35" t="s">
        <v>25</v>
      </c>
      <c r="H449" s="35" t="s">
        <v>25</v>
      </c>
      <c r="I449" s="54">
        <v>44501</v>
      </c>
      <c r="J449" s="55">
        <f>EFEITO!$J$449*EFEITO!$Y$449</f>
        <v>0</v>
      </c>
      <c r="K449" s="55">
        <f ca="1">EFEITO!$L$449*EFEITO!$Z$449</f>
        <v>28874.302009948256</v>
      </c>
      <c r="L449" s="55">
        <f>EFEITO!$N$449*EFEITO!$AA$449</f>
        <v>14381.170666707083</v>
      </c>
      <c r="M449" s="55">
        <f>$J$449-EFEITO!$K$449*EFEITO!$Y$449</f>
        <v>0</v>
      </c>
      <c r="N449" s="55">
        <f ca="1">$K$449-EFEITO!$M$449*EFEITO!$Z$449</f>
        <v>0</v>
      </c>
      <c r="O449" s="55">
        <f>$L$449-EFEITO!$O$449*EFEITO!$AA$449</f>
        <v>0</v>
      </c>
      <c r="P449" s="39"/>
      <c r="Q449" s="39"/>
      <c r="R449" s="39"/>
      <c r="S449" s="39"/>
      <c r="T449" s="39"/>
      <c r="U449" s="39"/>
      <c r="V449" s="39"/>
      <c r="W449" s="39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1.25" customHeight="1" x14ac:dyDescent="0.2">
      <c r="A450" s="35" t="s">
        <v>21</v>
      </c>
      <c r="B450" s="35" t="s">
        <v>32</v>
      </c>
      <c r="C450" s="35" t="s">
        <v>23</v>
      </c>
      <c r="D450" s="35" t="s">
        <v>42</v>
      </c>
      <c r="E450" s="35" t="s">
        <v>25</v>
      </c>
      <c r="F450" s="35" t="s">
        <v>25</v>
      </c>
      <c r="G450" s="35" t="s">
        <v>25</v>
      </c>
      <c r="H450" s="35" t="s">
        <v>25</v>
      </c>
      <c r="I450" s="54">
        <v>44531</v>
      </c>
      <c r="J450" s="55">
        <f>EFEITO!$J$450*EFEITO!$Y$450</f>
        <v>0</v>
      </c>
      <c r="K450" s="55">
        <f ca="1">EFEITO!$L$450*EFEITO!$Z$450</f>
        <v>30355.937889697059</v>
      </c>
      <c r="L450" s="55">
        <f>EFEITO!$N$450*EFEITO!$AA$450</f>
        <v>15119.116070382745</v>
      </c>
      <c r="M450" s="55">
        <f>$J$450-EFEITO!$K$450*EFEITO!$Y$450</f>
        <v>0</v>
      </c>
      <c r="N450" s="55">
        <f ca="1">$K$450-EFEITO!$M$450*EFEITO!$Z$450</f>
        <v>0</v>
      </c>
      <c r="O450" s="55">
        <f>$L$450-EFEITO!$O$450*EFEITO!$AA$450</f>
        <v>0</v>
      </c>
      <c r="P450" s="39"/>
      <c r="Q450" s="39"/>
      <c r="R450" s="39"/>
      <c r="S450" s="39"/>
      <c r="T450" s="39"/>
      <c r="U450" s="39"/>
      <c r="V450" s="39"/>
      <c r="W450" s="39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1.25" customHeight="1" x14ac:dyDescent="0.2">
      <c r="A451" s="35" t="s">
        <v>21</v>
      </c>
      <c r="B451" s="35" t="s">
        <v>32</v>
      </c>
      <c r="C451" s="35" t="s">
        <v>23</v>
      </c>
      <c r="D451" s="35" t="s">
        <v>42</v>
      </c>
      <c r="E451" s="35" t="s">
        <v>25</v>
      </c>
      <c r="F451" s="35" t="s">
        <v>25</v>
      </c>
      <c r="G451" s="35" t="s">
        <v>25</v>
      </c>
      <c r="H451" s="35" t="s">
        <v>25</v>
      </c>
      <c r="I451" s="54">
        <v>44562</v>
      </c>
      <c r="J451" s="55">
        <f>EFEITO!$J$451*EFEITO!$Y$451</f>
        <v>0</v>
      </c>
      <c r="K451" s="55">
        <f ca="1">EFEITO!$L$451*EFEITO!$Z$451</f>
        <v>21820.221568560188</v>
      </c>
      <c r="L451" s="55">
        <f>EFEITO!$N$451*EFEITO!$AA$451</f>
        <v>10867.806614155081</v>
      </c>
      <c r="M451" s="55">
        <f>$J$451-EFEITO!$K$451*EFEITO!$Y$451</f>
        <v>0</v>
      </c>
      <c r="N451" s="55">
        <f ca="1">$K$451-EFEITO!$M$451*EFEITO!$Z$451</f>
        <v>0</v>
      </c>
      <c r="O451" s="55">
        <f>$L$451-EFEITO!$O$451*EFEITO!$AA$451</f>
        <v>0</v>
      </c>
      <c r="P451" s="39"/>
      <c r="Q451" s="39"/>
      <c r="R451" s="39"/>
      <c r="S451" s="39"/>
      <c r="T451" s="39"/>
      <c r="U451" s="39"/>
      <c r="V451" s="39"/>
      <c r="W451" s="39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1.25" customHeight="1" x14ac:dyDescent="0.2">
      <c r="A452" s="35" t="s">
        <v>21</v>
      </c>
      <c r="B452" s="35" t="s">
        <v>32</v>
      </c>
      <c r="C452" s="35" t="s">
        <v>23</v>
      </c>
      <c r="D452" s="35" t="s">
        <v>42</v>
      </c>
      <c r="E452" s="35" t="s">
        <v>25</v>
      </c>
      <c r="F452" s="35" t="s">
        <v>25</v>
      </c>
      <c r="G452" s="35" t="s">
        <v>25</v>
      </c>
      <c r="H452" s="35" t="s">
        <v>25</v>
      </c>
      <c r="I452" s="54">
        <v>44593</v>
      </c>
      <c r="J452" s="55">
        <f>EFEITO!$J$452*EFEITO!$Y$452</f>
        <v>0</v>
      </c>
      <c r="K452" s="55">
        <f ca="1">EFEITO!$L$452*EFEITO!$Z$452</f>
        <v>36067.017558276901</v>
      </c>
      <c r="L452" s="55">
        <f>EFEITO!$N$452*EFEITO!$AA$452</f>
        <v>17963.583492546237</v>
      </c>
      <c r="M452" s="55">
        <f>$J$452-EFEITO!$K$452*EFEITO!$Y$452</f>
        <v>0</v>
      </c>
      <c r="N452" s="55">
        <f ca="1">$K$452-EFEITO!$M$452*EFEITO!$Z$452</f>
        <v>0</v>
      </c>
      <c r="O452" s="55">
        <f>$L$452-EFEITO!$O$452*EFEITO!$AA$452</f>
        <v>0</v>
      </c>
      <c r="P452" s="39"/>
      <c r="Q452" s="39"/>
      <c r="R452" s="39"/>
      <c r="S452" s="39"/>
      <c r="T452" s="39"/>
      <c r="U452" s="39"/>
      <c r="V452" s="39"/>
      <c r="W452" s="39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1.25" customHeight="1" x14ac:dyDescent="0.2">
      <c r="A453" s="35" t="s">
        <v>21</v>
      </c>
      <c r="B453" s="35" t="s">
        <v>32</v>
      </c>
      <c r="C453" s="35" t="s">
        <v>23</v>
      </c>
      <c r="D453" s="35" t="s">
        <v>42</v>
      </c>
      <c r="E453" s="35" t="s">
        <v>25</v>
      </c>
      <c r="F453" s="35" t="s">
        <v>25</v>
      </c>
      <c r="G453" s="35" t="s">
        <v>25</v>
      </c>
      <c r="H453" s="35" t="s">
        <v>25</v>
      </c>
      <c r="I453" s="54">
        <v>44621</v>
      </c>
      <c r="J453" s="55">
        <f>EFEITO!$J$453*EFEITO!$Y$453</f>
        <v>0</v>
      </c>
      <c r="K453" s="55">
        <f ca="1">EFEITO!$L$453*EFEITO!$Z$453</f>
        <v>44631.06179600225</v>
      </c>
      <c r="L453" s="55">
        <f>EFEITO!$N$453*EFEITO!$AA$453</f>
        <v>22229.001986040006</v>
      </c>
      <c r="M453" s="55">
        <f>$J$453-EFEITO!$K$453*EFEITO!$Y$453</f>
        <v>0</v>
      </c>
      <c r="N453" s="55">
        <f ca="1">$K$453-EFEITO!$M$453*EFEITO!$Z$453</f>
        <v>0</v>
      </c>
      <c r="O453" s="55">
        <f>$L$453-EFEITO!$O$453*EFEITO!$AA$453</f>
        <v>0</v>
      </c>
      <c r="P453" s="39"/>
      <c r="Q453" s="39"/>
      <c r="R453" s="39"/>
      <c r="S453" s="39"/>
      <c r="T453" s="39"/>
      <c r="U453" s="39"/>
      <c r="V453" s="39"/>
      <c r="W453" s="39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1.25" customHeight="1" x14ac:dyDescent="0.2">
      <c r="A454" s="35" t="s">
        <v>21</v>
      </c>
      <c r="B454" s="35" t="s">
        <v>32</v>
      </c>
      <c r="C454" s="35" t="s">
        <v>23</v>
      </c>
      <c r="D454" s="35" t="s">
        <v>42</v>
      </c>
      <c r="E454" s="35" t="s">
        <v>25</v>
      </c>
      <c r="F454" s="35" t="s">
        <v>25</v>
      </c>
      <c r="G454" s="35" t="s">
        <v>25</v>
      </c>
      <c r="H454" s="35" t="s">
        <v>25</v>
      </c>
      <c r="I454" s="54">
        <v>44652</v>
      </c>
      <c r="J454" s="55">
        <f>EFEITO!$J$454*EFEITO!$Y$454</f>
        <v>0</v>
      </c>
      <c r="K454" s="55">
        <f ca="1">EFEITO!$L$454*EFEITO!$Z$454</f>
        <v>30305.720219381128</v>
      </c>
      <c r="L454" s="55">
        <f>EFEITO!$N$454*EFEITO!$AA$454</f>
        <v>15094.104595229199</v>
      </c>
      <c r="M454" s="55">
        <f>$J$454-EFEITO!$K$454*EFEITO!$Y$454</f>
        <v>0</v>
      </c>
      <c r="N454" s="55">
        <f ca="1">$K$454-EFEITO!$M$454*EFEITO!$Z$454</f>
        <v>0</v>
      </c>
      <c r="O454" s="55">
        <f>$L$454-EFEITO!$O$454*EFEITO!$AA$454</f>
        <v>0</v>
      </c>
      <c r="P454" s="39"/>
      <c r="Q454" s="39"/>
      <c r="R454" s="39"/>
      <c r="S454" s="39"/>
      <c r="T454" s="39"/>
      <c r="U454" s="39"/>
      <c r="V454" s="39"/>
      <c r="W454" s="39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1.25" customHeight="1" x14ac:dyDescent="0.2">
      <c r="A455" s="35" t="s">
        <v>21</v>
      </c>
      <c r="B455" s="35" t="s">
        <v>32</v>
      </c>
      <c r="C455" s="35" t="s">
        <v>23</v>
      </c>
      <c r="D455" s="35" t="s">
        <v>42</v>
      </c>
      <c r="E455" s="35" t="s">
        <v>25</v>
      </c>
      <c r="F455" s="35" t="s">
        <v>25</v>
      </c>
      <c r="G455" s="35" t="s">
        <v>25</v>
      </c>
      <c r="H455" s="35" t="s">
        <v>25</v>
      </c>
      <c r="I455" s="54">
        <v>44682</v>
      </c>
      <c r="J455" s="55">
        <f>EFEITO!$J$455*EFEITO!$Y$455</f>
        <v>0</v>
      </c>
      <c r="K455" s="55">
        <f ca="1">EFEITO!$L$455*EFEITO!$Z$455</f>
        <v>26592.187881146288</v>
      </c>
      <c r="L455" s="55">
        <f>EFEITO!$N$455*EFEITO!$AA$455</f>
        <v>13244.538073618007</v>
      </c>
      <c r="M455" s="55">
        <f>$J$455-EFEITO!$K$455*EFEITO!$Y$455</f>
        <v>0</v>
      </c>
      <c r="N455" s="55">
        <f ca="1">$K$455-EFEITO!$M$455*EFEITO!$Z$455</f>
        <v>0</v>
      </c>
      <c r="O455" s="55">
        <f>$L$455-EFEITO!$O$455*EFEITO!$AA$455</f>
        <v>0</v>
      </c>
      <c r="P455" s="39"/>
      <c r="Q455" s="39"/>
      <c r="R455" s="39"/>
      <c r="S455" s="39"/>
      <c r="T455" s="39"/>
      <c r="U455" s="39"/>
      <c r="V455" s="39"/>
      <c r="W455" s="39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1.25" customHeight="1" x14ac:dyDescent="0.2">
      <c r="A456" s="35" t="s">
        <v>21</v>
      </c>
      <c r="B456" s="35" t="s">
        <v>32</v>
      </c>
      <c r="C456" s="35" t="s">
        <v>23</v>
      </c>
      <c r="D456" s="35" t="s">
        <v>42</v>
      </c>
      <c r="E456" s="35" t="s">
        <v>25</v>
      </c>
      <c r="F456" s="35" t="s">
        <v>25</v>
      </c>
      <c r="G456" s="35" t="s">
        <v>25</v>
      </c>
      <c r="H456" s="35" t="s">
        <v>25</v>
      </c>
      <c r="I456" s="54">
        <v>44713</v>
      </c>
      <c r="J456" s="55">
        <f>EFEITO!$J$456*EFEITO!$Y$456</f>
        <v>0</v>
      </c>
      <c r="K456" s="55">
        <f ca="1">EFEITO!$L$456*EFEITO!$Z$456</f>
        <v>29485.069060030106</v>
      </c>
      <c r="L456" s="55">
        <f>EFEITO!$N$456*EFEITO!$AA$456</f>
        <v>14685.370061095979</v>
      </c>
      <c r="M456" s="55">
        <f>$J$456-EFEITO!$K$456*EFEITO!$Y$456</f>
        <v>0</v>
      </c>
      <c r="N456" s="55">
        <f ca="1">$K$456-EFEITO!$M$456*EFEITO!$Z$456</f>
        <v>0</v>
      </c>
      <c r="O456" s="55">
        <f>$L$456-EFEITO!$O$456*EFEITO!$AA$456</f>
        <v>0</v>
      </c>
      <c r="P456" s="39"/>
      <c r="Q456" s="39"/>
      <c r="R456" s="39"/>
      <c r="S456" s="39"/>
      <c r="T456" s="39"/>
      <c r="U456" s="39"/>
      <c r="V456" s="39"/>
      <c r="W456" s="39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1.25" customHeight="1" x14ac:dyDescent="0.2">
      <c r="A457" s="35" t="s">
        <v>21</v>
      </c>
      <c r="B457" s="35" t="s">
        <v>32</v>
      </c>
      <c r="C457" s="35" t="s">
        <v>23</v>
      </c>
      <c r="D457" s="35" t="s">
        <v>42</v>
      </c>
      <c r="E457" s="35" t="s">
        <v>25</v>
      </c>
      <c r="F457" s="35" t="s">
        <v>25</v>
      </c>
      <c r="G457" s="35" t="s">
        <v>25</v>
      </c>
      <c r="H457" s="35" t="s">
        <v>25</v>
      </c>
      <c r="I457" s="54">
        <v>44743</v>
      </c>
      <c r="J457" s="55">
        <f>EFEITO!$J$457*EFEITO!$Y$457</f>
        <v>0</v>
      </c>
      <c r="K457" s="55">
        <f ca="1">EFEITO!$L$457*EFEITO!$Z$457</f>
        <v>25672.818224593004</v>
      </c>
      <c r="L457" s="55">
        <f>EFEITO!$N$457*EFEITO!$AA$457</f>
        <v>12786.635682345332</v>
      </c>
      <c r="M457" s="55">
        <f>$J$457-EFEITO!$K$457*EFEITO!$Y$457</f>
        <v>0</v>
      </c>
      <c r="N457" s="55">
        <f ca="1">$K$457-EFEITO!$M$457*EFEITO!$Z$457</f>
        <v>0</v>
      </c>
      <c r="O457" s="55">
        <f>$L$457-EFEITO!$O$457*EFEITO!$AA$457</f>
        <v>0</v>
      </c>
      <c r="P457" s="39"/>
      <c r="Q457" s="39"/>
      <c r="R457" s="39"/>
      <c r="S457" s="39"/>
      <c r="T457" s="39"/>
      <c r="U457" s="39"/>
      <c r="V457" s="39"/>
      <c r="W457" s="39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1.25" customHeight="1" x14ac:dyDescent="0.2">
      <c r="A458" s="35" t="s">
        <v>53</v>
      </c>
      <c r="B458" s="35" t="s">
        <v>32</v>
      </c>
      <c r="C458" s="35" t="s">
        <v>23</v>
      </c>
      <c r="D458" s="35" t="s">
        <v>42</v>
      </c>
      <c r="E458" s="35" t="s">
        <v>25</v>
      </c>
      <c r="F458" s="35" t="s">
        <v>25</v>
      </c>
      <c r="G458" s="35" t="s">
        <v>25</v>
      </c>
      <c r="H458" s="35" t="s">
        <v>25</v>
      </c>
      <c r="I458" s="54">
        <v>44774</v>
      </c>
      <c r="J458" s="55">
        <f>EFEITO!$J$458*EFEITO!$Y$458</f>
        <v>0</v>
      </c>
      <c r="K458" s="55">
        <f ca="1">EFEITO!$L$458*EFEITO!$Z$458</f>
        <v>25672.818224593004</v>
      </c>
      <c r="L458" s="55">
        <f>EFEITO!$N$458*EFEITO!$AA$458</f>
        <v>12786.635682345332</v>
      </c>
      <c r="M458" s="55">
        <f>$J$458-EFEITO!$K$458*EFEITO!$Y$458</f>
        <v>0</v>
      </c>
      <c r="N458" s="55">
        <f ca="1">$K$458-EFEITO!$M$458*EFEITO!$Z$458</f>
        <v>0</v>
      </c>
      <c r="O458" s="55">
        <f>$L$458-EFEITO!$O$458*EFEITO!$AA$458</f>
        <v>0</v>
      </c>
      <c r="P458" s="39"/>
      <c r="Q458" s="39"/>
      <c r="R458" s="39"/>
      <c r="S458" s="39"/>
      <c r="T458" s="39"/>
      <c r="U458" s="39"/>
      <c r="V458" s="39"/>
      <c r="W458" s="39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1.25" customHeight="1" x14ac:dyDescent="0.2">
      <c r="A459" s="35" t="s">
        <v>21</v>
      </c>
      <c r="B459" s="35" t="s">
        <v>32</v>
      </c>
      <c r="C459" s="35" t="s">
        <v>23</v>
      </c>
      <c r="D459" s="35" t="s">
        <v>46</v>
      </c>
      <c r="E459" s="35" t="s">
        <v>47</v>
      </c>
      <c r="F459" s="35" t="s">
        <v>25</v>
      </c>
      <c r="G459" s="35" t="s">
        <v>25</v>
      </c>
      <c r="H459" s="35" t="s">
        <v>25</v>
      </c>
      <c r="I459" s="54">
        <v>44440</v>
      </c>
      <c r="J459" s="55">
        <f>EFEITO!$J$459*EFEITO!$Y$458</f>
        <v>0</v>
      </c>
      <c r="K459" s="55">
        <f ca="1">EFEITO!$L$459*EFEITO!$Z$458</f>
        <v>6264.3324637699352</v>
      </c>
      <c r="L459" s="55">
        <f>EFEITO!$N$459*EFEITO!$AA$458</f>
        <v>3120.0211954363549</v>
      </c>
      <c r="M459" s="55">
        <f>$J$459-EFEITO!$K$459*EFEITO!$Y$459</f>
        <v>0</v>
      </c>
      <c r="N459" s="55">
        <f ca="1">$K$459-EFEITO!$M$459*EFEITO!$Z$459</f>
        <v>187.92997391309927</v>
      </c>
      <c r="O459" s="55">
        <f>$L$459-EFEITO!$O$459*EFEITO!$AA$459</f>
        <v>93.600635863090702</v>
      </c>
      <c r="P459" s="39"/>
      <c r="Q459" s="39"/>
      <c r="R459" s="39"/>
      <c r="S459" s="39"/>
      <c r="T459" s="39"/>
      <c r="U459" s="39"/>
      <c r="V459" s="39"/>
      <c r="W459" s="39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1.25" customHeight="1" x14ac:dyDescent="0.2">
      <c r="A460" s="35" t="s">
        <v>48</v>
      </c>
      <c r="B460" s="35" t="s">
        <v>32</v>
      </c>
      <c r="C460" s="35" t="s">
        <v>23</v>
      </c>
      <c r="D460" s="35" t="s">
        <v>46</v>
      </c>
      <c r="E460" s="35" t="s">
        <v>47</v>
      </c>
      <c r="F460" s="35" t="s">
        <v>25</v>
      </c>
      <c r="G460" s="35" t="s">
        <v>25</v>
      </c>
      <c r="H460" s="35" t="s">
        <v>25</v>
      </c>
      <c r="I460" s="54">
        <v>44440</v>
      </c>
      <c r="J460" s="55">
        <f>EFEITO!$J$460*EFEITO!$Y$458</f>
        <v>0</v>
      </c>
      <c r="K460" s="55">
        <f ca="1">EFEITO!$L$460*EFEITO!$Z$458</f>
        <v>-213.74700698577783</v>
      </c>
      <c r="L460" s="55">
        <f>EFEITO!$N$460*EFEITO!$AA$458</f>
        <v>-106.45909937151796</v>
      </c>
      <c r="M460" s="55">
        <f>$J$460-EFEITO!$K$460*EFEITO!$Y$460</f>
        <v>0</v>
      </c>
      <c r="N460" s="55">
        <f ca="1">$K$460-EFEITO!$M$460*EFEITO!$Z$460</f>
        <v>-6.4124102095733519</v>
      </c>
      <c r="O460" s="55">
        <f>$L$460-EFEITO!$O$460*EFEITO!$AA$460</f>
        <v>-3.1937729811455569</v>
      </c>
      <c r="P460" s="39"/>
      <c r="Q460" s="39"/>
      <c r="R460" s="39"/>
      <c r="S460" s="39"/>
      <c r="T460" s="39"/>
      <c r="U460" s="39"/>
      <c r="V460" s="39"/>
      <c r="W460" s="39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1.25" customHeight="1" x14ac:dyDescent="0.2">
      <c r="A461" s="35" t="s">
        <v>21</v>
      </c>
      <c r="B461" s="35" t="s">
        <v>32</v>
      </c>
      <c r="C461" s="35" t="s">
        <v>23</v>
      </c>
      <c r="D461" s="35" t="s">
        <v>46</v>
      </c>
      <c r="E461" s="35" t="s">
        <v>47</v>
      </c>
      <c r="F461" s="35" t="s">
        <v>25</v>
      </c>
      <c r="G461" s="35" t="s">
        <v>25</v>
      </c>
      <c r="H461" s="35" t="s">
        <v>25</v>
      </c>
      <c r="I461" s="54">
        <v>44470</v>
      </c>
      <c r="J461" s="55">
        <f>EFEITO!$J$461*EFEITO!$Y$458</f>
        <v>0</v>
      </c>
      <c r="K461" s="55">
        <f ca="1">EFEITO!$L$461*EFEITO!$Z$458</f>
        <v>6259.1819334811207</v>
      </c>
      <c r="L461" s="55">
        <f>EFEITO!$N$461*EFEITO!$AA$458</f>
        <v>3117.4559159334267</v>
      </c>
      <c r="M461" s="55">
        <f>$J$461-EFEITO!$K$461*EFEITO!$Y$461</f>
        <v>0</v>
      </c>
      <c r="N461" s="55">
        <f ca="1">$K$461-EFEITO!$M$461*EFEITO!$Z$461</f>
        <v>187.77545800443386</v>
      </c>
      <c r="O461" s="55">
        <f>$L$461-EFEITO!$O$461*EFEITO!$AA$461</f>
        <v>93.523677478003265</v>
      </c>
      <c r="P461" s="39"/>
      <c r="Q461" s="39"/>
      <c r="R461" s="39"/>
      <c r="S461" s="39"/>
      <c r="T461" s="39"/>
      <c r="U461" s="39"/>
      <c r="V461" s="39"/>
      <c r="W461" s="39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1.25" customHeight="1" x14ac:dyDescent="0.2">
      <c r="A462" s="35" t="s">
        <v>21</v>
      </c>
      <c r="B462" s="35" t="s">
        <v>32</v>
      </c>
      <c r="C462" s="35" t="s">
        <v>23</v>
      </c>
      <c r="D462" s="35" t="s">
        <v>46</v>
      </c>
      <c r="E462" s="35" t="s">
        <v>47</v>
      </c>
      <c r="F462" s="35" t="s">
        <v>25</v>
      </c>
      <c r="G462" s="35" t="s">
        <v>25</v>
      </c>
      <c r="H462" s="35" t="s">
        <v>25</v>
      </c>
      <c r="I462" s="54">
        <v>44501</v>
      </c>
      <c r="J462" s="55">
        <f>EFEITO!$J$462*EFEITO!$Y$458</f>
        <v>0</v>
      </c>
      <c r="K462" s="55">
        <f ca="1">EFEITO!$L$462*EFEITO!$Z$458</f>
        <v>6514.1331827774093</v>
      </c>
      <c r="L462" s="55">
        <f>EFEITO!$N$462*EFEITO!$AA$458</f>
        <v>3244.4372513283697</v>
      </c>
      <c r="M462" s="55">
        <f>$J$462-EFEITO!$K$462*EFEITO!$Y$462</f>
        <v>0</v>
      </c>
      <c r="N462" s="55">
        <f ca="1">$K$462-EFEITO!$M$462*EFEITO!$Z$462</f>
        <v>195.42399548332196</v>
      </c>
      <c r="O462" s="55">
        <f>$L$462-EFEITO!$O$462*EFEITO!$AA$462</f>
        <v>97.333117539851628</v>
      </c>
      <c r="P462" s="39"/>
      <c r="Q462" s="39"/>
      <c r="R462" s="39"/>
      <c r="S462" s="39"/>
      <c r="T462" s="39"/>
      <c r="U462" s="39"/>
      <c r="V462" s="39"/>
      <c r="W462" s="39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1.25" customHeight="1" x14ac:dyDescent="0.2">
      <c r="A463" s="35" t="s">
        <v>21</v>
      </c>
      <c r="B463" s="35" t="s">
        <v>32</v>
      </c>
      <c r="C463" s="35" t="s">
        <v>23</v>
      </c>
      <c r="D463" s="35" t="s">
        <v>46</v>
      </c>
      <c r="E463" s="35" t="s">
        <v>47</v>
      </c>
      <c r="F463" s="35" t="s">
        <v>25</v>
      </c>
      <c r="G463" s="35" t="s">
        <v>25</v>
      </c>
      <c r="H463" s="35" t="s">
        <v>25</v>
      </c>
      <c r="I463" s="54">
        <v>44531</v>
      </c>
      <c r="J463" s="55">
        <f>EFEITO!$J$463*EFEITO!$Y$458</f>
        <v>0</v>
      </c>
      <c r="K463" s="55">
        <f ca="1">EFEITO!$L$463*EFEITO!$Z$458</f>
        <v>5999.5093647534186</v>
      </c>
      <c r="L463" s="55">
        <f>EFEITO!$N$463*EFEITO!$AA$458</f>
        <v>2988.1230743274659</v>
      </c>
      <c r="M463" s="55">
        <f>$J$463-EFEITO!$K$463*EFEITO!$Y$463</f>
        <v>0</v>
      </c>
      <c r="N463" s="55">
        <f ca="1">$K$463-EFEITO!$M$463*EFEITO!$Z$463</f>
        <v>179.98528094260291</v>
      </c>
      <c r="O463" s="55">
        <f>$L$463-EFEITO!$O$463*EFEITO!$AA$463</f>
        <v>89.643692229823955</v>
      </c>
      <c r="P463" s="39"/>
      <c r="Q463" s="39"/>
      <c r="R463" s="39"/>
      <c r="S463" s="39"/>
      <c r="T463" s="39"/>
      <c r="U463" s="39"/>
      <c r="V463" s="39"/>
      <c r="W463" s="39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1.25" customHeight="1" x14ac:dyDescent="0.2">
      <c r="A464" s="35" t="s">
        <v>21</v>
      </c>
      <c r="B464" s="35" t="s">
        <v>32</v>
      </c>
      <c r="C464" s="35" t="s">
        <v>23</v>
      </c>
      <c r="D464" s="35" t="s">
        <v>46</v>
      </c>
      <c r="E464" s="35" t="s">
        <v>47</v>
      </c>
      <c r="F464" s="35" t="s">
        <v>25</v>
      </c>
      <c r="G464" s="35" t="s">
        <v>25</v>
      </c>
      <c r="H464" s="35" t="s">
        <v>25</v>
      </c>
      <c r="I464" s="54">
        <v>44562</v>
      </c>
      <c r="J464" s="55">
        <f>EFEITO!$J$464*EFEITO!$Y$458</f>
        <v>0</v>
      </c>
      <c r="K464" s="55">
        <f ca="1">EFEITO!$L$464*EFEITO!$Z$458</f>
        <v>5659.1451548342984</v>
      </c>
      <c r="L464" s="55">
        <f>EFEITO!$N$464*EFEITO!$AA$458</f>
        <v>2818.600853842298</v>
      </c>
      <c r="M464" s="55">
        <f>$J$464-EFEITO!$K$464*EFEITO!$Y$464</f>
        <v>0</v>
      </c>
      <c r="N464" s="55">
        <f ca="1">$K$464-EFEITO!$M$464*EFEITO!$Z$464</f>
        <v>169.77435464502923</v>
      </c>
      <c r="O464" s="55">
        <f>$L$464-EFEITO!$O$464*EFEITO!$AA$464</f>
        <v>84.558025615269344</v>
      </c>
      <c r="P464" s="39"/>
      <c r="Q464" s="39"/>
      <c r="R464" s="39"/>
      <c r="S464" s="39"/>
      <c r="T464" s="39"/>
      <c r="U464" s="39"/>
      <c r="V464" s="39"/>
      <c r="W464" s="39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1.25" customHeight="1" x14ac:dyDescent="0.2">
      <c r="A465" s="35" t="s">
        <v>21</v>
      </c>
      <c r="B465" s="35" t="s">
        <v>32</v>
      </c>
      <c r="C465" s="35" t="s">
        <v>23</v>
      </c>
      <c r="D465" s="35" t="s">
        <v>46</v>
      </c>
      <c r="E465" s="35" t="s">
        <v>47</v>
      </c>
      <c r="F465" s="35" t="s">
        <v>25</v>
      </c>
      <c r="G465" s="35" t="s">
        <v>25</v>
      </c>
      <c r="H465" s="35" t="s">
        <v>25</v>
      </c>
      <c r="I465" s="54">
        <v>44593</v>
      </c>
      <c r="J465" s="55">
        <f>EFEITO!$J$465*EFEITO!$Y$458</f>
        <v>0</v>
      </c>
      <c r="K465" s="55">
        <f ca="1">EFEITO!$L$465*EFEITO!$Z$458</f>
        <v>6591.3911371096183</v>
      </c>
      <c r="L465" s="55">
        <f>EFEITO!$N$465*EFEITO!$AA$458</f>
        <v>3282.9164438722919</v>
      </c>
      <c r="M465" s="55">
        <f>$J$465-EFEITO!$K$465*EFEITO!$Y$465</f>
        <v>0</v>
      </c>
      <c r="N465" s="55">
        <f ca="1">$K$465-EFEITO!$M$465*EFEITO!$Z$465</f>
        <v>197.74173411328866</v>
      </c>
      <c r="O465" s="55">
        <f>$L$465-EFEITO!$O$465*EFEITO!$AA$465</f>
        <v>98.487493316169093</v>
      </c>
      <c r="P465" s="39"/>
      <c r="Q465" s="39"/>
      <c r="R465" s="39"/>
      <c r="S465" s="39"/>
      <c r="T465" s="39"/>
      <c r="U465" s="39"/>
      <c r="V465" s="39"/>
      <c r="W465" s="39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1.25" customHeight="1" x14ac:dyDescent="0.2">
      <c r="A466" s="35" t="s">
        <v>21</v>
      </c>
      <c r="B466" s="35" t="s">
        <v>32</v>
      </c>
      <c r="C466" s="35" t="s">
        <v>23</v>
      </c>
      <c r="D466" s="35" t="s">
        <v>46</v>
      </c>
      <c r="E466" s="35" t="s">
        <v>47</v>
      </c>
      <c r="F466" s="35" t="s">
        <v>25</v>
      </c>
      <c r="G466" s="35" t="s">
        <v>25</v>
      </c>
      <c r="H466" s="35" t="s">
        <v>25</v>
      </c>
      <c r="I466" s="54">
        <v>44621</v>
      </c>
      <c r="J466" s="55">
        <f>EFEITO!$J$466*EFEITO!$Y$458</f>
        <v>0</v>
      </c>
      <c r="K466" s="55">
        <f ca="1">EFEITO!$L$466*EFEITO!$Z$458</f>
        <v>6142.007369410604</v>
      </c>
      <c r="L466" s="55">
        <f>EFEITO!$N$466*EFEITO!$AA$458</f>
        <v>3059.0958072418116</v>
      </c>
      <c r="M466" s="55">
        <f>$J$466-EFEITO!$K$466*EFEITO!$Y$466</f>
        <v>0</v>
      </c>
      <c r="N466" s="55">
        <f ca="1">$K$466-EFEITO!$M$466*EFEITO!$Z$466</f>
        <v>184.26022108231882</v>
      </c>
      <c r="O466" s="55">
        <f>$L$466-EFEITO!$O$466*EFEITO!$AA$466</f>
        <v>91.772874217254866</v>
      </c>
      <c r="P466" s="39"/>
      <c r="Q466" s="39"/>
      <c r="R466" s="39"/>
      <c r="S466" s="39"/>
      <c r="T466" s="39"/>
      <c r="U466" s="39"/>
      <c r="V466" s="39"/>
      <c r="W466" s="39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1.25" customHeight="1" x14ac:dyDescent="0.2">
      <c r="A467" s="35" t="s">
        <v>21</v>
      </c>
      <c r="B467" s="35" t="s">
        <v>32</v>
      </c>
      <c r="C467" s="35" t="s">
        <v>23</v>
      </c>
      <c r="D467" s="35" t="s">
        <v>46</v>
      </c>
      <c r="E467" s="35" t="s">
        <v>47</v>
      </c>
      <c r="F467" s="35" t="s">
        <v>25</v>
      </c>
      <c r="G467" s="35" t="s">
        <v>25</v>
      </c>
      <c r="H467" s="35" t="s">
        <v>25</v>
      </c>
      <c r="I467" s="54">
        <v>44652</v>
      </c>
      <c r="J467" s="55">
        <f>EFEITO!$J$467*EFEITO!$Y$458</f>
        <v>0</v>
      </c>
      <c r="K467" s="55">
        <f ca="1">EFEITO!$L$467*EFEITO!$Z$458</f>
        <v>6214.5440043113995</v>
      </c>
      <c r="L467" s="55">
        <f>EFEITO!$N$467*EFEITO!$AA$458</f>
        <v>3095.223493574716</v>
      </c>
      <c r="M467" s="55">
        <f>$J$467-EFEITO!$K$467*EFEITO!$Y$467</f>
        <v>0</v>
      </c>
      <c r="N467" s="55">
        <f ca="1">$K$467-EFEITO!$M$467*EFEITO!$Z$467</f>
        <v>186.43632012934268</v>
      </c>
      <c r="O467" s="55">
        <f>$L$467-EFEITO!$O$467*EFEITO!$AA$467</f>
        <v>92.85670480724184</v>
      </c>
      <c r="P467" s="39"/>
      <c r="Q467" s="39"/>
      <c r="R467" s="39"/>
      <c r="S467" s="39"/>
      <c r="T467" s="39"/>
      <c r="U467" s="39"/>
      <c r="V467" s="39"/>
      <c r="W467" s="39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1.25" customHeight="1" x14ac:dyDescent="0.2">
      <c r="A468" s="35" t="s">
        <v>21</v>
      </c>
      <c r="B468" s="35" t="s">
        <v>32</v>
      </c>
      <c r="C468" s="35" t="s">
        <v>23</v>
      </c>
      <c r="D468" s="35" t="s">
        <v>46</v>
      </c>
      <c r="E468" s="35" t="s">
        <v>47</v>
      </c>
      <c r="F468" s="35" t="s">
        <v>25</v>
      </c>
      <c r="G468" s="35" t="s">
        <v>25</v>
      </c>
      <c r="H468" s="35" t="s">
        <v>25</v>
      </c>
      <c r="I468" s="54">
        <v>44682</v>
      </c>
      <c r="J468" s="55">
        <f>EFEITO!$J$468*EFEITO!$Y$458</f>
        <v>0</v>
      </c>
      <c r="K468" s="55">
        <f ca="1">EFEITO!$L$468*EFEITO!$Z$458</f>
        <v>6046.2933482101453</v>
      </c>
      <c r="L468" s="55">
        <f>EFEITO!$N$468*EFEITO!$AA$458</f>
        <v>3011.4243631457298</v>
      </c>
      <c r="M468" s="55">
        <f>$J$468-EFEITO!$K$468*EFEITO!$Y$468</f>
        <v>0</v>
      </c>
      <c r="N468" s="55">
        <f ca="1">$K$468-EFEITO!$M$468*EFEITO!$Z$468</f>
        <v>181.38880044630514</v>
      </c>
      <c r="O468" s="55">
        <f>$L$468-EFEITO!$O$468*EFEITO!$AA$468</f>
        <v>90.342730894371925</v>
      </c>
      <c r="P468" s="39"/>
      <c r="Q468" s="39"/>
      <c r="R468" s="39"/>
      <c r="S468" s="39"/>
      <c r="T468" s="39"/>
      <c r="U468" s="39"/>
      <c r="V468" s="39"/>
      <c r="W468" s="39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1.25" customHeight="1" x14ac:dyDescent="0.2">
      <c r="A469" s="35" t="s">
        <v>21</v>
      </c>
      <c r="B469" s="35" t="s">
        <v>32</v>
      </c>
      <c r="C469" s="35" t="s">
        <v>23</v>
      </c>
      <c r="D469" s="35" t="s">
        <v>46</v>
      </c>
      <c r="E469" s="35" t="s">
        <v>47</v>
      </c>
      <c r="F469" s="35" t="s">
        <v>25</v>
      </c>
      <c r="G469" s="35" t="s">
        <v>25</v>
      </c>
      <c r="H469" s="35" t="s">
        <v>25</v>
      </c>
      <c r="I469" s="54">
        <v>44713</v>
      </c>
      <c r="J469" s="55">
        <f>EFEITO!$J$469*EFEITO!$Y$458</f>
        <v>0</v>
      </c>
      <c r="K469" s="55">
        <f ca="1">EFEITO!$L$469*EFEITO!$Z$458</f>
        <v>6451.0391867394392</v>
      </c>
      <c r="L469" s="55">
        <f>EFEITO!$N$469*EFEITO!$AA$458</f>
        <v>3213.0125774174999</v>
      </c>
      <c r="M469" s="55">
        <f>$J$469-EFEITO!$K$469*EFEITO!$Y$469</f>
        <v>0</v>
      </c>
      <c r="N469" s="55">
        <f ca="1">$K$469-EFEITO!$M$469*EFEITO!$Z$469</f>
        <v>193.53117560218379</v>
      </c>
      <c r="O469" s="55">
        <f>$L$469-EFEITO!$O$469*EFEITO!$AA$469</f>
        <v>96.390377322525183</v>
      </c>
      <c r="P469" s="39"/>
      <c r="Q469" s="39"/>
      <c r="R469" s="39"/>
      <c r="S469" s="39"/>
      <c r="T469" s="39"/>
      <c r="U469" s="39"/>
      <c r="V469" s="39"/>
      <c r="W469" s="39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1.25" customHeight="1" x14ac:dyDescent="0.2">
      <c r="A470" s="35" t="s">
        <v>21</v>
      </c>
      <c r="B470" s="35" t="s">
        <v>32</v>
      </c>
      <c r="C470" s="35" t="s">
        <v>23</v>
      </c>
      <c r="D470" s="35" t="s">
        <v>46</v>
      </c>
      <c r="E470" s="35" t="s">
        <v>47</v>
      </c>
      <c r="F470" s="35" t="s">
        <v>25</v>
      </c>
      <c r="G470" s="35" t="s">
        <v>25</v>
      </c>
      <c r="H470" s="35" t="s">
        <v>25</v>
      </c>
      <c r="I470" s="54">
        <v>44743</v>
      </c>
      <c r="J470" s="55">
        <f>EFEITO!$J$470*EFEITO!$Y$458</f>
        <v>0</v>
      </c>
      <c r="K470" s="55">
        <f ca="1">EFEITO!$L$470*EFEITO!$Z$458</f>
        <v>5672.8799022711355</v>
      </c>
      <c r="L470" s="55">
        <f>EFEITO!$N$470*EFEITO!$AA$458</f>
        <v>2825.4415991834398</v>
      </c>
      <c r="M470" s="55">
        <f>$J$470-EFEITO!$K$470*EFEITO!$Y$470</f>
        <v>0</v>
      </c>
      <c r="N470" s="55">
        <f ca="1">$K$470-EFEITO!$M$470*EFEITO!$Z$470</f>
        <v>170.18639706813428</v>
      </c>
      <c r="O470" s="55">
        <f>$L$470-EFEITO!$O$470*EFEITO!$AA$470</f>
        <v>84.763247975503418</v>
      </c>
      <c r="P470" s="39"/>
      <c r="Q470" s="39"/>
      <c r="R470" s="39"/>
      <c r="S470" s="39"/>
      <c r="T470" s="39"/>
      <c r="U470" s="39"/>
      <c r="V470" s="39"/>
      <c r="W470" s="39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1.25" customHeight="1" x14ac:dyDescent="0.2">
      <c r="A471" s="35" t="s">
        <v>53</v>
      </c>
      <c r="B471" s="35" t="s">
        <v>32</v>
      </c>
      <c r="C471" s="35" t="s">
        <v>23</v>
      </c>
      <c r="D471" s="35" t="s">
        <v>46</v>
      </c>
      <c r="E471" s="35" t="s">
        <v>47</v>
      </c>
      <c r="F471" s="35" t="s">
        <v>25</v>
      </c>
      <c r="G471" s="35" t="s">
        <v>25</v>
      </c>
      <c r="H471" s="35" t="s">
        <v>25</v>
      </c>
      <c r="I471" s="54">
        <v>44774</v>
      </c>
      <c r="J471" s="55">
        <f>EFEITO!$J$471*EFEITO!$Y$458</f>
        <v>0</v>
      </c>
      <c r="K471" s="55">
        <f ca="1">EFEITO!$L$471*EFEITO!$Z$458</f>
        <v>5672.8799022711355</v>
      </c>
      <c r="L471" s="55">
        <f>EFEITO!$N$471*EFEITO!$AA$458</f>
        <v>2825.4415991834398</v>
      </c>
      <c r="M471" s="55">
        <f>$J$471-EFEITO!$K$471*EFEITO!$Y$471</f>
        <v>0</v>
      </c>
      <c r="N471" s="55">
        <f ca="1">$K$471-EFEITO!$M$471*EFEITO!$Z$471</f>
        <v>170.18639706813428</v>
      </c>
      <c r="O471" s="55">
        <f>$L$471-EFEITO!$O$471*EFEITO!$AA$471</f>
        <v>84.763247975503418</v>
      </c>
      <c r="P471" s="39"/>
      <c r="Q471" s="39"/>
      <c r="R471" s="39"/>
      <c r="S471" s="39"/>
      <c r="T471" s="39"/>
      <c r="U471" s="39"/>
      <c r="V471" s="39"/>
      <c r="W471" s="39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1.25" customHeight="1" x14ac:dyDescent="0.2">
      <c r="A472" s="35" t="s">
        <v>21</v>
      </c>
      <c r="B472" s="35" t="s">
        <v>43</v>
      </c>
      <c r="C472" s="35" t="s">
        <v>23</v>
      </c>
      <c r="D472" s="35" t="s">
        <v>44</v>
      </c>
      <c r="E472" s="35" t="s">
        <v>45</v>
      </c>
      <c r="F472" s="35" t="s">
        <v>25</v>
      </c>
      <c r="G472" s="35" t="s">
        <v>25</v>
      </c>
      <c r="H472" s="35" t="s">
        <v>25</v>
      </c>
      <c r="I472" s="54">
        <v>44440</v>
      </c>
      <c r="J472" s="55">
        <f>EFEITO!$J$472*EFEITO!$Y$472</f>
        <v>0</v>
      </c>
      <c r="K472" s="55">
        <f ca="1">EFEITO!$L$472*EFEITO!$Z$472</f>
        <v>39063.681922480311</v>
      </c>
      <c r="L472" s="55">
        <f>EFEITO!$N$472*EFEITO!$AA$472</f>
        <v>19456.105862008211</v>
      </c>
      <c r="M472" s="55">
        <f>$J$472-EFEITO!$K$472*EFEITO!$Y$472</f>
        <v>0</v>
      </c>
      <c r="N472" s="55">
        <f ca="1">$K$472-EFEITO!$M$472*EFEITO!$Z$472</f>
        <v>0</v>
      </c>
      <c r="O472" s="55">
        <f>$L$472-EFEITO!$O$472*EFEITO!$AA$472</f>
        <v>0</v>
      </c>
      <c r="P472" s="39"/>
      <c r="Q472" s="39"/>
      <c r="R472" s="39"/>
      <c r="S472" s="39"/>
      <c r="T472" s="39"/>
      <c r="U472" s="39"/>
      <c r="V472" s="39"/>
      <c r="W472" s="39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1.25" customHeight="1" x14ac:dyDescent="0.2">
      <c r="A473" s="35" t="s">
        <v>21</v>
      </c>
      <c r="B473" s="35" t="s">
        <v>43</v>
      </c>
      <c r="C473" s="35" t="s">
        <v>23</v>
      </c>
      <c r="D473" s="35" t="s">
        <v>44</v>
      </c>
      <c r="E473" s="35" t="s">
        <v>45</v>
      </c>
      <c r="F473" s="35" t="s">
        <v>25</v>
      </c>
      <c r="G473" s="35" t="s">
        <v>25</v>
      </c>
      <c r="H473" s="35" t="s">
        <v>25</v>
      </c>
      <c r="I473" s="54">
        <v>44470</v>
      </c>
      <c r="J473" s="55">
        <f>EFEITO!$J$473*EFEITO!$Y$473</f>
        <v>0</v>
      </c>
      <c r="K473" s="55">
        <f ca="1">EFEITO!$L$473*EFEITO!$Z$473</f>
        <v>40261.437741143993</v>
      </c>
      <c r="L473" s="55">
        <f>EFEITO!$N$473*EFEITO!$AA$473</f>
        <v>20052.66161041415</v>
      </c>
      <c r="M473" s="55">
        <f>$J$473-EFEITO!$K$473*EFEITO!$Y$473</f>
        <v>0</v>
      </c>
      <c r="N473" s="55">
        <f ca="1">$K$473-EFEITO!$M$473*EFEITO!$Z$473</f>
        <v>0</v>
      </c>
      <c r="O473" s="55">
        <f>$L$473-EFEITO!$O$473*EFEITO!$AA$473</f>
        <v>0</v>
      </c>
      <c r="P473" s="39"/>
      <c r="Q473" s="39"/>
      <c r="R473" s="39"/>
      <c r="S473" s="39"/>
      <c r="T473" s="39"/>
      <c r="U473" s="39"/>
      <c r="V473" s="39"/>
      <c r="W473" s="39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1.25" customHeight="1" x14ac:dyDescent="0.2">
      <c r="A474" s="35" t="s">
        <v>21</v>
      </c>
      <c r="B474" s="35" t="s">
        <v>43</v>
      </c>
      <c r="C474" s="35" t="s">
        <v>23</v>
      </c>
      <c r="D474" s="35" t="s">
        <v>44</v>
      </c>
      <c r="E474" s="35" t="s">
        <v>45</v>
      </c>
      <c r="F474" s="35" t="s">
        <v>25</v>
      </c>
      <c r="G474" s="35" t="s">
        <v>25</v>
      </c>
      <c r="H474" s="35" t="s">
        <v>25</v>
      </c>
      <c r="I474" s="54">
        <v>44501</v>
      </c>
      <c r="J474" s="55">
        <f>EFEITO!$J$474*EFEITO!$Y$474</f>
        <v>0</v>
      </c>
      <c r="K474" s="55">
        <f ca="1">EFEITO!$L$474*EFEITO!$Z$474</f>
        <v>38963.246581848442</v>
      </c>
      <c r="L474" s="55">
        <f>EFEITO!$N$474*EFEITO!$AA$474</f>
        <v>19406.082911701113</v>
      </c>
      <c r="M474" s="55">
        <f>$J$474-EFEITO!$K$474*EFEITO!$Y$474</f>
        <v>0</v>
      </c>
      <c r="N474" s="55">
        <f ca="1">$K$474-EFEITO!$M$474*EFEITO!$Z$474</f>
        <v>0</v>
      </c>
      <c r="O474" s="55">
        <f>$L$474-EFEITO!$O$474*EFEITO!$AA$474</f>
        <v>0</v>
      </c>
      <c r="P474" s="39"/>
      <c r="Q474" s="39"/>
      <c r="R474" s="39"/>
      <c r="S474" s="39"/>
      <c r="T474" s="39"/>
      <c r="U474" s="39"/>
      <c r="V474" s="39"/>
      <c r="W474" s="39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1.25" customHeight="1" x14ac:dyDescent="0.2">
      <c r="A475" s="35" t="s">
        <v>21</v>
      </c>
      <c r="B475" s="35" t="s">
        <v>43</v>
      </c>
      <c r="C475" s="35" t="s">
        <v>23</v>
      </c>
      <c r="D475" s="35" t="s">
        <v>44</v>
      </c>
      <c r="E475" s="35" t="s">
        <v>45</v>
      </c>
      <c r="F475" s="35" t="s">
        <v>25</v>
      </c>
      <c r="G475" s="35" t="s">
        <v>25</v>
      </c>
      <c r="H475" s="35" t="s">
        <v>25</v>
      </c>
      <c r="I475" s="54">
        <v>44531</v>
      </c>
      <c r="J475" s="55">
        <f>EFEITO!$J$475*EFEITO!$Y$475</f>
        <v>0</v>
      </c>
      <c r="K475" s="55">
        <f ca="1">EFEITO!$L$475*EFEITO!$Z$475</f>
        <v>38922.299866052374</v>
      </c>
      <c r="L475" s="55">
        <f>EFEITO!$N$475*EFEITO!$AA$475</f>
        <v>19385.688939652835</v>
      </c>
      <c r="M475" s="55">
        <f>$J$475-EFEITO!$K$475*EFEITO!$Y$475</f>
        <v>0</v>
      </c>
      <c r="N475" s="55">
        <f ca="1">$K$475-EFEITO!$M$475*EFEITO!$Z$475</f>
        <v>0</v>
      </c>
      <c r="O475" s="55">
        <f>$L$475-EFEITO!$O$475*EFEITO!$AA$475</f>
        <v>0</v>
      </c>
      <c r="P475" s="39"/>
      <c r="Q475" s="39"/>
      <c r="R475" s="39"/>
      <c r="S475" s="39"/>
      <c r="T475" s="39"/>
      <c r="U475" s="39"/>
      <c r="V475" s="39"/>
      <c r="W475" s="39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1.25" customHeight="1" x14ac:dyDescent="0.2">
      <c r="A476" s="35" t="s">
        <v>21</v>
      </c>
      <c r="B476" s="35" t="s">
        <v>43</v>
      </c>
      <c r="C476" s="35" t="s">
        <v>23</v>
      </c>
      <c r="D476" s="35" t="s">
        <v>44</v>
      </c>
      <c r="E476" s="35" t="s">
        <v>45</v>
      </c>
      <c r="F476" s="35" t="s">
        <v>25</v>
      </c>
      <c r="G476" s="35" t="s">
        <v>25</v>
      </c>
      <c r="H476" s="35" t="s">
        <v>25</v>
      </c>
      <c r="I476" s="54">
        <v>44562</v>
      </c>
      <c r="J476" s="55">
        <f>EFEITO!$J$476*EFEITO!$Y$476</f>
        <v>0</v>
      </c>
      <c r="K476" s="55">
        <f ca="1">EFEITO!$L$476*EFEITO!$Z$476</f>
        <v>37503.586297998576</v>
      </c>
      <c r="L476" s="55">
        <f>EFEITO!$N$476*EFEITO!$AA$476</f>
        <v>18679.082700571278</v>
      </c>
      <c r="M476" s="55">
        <f>$J$476-EFEITO!$K$476*EFEITO!$Y$476</f>
        <v>0</v>
      </c>
      <c r="N476" s="55">
        <f ca="1">$K$476-EFEITO!$M$476*EFEITO!$Z$476</f>
        <v>0</v>
      </c>
      <c r="O476" s="55">
        <f>$L$476-EFEITO!$O$476*EFEITO!$AA$476</f>
        <v>0</v>
      </c>
      <c r="P476" s="39"/>
      <c r="Q476" s="39"/>
      <c r="R476" s="39"/>
      <c r="S476" s="39"/>
      <c r="T476" s="39"/>
      <c r="U476" s="39"/>
      <c r="V476" s="39"/>
      <c r="W476" s="39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1.25" customHeight="1" x14ac:dyDescent="0.2">
      <c r="A477" s="35" t="s">
        <v>21</v>
      </c>
      <c r="B477" s="35" t="s">
        <v>43</v>
      </c>
      <c r="C477" s="35" t="s">
        <v>23</v>
      </c>
      <c r="D477" s="35" t="s">
        <v>44</v>
      </c>
      <c r="E477" s="35" t="s">
        <v>45</v>
      </c>
      <c r="F477" s="35" t="s">
        <v>25</v>
      </c>
      <c r="G477" s="35" t="s">
        <v>25</v>
      </c>
      <c r="H477" s="35" t="s">
        <v>25</v>
      </c>
      <c r="I477" s="54">
        <v>44593</v>
      </c>
      <c r="J477" s="55">
        <f>EFEITO!$J$477*EFEITO!$Y$477</f>
        <v>0</v>
      </c>
      <c r="K477" s="55">
        <f ca="1">EFEITO!$L$477*EFEITO!$Z$477</f>
        <v>34743.932169252075</v>
      </c>
      <c r="L477" s="55">
        <f>EFEITO!$N$477*EFEITO!$AA$477</f>
        <v>17304.605942902377</v>
      </c>
      <c r="M477" s="55">
        <f>$J$477-EFEITO!$K$477*EFEITO!$Y$477</f>
        <v>0</v>
      </c>
      <c r="N477" s="55">
        <f ca="1">$K$477-EFEITO!$M$477*EFEITO!$Z$477</f>
        <v>0</v>
      </c>
      <c r="O477" s="55">
        <f>$L$477-EFEITO!$O$477*EFEITO!$AA$477</f>
        <v>0</v>
      </c>
      <c r="P477" s="39"/>
      <c r="Q477" s="39"/>
      <c r="R477" s="39"/>
      <c r="S477" s="39"/>
      <c r="T477" s="39"/>
      <c r="U477" s="39"/>
      <c r="V477" s="39"/>
      <c r="W477" s="39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1.25" customHeight="1" x14ac:dyDescent="0.2">
      <c r="A478" s="35" t="s">
        <v>21</v>
      </c>
      <c r="B478" s="35" t="s">
        <v>43</v>
      </c>
      <c r="C478" s="35" t="s">
        <v>23</v>
      </c>
      <c r="D478" s="35" t="s">
        <v>44</v>
      </c>
      <c r="E478" s="35" t="s">
        <v>45</v>
      </c>
      <c r="F478" s="35" t="s">
        <v>25</v>
      </c>
      <c r="G478" s="35" t="s">
        <v>25</v>
      </c>
      <c r="H478" s="35" t="s">
        <v>25</v>
      </c>
      <c r="I478" s="54">
        <v>44621</v>
      </c>
      <c r="J478" s="55">
        <f>EFEITO!$J$478*EFEITO!$Y$478</f>
        <v>0</v>
      </c>
      <c r="K478" s="55">
        <f ca="1">EFEITO!$L$478*EFEITO!$Z$478</f>
        <v>38568.715961725298</v>
      </c>
      <c r="L478" s="55">
        <f>EFEITO!$N$478*EFEITO!$AA$478</f>
        <v>19209.582501776815</v>
      </c>
      <c r="M478" s="55">
        <f>$J$478-EFEITO!$K$478*EFEITO!$Y$478</f>
        <v>0</v>
      </c>
      <c r="N478" s="55">
        <f ca="1">$K$478-EFEITO!$M$478*EFEITO!$Z$478</f>
        <v>0</v>
      </c>
      <c r="O478" s="55">
        <f>$L$478-EFEITO!$O$478*EFEITO!$AA$478</f>
        <v>0</v>
      </c>
      <c r="P478" s="39"/>
      <c r="Q478" s="39"/>
      <c r="R478" s="39"/>
      <c r="S478" s="39"/>
      <c r="T478" s="39"/>
      <c r="U478" s="39"/>
      <c r="V478" s="39"/>
      <c r="W478" s="39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1.25" customHeight="1" x14ac:dyDescent="0.2">
      <c r="A479" s="35" t="s">
        <v>21</v>
      </c>
      <c r="B479" s="35" t="s">
        <v>43</v>
      </c>
      <c r="C479" s="35" t="s">
        <v>23</v>
      </c>
      <c r="D479" s="35" t="s">
        <v>44</v>
      </c>
      <c r="E479" s="35" t="s">
        <v>45</v>
      </c>
      <c r="F479" s="35" t="s">
        <v>25</v>
      </c>
      <c r="G479" s="35" t="s">
        <v>25</v>
      </c>
      <c r="H479" s="35" t="s">
        <v>25</v>
      </c>
      <c r="I479" s="54">
        <v>44652</v>
      </c>
      <c r="J479" s="55">
        <f>EFEITO!$J$479*EFEITO!$Y$479</f>
        <v>0</v>
      </c>
      <c r="K479" s="55">
        <f ca="1">EFEITO!$L$479*EFEITO!$Z$479</f>
        <v>36338.021293639991</v>
      </c>
      <c r="L479" s="55">
        <f>EFEITO!$N$479*EFEITO!$AA$479</f>
        <v>18098.559949058639</v>
      </c>
      <c r="M479" s="55">
        <f>$J$479-EFEITO!$K$479*EFEITO!$Y$479</f>
        <v>0</v>
      </c>
      <c r="N479" s="55">
        <f ca="1">$K$479-EFEITO!$M$479*EFEITO!$Z$479</f>
        <v>0</v>
      </c>
      <c r="O479" s="55">
        <f>$L$479-EFEITO!$O$479*EFEITO!$AA$479</f>
        <v>0</v>
      </c>
      <c r="P479" s="39"/>
      <c r="Q479" s="39"/>
      <c r="R479" s="39"/>
      <c r="S479" s="39"/>
      <c r="T479" s="39"/>
      <c r="U479" s="39"/>
      <c r="V479" s="39"/>
      <c r="W479" s="39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1.25" customHeight="1" x14ac:dyDescent="0.2">
      <c r="A480" s="35" t="s">
        <v>21</v>
      </c>
      <c r="B480" s="35" t="s">
        <v>43</v>
      </c>
      <c r="C480" s="35" t="s">
        <v>23</v>
      </c>
      <c r="D480" s="35" t="s">
        <v>44</v>
      </c>
      <c r="E480" s="35" t="s">
        <v>45</v>
      </c>
      <c r="F480" s="35" t="s">
        <v>25</v>
      </c>
      <c r="G480" s="35" t="s">
        <v>25</v>
      </c>
      <c r="H480" s="35" t="s">
        <v>25</v>
      </c>
      <c r="I480" s="54">
        <v>44682</v>
      </c>
      <c r="J480" s="55">
        <f>EFEITO!$J$480*EFEITO!$Y$480</f>
        <v>0</v>
      </c>
      <c r="K480" s="55">
        <f ca="1">EFEITO!$L$480*EFEITO!$Z$480</f>
        <v>37939.063633917795</v>
      </c>
      <c r="L480" s="55">
        <f>EFEITO!$N$480*EFEITO!$AA$480</f>
        <v>18895.97708254385</v>
      </c>
      <c r="M480" s="55">
        <f>$J$480-EFEITO!$K$480*EFEITO!$Y$480</f>
        <v>0</v>
      </c>
      <c r="N480" s="55">
        <f ca="1">$K$480-EFEITO!$M$480*EFEITO!$Z$480</f>
        <v>0</v>
      </c>
      <c r="O480" s="55">
        <f>$L$480-EFEITO!$O$480*EFEITO!$AA$480</f>
        <v>0</v>
      </c>
      <c r="P480" s="39"/>
      <c r="Q480" s="39"/>
      <c r="R480" s="39"/>
      <c r="S480" s="39"/>
      <c r="T480" s="39"/>
      <c r="U480" s="39"/>
      <c r="V480" s="39"/>
      <c r="W480" s="39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1.25" customHeight="1" x14ac:dyDescent="0.2">
      <c r="A481" s="35" t="s">
        <v>21</v>
      </c>
      <c r="B481" s="35" t="s">
        <v>43</v>
      </c>
      <c r="C481" s="35" t="s">
        <v>23</v>
      </c>
      <c r="D481" s="35" t="s">
        <v>44</v>
      </c>
      <c r="E481" s="35" t="s">
        <v>45</v>
      </c>
      <c r="F481" s="35" t="s">
        <v>25</v>
      </c>
      <c r="G481" s="35" t="s">
        <v>25</v>
      </c>
      <c r="H481" s="35" t="s">
        <v>25</v>
      </c>
      <c r="I481" s="54">
        <v>44713</v>
      </c>
      <c r="J481" s="55">
        <f>EFEITO!$J$481*EFEITO!$Y$481</f>
        <v>0</v>
      </c>
      <c r="K481" s="55">
        <f ca="1">EFEITO!$L$481*EFEITO!$Z$481</f>
        <v>37580.329199301901</v>
      </c>
      <c r="L481" s="55">
        <f>EFEITO!$N$481*EFEITO!$AA$481</f>
        <v>18717.305365164906</v>
      </c>
      <c r="M481" s="55">
        <f>$J$481-EFEITO!$K$481*EFEITO!$Y$481</f>
        <v>0</v>
      </c>
      <c r="N481" s="55">
        <f ca="1">$K$481-EFEITO!$M$481*EFEITO!$Z$481</f>
        <v>0</v>
      </c>
      <c r="O481" s="55">
        <f>$L$481-EFEITO!$O$481*EFEITO!$AA$481</f>
        <v>0</v>
      </c>
      <c r="P481" s="39"/>
      <c r="Q481" s="39"/>
      <c r="R481" s="39"/>
      <c r="S481" s="39"/>
      <c r="T481" s="39"/>
      <c r="U481" s="39"/>
      <c r="V481" s="39"/>
      <c r="W481" s="39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1.25" customHeight="1" x14ac:dyDescent="0.2">
      <c r="A482" s="35" t="s">
        <v>21</v>
      </c>
      <c r="B482" s="35" t="s">
        <v>43</v>
      </c>
      <c r="C482" s="35" t="s">
        <v>23</v>
      </c>
      <c r="D482" s="35" t="s">
        <v>44</v>
      </c>
      <c r="E482" s="35" t="s">
        <v>45</v>
      </c>
      <c r="F482" s="35" t="s">
        <v>25</v>
      </c>
      <c r="G482" s="35" t="s">
        <v>25</v>
      </c>
      <c r="H482" s="35" t="s">
        <v>25</v>
      </c>
      <c r="I482" s="54">
        <v>44743</v>
      </c>
      <c r="J482" s="55">
        <f>EFEITO!$J$482*EFEITO!$Y$482</f>
        <v>0</v>
      </c>
      <c r="K482" s="55">
        <f ca="1">EFEITO!$L$482*EFEITO!$Z$482</f>
        <v>38834.998377656979</v>
      </c>
      <c r="L482" s="55">
        <f>EFEITO!$N$482*EFEITO!$AA$482</f>
        <v>19342.207452078204</v>
      </c>
      <c r="M482" s="55">
        <f>$J$482-EFEITO!$K$482*EFEITO!$Y$482</f>
        <v>0</v>
      </c>
      <c r="N482" s="55">
        <f ca="1">$K$482-EFEITO!$M$482*EFEITO!$Z$482</f>
        <v>0</v>
      </c>
      <c r="O482" s="55">
        <f>$L$482-EFEITO!$O$482*EFEITO!$AA$482</f>
        <v>0</v>
      </c>
      <c r="P482" s="39"/>
      <c r="Q482" s="39"/>
      <c r="R482" s="39"/>
      <c r="S482" s="39"/>
      <c r="T482" s="39"/>
      <c r="U482" s="39"/>
      <c r="V482" s="39"/>
      <c r="W482" s="39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1.25" customHeight="1" x14ac:dyDescent="0.2">
      <c r="A483" s="35" t="s">
        <v>53</v>
      </c>
      <c r="B483" s="35" t="s">
        <v>43</v>
      </c>
      <c r="C483" s="35" t="s">
        <v>23</v>
      </c>
      <c r="D483" s="35" t="s">
        <v>44</v>
      </c>
      <c r="E483" s="35" t="s">
        <v>45</v>
      </c>
      <c r="F483" s="35" t="s">
        <v>25</v>
      </c>
      <c r="G483" s="35" t="s">
        <v>25</v>
      </c>
      <c r="H483" s="35" t="s">
        <v>25</v>
      </c>
      <c r="I483" s="54">
        <v>44774</v>
      </c>
      <c r="J483" s="55">
        <f>EFEITO!$J$483*EFEITO!$Y$483</f>
        <v>0</v>
      </c>
      <c r="K483" s="55">
        <f ca="1">EFEITO!$L$483*EFEITO!$Z$483</f>
        <v>38834.998377656979</v>
      </c>
      <c r="L483" s="55">
        <f>EFEITO!$N$483*EFEITO!$AA$483</f>
        <v>19342.207452078204</v>
      </c>
      <c r="M483" s="55">
        <f>$J$483-EFEITO!$K$483*EFEITO!$Y$483</f>
        <v>0</v>
      </c>
      <c r="N483" s="55">
        <f ca="1">$K$483-EFEITO!$M$483*EFEITO!$Z$483</f>
        <v>0</v>
      </c>
      <c r="O483" s="55">
        <f>$L$483-EFEITO!$O$483*EFEITO!$AA$483</f>
        <v>0</v>
      </c>
      <c r="P483" s="39"/>
      <c r="Q483" s="39"/>
      <c r="R483" s="39"/>
      <c r="S483" s="39"/>
      <c r="T483" s="39"/>
      <c r="U483" s="39"/>
      <c r="V483" s="39"/>
      <c r="W483" s="39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0409-42A7-4CFE-B243-E0DAA649AFFD}">
  <dimension ref="A1:BD103"/>
  <sheetViews>
    <sheetView showGridLines="0" topLeftCell="E41" workbookViewId="0">
      <selection activeCell="L53" sqref="L53:BD103"/>
    </sheetView>
  </sheetViews>
  <sheetFormatPr defaultRowHeight="11.25" customHeight="1" x14ac:dyDescent="0.3"/>
  <cols>
    <col min="1" max="1" width="9" style="9" bestFit="1" customWidth="1"/>
    <col min="2" max="2" width="21.33203125" style="9" bestFit="1" customWidth="1"/>
    <col min="3" max="3" width="30.33203125" style="9" bestFit="1" customWidth="1"/>
    <col min="4" max="4" width="51.5546875" style="9" bestFit="1" customWidth="1"/>
    <col min="5" max="5" width="60.5546875" style="9" bestFit="1" customWidth="1"/>
    <col min="6" max="6" width="69.5546875" style="9" bestFit="1" customWidth="1"/>
    <col min="7" max="7" width="70.6640625" style="9" bestFit="1" customWidth="1"/>
    <col min="8" max="8" width="7.109375" style="9" bestFit="1" customWidth="1"/>
    <col min="9" max="9" width="7.88671875" style="9" bestFit="1" customWidth="1"/>
    <col min="10" max="10" width="8.88671875" style="9"/>
    <col min="11" max="11" width="14.109375" style="9" bestFit="1" customWidth="1"/>
    <col min="12" max="12" width="12.44140625" style="9" bestFit="1" customWidth="1"/>
    <col min="13" max="13" width="7.109375" style="9" bestFit="1" customWidth="1"/>
    <col min="14" max="14" width="3.77734375" style="9" bestFit="1" customWidth="1"/>
    <col min="15" max="15" width="3.88671875" style="9" bestFit="1" customWidth="1"/>
    <col min="16" max="16" width="3.77734375" style="9" bestFit="1" customWidth="1"/>
    <col min="17" max="17" width="9.109375" style="9" bestFit="1" customWidth="1"/>
    <col min="18" max="18" width="7.88671875" style="9" bestFit="1" customWidth="1"/>
    <col min="19" max="19" width="8" style="9" bestFit="1" customWidth="1"/>
    <col min="20" max="20" width="7.109375" style="9" bestFit="1" customWidth="1"/>
    <col min="21" max="21" width="7" style="9" bestFit="1" customWidth="1"/>
    <col min="22" max="22" width="9.21875" style="9" bestFit="1" customWidth="1"/>
    <col min="23" max="23" width="9.33203125" style="9" bestFit="1" customWidth="1"/>
    <col min="24" max="24" width="7.88671875" style="9" bestFit="1" customWidth="1"/>
    <col min="25" max="25" width="7.109375" style="9" bestFit="1" customWidth="1"/>
    <col min="26" max="26" width="9.33203125" style="9" bestFit="1" customWidth="1"/>
    <col min="27" max="27" width="11.109375" style="9" bestFit="1" customWidth="1"/>
    <col min="28" max="28" width="7.77734375" style="9" bestFit="1" customWidth="1"/>
    <col min="29" max="29" width="6.88671875" style="9" bestFit="1" customWidth="1"/>
    <col min="30" max="30" width="14.44140625" style="9" bestFit="1" customWidth="1"/>
    <col min="31" max="31" width="17.5546875" style="9" bestFit="1" customWidth="1"/>
    <col min="32" max="32" width="18.109375" style="9" bestFit="1" customWidth="1"/>
    <col min="33" max="33" width="3.5546875" style="9" bestFit="1" customWidth="1"/>
    <col min="34" max="34" width="8.88671875" style="9"/>
    <col min="35" max="35" width="12.44140625" style="9" bestFit="1" customWidth="1"/>
    <col min="36" max="36" width="7.109375" style="9" bestFit="1" customWidth="1"/>
    <col min="37" max="37" width="3.77734375" style="9" bestFit="1" customWidth="1"/>
    <col min="38" max="38" width="3.88671875" style="9" bestFit="1" customWidth="1"/>
    <col min="39" max="39" width="3.77734375" style="9" bestFit="1" customWidth="1"/>
    <col min="40" max="40" width="9.109375" style="9" bestFit="1" customWidth="1"/>
    <col min="41" max="41" width="7.88671875" style="9" bestFit="1" customWidth="1"/>
    <col min="42" max="42" width="8" style="9" bestFit="1" customWidth="1"/>
    <col min="43" max="43" width="7.109375" style="9" bestFit="1" customWidth="1"/>
    <col min="44" max="44" width="7" style="9" bestFit="1" customWidth="1"/>
    <col min="45" max="45" width="9.21875" style="9" bestFit="1" customWidth="1"/>
    <col min="46" max="46" width="9.33203125" style="9" bestFit="1" customWidth="1"/>
    <col min="47" max="47" width="7.88671875" style="9" bestFit="1" customWidth="1"/>
    <col min="48" max="48" width="7.109375" style="9" bestFit="1" customWidth="1"/>
    <col min="49" max="49" width="9.33203125" style="9" bestFit="1" customWidth="1"/>
    <col min="50" max="50" width="11.109375" style="9" bestFit="1" customWidth="1"/>
    <col min="51" max="51" width="7.77734375" style="9" bestFit="1" customWidth="1"/>
    <col min="52" max="52" width="6.88671875" style="9" bestFit="1" customWidth="1"/>
    <col min="53" max="53" width="14.44140625" style="9" bestFit="1" customWidth="1"/>
    <col min="54" max="54" width="17.5546875" style="9" bestFit="1" customWidth="1"/>
    <col min="55" max="55" width="18.109375" style="9" bestFit="1" customWidth="1"/>
    <col min="56" max="56" width="3.5546875" style="9" bestFit="1" customWidth="1"/>
    <col min="57" max="16384" width="8.88671875" style="9"/>
  </cols>
  <sheetData>
    <row r="1" spans="1:56" ht="11.25" customHeight="1" x14ac:dyDescent="0.3">
      <c r="A1" s="91" t="s">
        <v>69</v>
      </c>
      <c r="B1" s="91" t="s">
        <v>70</v>
      </c>
      <c r="C1" s="91" t="s">
        <v>71</v>
      </c>
      <c r="D1" s="91" t="s">
        <v>72</v>
      </c>
      <c r="E1" s="91" t="s">
        <v>73</v>
      </c>
      <c r="F1" s="91" t="s">
        <v>15</v>
      </c>
      <c r="G1" s="91" t="s">
        <v>75</v>
      </c>
      <c r="H1" s="91" t="s">
        <v>76</v>
      </c>
      <c r="I1" s="91" t="s">
        <v>494</v>
      </c>
      <c r="J1" s="84"/>
      <c r="L1" s="92" t="s">
        <v>695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I1" s="92" t="s">
        <v>696</v>
      </c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</row>
    <row r="2" spans="1:56" ht="11.25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84"/>
      <c r="L2" s="92" t="s">
        <v>393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I2" s="92" t="s">
        <v>393</v>
      </c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</row>
    <row r="3" spans="1:56" ht="11.25" customHeight="1" x14ac:dyDescent="0.3">
      <c r="A3" s="91"/>
      <c r="B3" s="91"/>
      <c r="C3" s="91"/>
      <c r="D3" s="91"/>
      <c r="E3" s="91"/>
      <c r="F3" s="91"/>
      <c r="G3" s="91"/>
      <c r="H3" s="91"/>
      <c r="I3" s="91"/>
      <c r="J3" s="84"/>
      <c r="L3" s="92" t="s">
        <v>394</v>
      </c>
      <c r="M3" s="92"/>
      <c r="N3" s="92"/>
      <c r="O3" s="92"/>
      <c r="P3" s="92"/>
      <c r="Q3" s="92"/>
      <c r="R3" s="92"/>
      <c r="S3" s="92"/>
      <c r="T3" s="92" t="s">
        <v>403</v>
      </c>
      <c r="U3" s="92"/>
      <c r="V3" s="92"/>
      <c r="W3" s="92"/>
      <c r="X3" s="92"/>
      <c r="Y3" s="92"/>
      <c r="Z3" s="92"/>
      <c r="AA3" s="10" t="s">
        <v>411</v>
      </c>
      <c r="AB3" s="92" t="s">
        <v>413</v>
      </c>
      <c r="AC3" s="92"/>
      <c r="AD3" s="92" t="s">
        <v>416</v>
      </c>
      <c r="AE3" s="92"/>
      <c r="AF3" s="92"/>
      <c r="AG3" s="92"/>
      <c r="AI3" s="92" t="s">
        <v>394</v>
      </c>
      <c r="AJ3" s="92"/>
      <c r="AK3" s="92"/>
      <c r="AL3" s="92"/>
      <c r="AM3" s="92"/>
      <c r="AN3" s="92"/>
      <c r="AO3" s="92"/>
      <c r="AP3" s="92"/>
      <c r="AQ3" s="92" t="s">
        <v>403</v>
      </c>
      <c r="AR3" s="92"/>
      <c r="AS3" s="92"/>
      <c r="AT3" s="92"/>
      <c r="AU3" s="92"/>
      <c r="AV3" s="92"/>
      <c r="AW3" s="92"/>
      <c r="AX3" s="10" t="s">
        <v>411</v>
      </c>
      <c r="AY3" s="92" t="s">
        <v>413</v>
      </c>
      <c r="AZ3" s="92"/>
      <c r="BA3" s="92" t="s">
        <v>416</v>
      </c>
      <c r="BB3" s="92"/>
      <c r="BC3" s="92"/>
      <c r="BD3" s="92"/>
    </row>
    <row r="4" spans="1:56" ht="11.25" customHeight="1" x14ac:dyDescent="0.3">
      <c r="A4" s="91"/>
      <c r="B4" s="91"/>
      <c r="C4" s="91"/>
      <c r="D4" s="91"/>
      <c r="E4" s="91"/>
      <c r="F4" s="91"/>
      <c r="G4" s="91"/>
      <c r="H4" s="91"/>
      <c r="I4" s="91"/>
      <c r="J4" s="84"/>
      <c r="L4" s="10" t="s">
        <v>479</v>
      </c>
      <c r="M4" s="10" t="s">
        <v>395</v>
      </c>
      <c r="N4" s="10" t="s">
        <v>396</v>
      </c>
      <c r="O4" s="10" t="s">
        <v>397</v>
      </c>
      <c r="P4" s="10" t="s">
        <v>398</v>
      </c>
      <c r="Q4" s="10" t="s">
        <v>399</v>
      </c>
      <c r="R4" s="10" t="s">
        <v>400</v>
      </c>
      <c r="S4" s="10" t="s">
        <v>401</v>
      </c>
      <c r="T4" s="10" t="s">
        <v>404</v>
      </c>
      <c r="U4" s="10" t="s">
        <v>405</v>
      </c>
      <c r="V4" s="10" t="s">
        <v>406</v>
      </c>
      <c r="W4" s="10" t="s">
        <v>407</v>
      </c>
      <c r="X4" s="10" t="s">
        <v>408</v>
      </c>
      <c r="Y4" s="10" t="s">
        <v>409</v>
      </c>
      <c r="Z4" s="10" t="s">
        <v>410</v>
      </c>
      <c r="AA4" s="10" t="s">
        <v>412</v>
      </c>
      <c r="AB4" s="10" t="s">
        <v>414</v>
      </c>
      <c r="AC4" s="10" t="s">
        <v>415</v>
      </c>
      <c r="AD4" s="10" t="s">
        <v>417</v>
      </c>
      <c r="AE4" s="10" t="s">
        <v>418</v>
      </c>
      <c r="AF4" s="10" t="s">
        <v>419</v>
      </c>
      <c r="AG4" s="10" t="s">
        <v>420</v>
      </c>
      <c r="AI4" s="10" t="s">
        <v>479</v>
      </c>
      <c r="AJ4" s="10" t="s">
        <v>395</v>
      </c>
      <c r="AK4" s="10" t="s">
        <v>396</v>
      </c>
      <c r="AL4" s="10" t="s">
        <v>397</v>
      </c>
      <c r="AM4" s="10" t="s">
        <v>398</v>
      </c>
      <c r="AN4" s="10" t="s">
        <v>399</v>
      </c>
      <c r="AO4" s="10" t="s">
        <v>400</v>
      </c>
      <c r="AP4" s="10" t="s">
        <v>401</v>
      </c>
      <c r="AQ4" s="10" t="s">
        <v>404</v>
      </c>
      <c r="AR4" s="10" t="s">
        <v>405</v>
      </c>
      <c r="AS4" s="10" t="s">
        <v>406</v>
      </c>
      <c r="AT4" s="10" t="s">
        <v>407</v>
      </c>
      <c r="AU4" s="10" t="s">
        <v>408</v>
      </c>
      <c r="AV4" s="10" t="s">
        <v>409</v>
      </c>
      <c r="AW4" s="10" t="s">
        <v>410</v>
      </c>
      <c r="AX4" s="10" t="s">
        <v>412</v>
      </c>
      <c r="AY4" s="10" t="s">
        <v>414</v>
      </c>
      <c r="AZ4" s="10" t="s">
        <v>415</v>
      </c>
      <c r="BA4" s="10" t="s">
        <v>417</v>
      </c>
      <c r="BB4" s="10" t="s">
        <v>418</v>
      </c>
      <c r="BC4" s="10" t="s">
        <v>419</v>
      </c>
      <c r="BD4" s="10" t="s">
        <v>420</v>
      </c>
    </row>
    <row r="5" spans="1:56" ht="11.25" customHeight="1" x14ac:dyDescent="0.3">
      <c r="A5" s="95" t="s">
        <v>34</v>
      </c>
      <c r="B5" s="95" t="s">
        <v>35</v>
      </c>
      <c r="C5" s="95" t="s">
        <v>25</v>
      </c>
      <c r="D5" s="95" t="s">
        <v>25</v>
      </c>
      <c r="E5" s="95" t="s">
        <v>25</v>
      </c>
      <c r="F5" s="95" t="s">
        <v>25</v>
      </c>
      <c r="G5" s="18" t="s">
        <v>85</v>
      </c>
      <c r="H5" s="18" t="s">
        <v>84</v>
      </c>
      <c r="I5" s="18">
        <f>'MERCADO TUSD'!$U$2</f>
        <v>372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19.340319005479014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44.223493824530465</v>
      </c>
      <c r="AB5" s="13">
        <f ca="1">('TUSD BE'!$AE$5+'TUSD BF'!$AE$5+'TUSD CVA'!$AE$5)*1</f>
        <v>0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19.165356686313199</v>
      </c>
      <c r="AV5" s="13">
        <v>0</v>
      </c>
      <c r="AW5" s="13">
        <v>0</v>
      </c>
      <c r="AX5" s="13">
        <v>44.984235055687201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3">
      <c r="A6" s="95"/>
      <c r="B6" s="95"/>
      <c r="C6" s="95"/>
      <c r="D6" s="95"/>
      <c r="E6" s="95"/>
      <c r="F6" s="95"/>
      <c r="G6" s="18" t="s">
        <v>86</v>
      </c>
      <c r="H6" s="18" t="s">
        <v>84</v>
      </c>
      <c r="I6" s="18">
        <f>'MERCADO TUSD'!$U$3</f>
        <v>457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11.132753377603191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12.103833386011278</v>
      </c>
      <c r="AB6" s="13">
        <f ca="1">('TUSD BE'!$AE$6+'TUSD BF'!$AE$6+'TUSD CVA'!$AE$6)*1</f>
        <v>0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7.7715724858040298</v>
      </c>
      <c r="AV6" s="13">
        <v>0</v>
      </c>
      <c r="AW6" s="13">
        <v>0</v>
      </c>
      <c r="AX6" s="13">
        <v>12.569914770477199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3">
      <c r="A7" s="95"/>
      <c r="B7" s="95"/>
      <c r="C7" s="95"/>
      <c r="D7" s="95"/>
      <c r="E7" s="95"/>
      <c r="F7" s="95"/>
      <c r="G7" s="18" t="s">
        <v>83</v>
      </c>
      <c r="H7" s="18" t="s">
        <v>79</v>
      </c>
      <c r="I7" s="18">
        <f>'MERCADO TUSD'!$U$4</f>
        <v>166.83199999999999</v>
      </c>
      <c r="J7" s="15"/>
      <c r="L7" s="13">
        <f>('TUSD BE'!$L$7+'TUSD BF'!$L$7+'TUSD CVA'!$L$7)*1</f>
        <v>0</v>
      </c>
      <c r="M7" s="13">
        <f>('TUSD BE'!$M$7+'TUSD BF'!$M$7+'TUSD CVA'!$M$7)*1</f>
        <v>0.79253749312463373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76.754518067443584</v>
      </c>
      <c r="R7" s="13">
        <f>('TUSD BE'!$R$7+'TUSD BF'!$R$7+'TUSD CVA'!$R$7)*1</f>
        <v>14.417590692611538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0</v>
      </c>
      <c r="AC7" s="13">
        <f ca="1">('TUSD BE'!$AF$7+'TUSD BF'!$AF$7+'TUSD CVA'!$AF$7)*1</f>
        <v>0</v>
      </c>
      <c r="AD7" s="13">
        <f>('TUSD BE'!$AH$7+'TUSD BF'!$AH$7+'TUSD CVA'!$AH$7)*1</f>
        <v>16.698820090631443</v>
      </c>
      <c r="AE7" s="13">
        <f>('TUSD BE'!$AI$7+'TUSD BF'!$AI$7+'TUSD CVA'!$AI$7)*1</f>
        <v>0</v>
      </c>
      <c r="AF7" s="13">
        <f ca="1">('TUSD BE'!$AJ$7+'TUSD BF'!$AJ$7+'TUSD CVA'!$AJ$7)*1</f>
        <v>3.0821020832242203</v>
      </c>
      <c r="AG7" s="13">
        <f ca="1">('TUSD BE'!$AK$7+'TUSD BF'!$AK$7+'TUSD CVA'!$AK$7)*1</f>
        <v>0</v>
      </c>
      <c r="AI7" s="13">
        <v>0</v>
      </c>
      <c r="AJ7" s="13">
        <v>0.68055662363232206</v>
      </c>
      <c r="AK7" s="13">
        <v>0</v>
      </c>
      <c r="AL7" s="13">
        <v>0</v>
      </c>
      <c r="AM7" s="13">
        <v>0</v>
      </c>
      <c r="AN7" s="13">
        <v>49.335187630177998</v>
      </c>
      <c r="AO7" s="13">
        <v>8.8581279991634503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19.655533838549299</v>
      </c>
      <c r="BB7" s="13">
        <v>0</v>
      </c>
      <c r="BC7" s="13">
        <v>2.2013531649201301</v>
      </c>
      <c r="BD7" s="13">
        <v>0</v>
      </c>
    </row>
    <row r="8" spans="1:56" ht="11.25" customHeight="1" x14ac:dyDescent="0.3">
      <c r="A8" s="95"/>
      <c r="B8" s="95"/>
      <c r="C8" s="95"/>
      <c r="D8" s="95"/>
      <c r="E8" s="17" t="s">
        <v>87</v>
      </c>
      <c r="F8" s="17" t="s">
        <v>25</v>
      </c>
      <c r="G8" s="18" t="s">
        <v>83</v>
      </c>
      <c r="H8" s="18" t="s">
        <v>79</v>
      </c>
      <c r="I8" s="18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0.79253749312463373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0</v>
      </c>
      <c r="AC8" s="13">
        <f ca="1">('TUSD BE'!$AF$8+'TUSD BF'!$AF$8+'TUSD CVA'!$AF$8)*1</f>
        <v>0</v>
      </c>
      <c r="AD8" s="13">
        <f>('TUSD BE'!$AH$8+'TUSD BF'!$AH$8+'TUSD CVA'!$AH$8)*1</f>
        <v>16.698820090631443</v>
      </c>
      <c r="AE8" s="13">
        <f>('TUSD BE'!$AI$8+'TUSD BF'!$AI$8+'TUSD CVA'!$AI$8)*1</f>
        <v>0</v>
      </c>
      <c r="AF8" s="13">
        <f ca="1">('TUSD BE'!$AJ$8+'TUSD BF'!$AJ$8+'TUSD CVA'!$AJ$8)*1</f>
        <v>3.0821020832242203</v>
      </c>
      <c r="AG8" s="13">
        <f ca="1">('TUSD BE'!$AK$8+'TUSD BF'!$AK$8+'TUSD CVA'!$AK$8)*1</f>
        <v>0</v>
      </c>
      <c r="AI8" s="13">
        <v>0</v>
      </c>
      <c r="AJ8" s="13">
        <v>0.68055662363232206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19.655533838549299</v>
      </c>
      <c r="BB8" s="13">
        <v>0</v>
      </c>
      <c r="BC8" s="13">
        <v>2.2013531649201301</v>
      </c>
      <c r="BD8" s="13">
        <v>0</v>
      </c>
    </row>
    <row r="9" spans="1:56" ht="11.25" customHeight="1" x14ac:dyDescent="0.3">
      <c r="A9" s="95"/>
      <c r="B9" s="17" t="s">
        <v>56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84</v>
      </c>
      <c r="I9" s="18">
        <f>'MERCADO TUSD'!$U$6</f>
        <v>137556</v>
      </c>
      <c r="J9" s="15"/>
      <c r="L9" s="13">
        <f>('TUSD BE'!$L$9+'TUSD BF'!$L$9+'TUSD CVA'!$L$9)*1</f>
        <v>0</v>
      </c>
      <c r="M9" s="13">
        <f>('TUSD BE'!$M$9+'TUSD BF'!$M$9+'TUSD CVA'!$M$9)*1</f>
        <v>1.1712269445620536E-2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6.7554777289136103</v>
      </c>
      <c r="AB9" s="13">
        <f ca="1">('TUSD BE'!$AE$9+'TUSD BF'!$AE$9+'TUSD CVA'!$AE$9)*1</f>
        <v>0</v>
      </c>
      <c r="AC9" s="13">
        <f ca="1">('TUSD BE'!$AF$9+'TUSD BF'!$AF$9+'TUSD CVA'!$AF$9)*1</f>
        <v>0</v>
      </c>
      <c r="AD9" s="13">
        <f>('TUSD BE'!$AH$9+'TUSD BF'!$AH$9+'TUSD CVA'!$AH$9)*1</f>
        <v>7.7810074510187971E-4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9.3317452787925297E-3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5.6867493331097103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3">
      <c r="A10" s="95"/>
      <c r="B10" s="95" t="s">
        <v>38</v>
      </c>
      <c r="C10" s="95" t="s">
        <v>25</v>
      </c>
      <c r="D10" s="95" t="s">
        <v>25</v>
      </c>
      <c r="E10" s="95" t="s">
        <v>25</v>
      </c>
      <c r="F10" s="95" t="s">
        <v>25</v>
      </c>
      <c r="G10" s="18" t="s">
        <v>9</v>
      </c>
      <c r="H10" s="18" t="s">
        <v>84</v>
      </c>
      <c r="I10" s="18">
        <f>'MERCADO TUSD'!$U$7</f>
        <v>63157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11.132753377603191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12.103833386011278</v>
      </c>
      <c r="AB10" s="13">
        <f ca="1">('TUSD BE'!$AE$10+'TUSD BF'!$AE$10+'TUSD CVA'!$AE$10)*1</f>
        <v>0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7.7715724858040298</v>
      </c>
      <c r="AV10" s="13">
        <v>0</v>
      </c>
      <c r="AW10" s="13">
        <v>0</v>
      </c>
      <c r="AX10" s="13">
        <v>12.569914770477199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3">
      <c r="A11" s="95"/>
      <c r="B11" s="95"/>
      <c r="C11" s="95"/>
      <c r="D11" s="95"/>
      <c r="E11" s="95"/>
      <c r="F11" s="95"/>
      <c r="G11" s="18" t="s">
        <v>80</v>
      </c>
      <c r="H11" s="18" t="s">
        <v>79</v>
      </c>
      <c r="I11" s="18">
        <f>'MERCADO TUSD'!$U$8</f>
        <v>783.01900000000001</v>
      </c>
      <c r="J11" s="15"/>
      <c r="L11" s="13">
        <f>('TUSD BE'!$L$11+'TUSD BF'!$L$11+'TUSD CVA'!$L$11)*1</f>
        <v>0</v>
      </c>
      <c r="M11" s="13">
        <f>('TUSD BE'!$M$11+'TUSD BF'!$M$11+'TUSD CVA'!$M$11)*1</f>
        <v>0.79253749312463373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76.754518067443584</v>
      </c>
      <c r="R11" s="13">
        <f>('TUSD BE'!$R$11+'TUSD BF'!$R$11+'TUSD CVA'!$R$11)*1</f>
        <v>14.417590692611538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465.38885101730489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1063.5742790905292</v>
      </c>
      <c r="AB11" s="13">
        <f ca="1">('TUSD BE'!$AE$11+'TUSD BF'!$AE$11+'TUSD CVA'!$AE$11)*1</f>
        <v>0</v>
      </c>
      <c r="AC11" s="13">
        <f ca="1">('TUSD BE'!$AF$11+'TUSD BF'!$AF$11+'TUSD CVA'!$AF$11)*1</f>
        <v>0</v>
      </c>
      <c r="AD11" s="13">
        <f>('TUSD BE'!$AH$11+'TUSD BF'!$AH$11+'TUSD CVA'!$AH$11)*1</f>
        <v>16.698820090631443</v>
      </c>
      <c r="AE11" s="13">
        <f>('TUSD BE'!$AI$11+'TUSD BF'!$AI$11+'TUSD CVA'!$AI$11)*1</f>
        <v>0</v>
      </c>
      <c r="AF11" s="13">
        <f ca="1">('TUSD BE'!$AJ$11+'TUSD BF'!$AJ$11+'TUSD CVA'!$AJ$11)*1</f>
        <v>3.0821020832242203</v>
      </c>
      <c r="AG11" s="13">
        <f ca="1">('TUSD BE'!$AK$11+'TUSD BF'!$AK$11+'TUSD CVA'!$AK$11)*1</f>
        <v>0</v>
      </c>
      <c r="AI11" s="13">
        <v>0</v>
      </c>
      <c r="AJ11" s="13">
        <v>0.68055662363232206</v>
      </c>
      <c r="AK11" s="13">
        <v>0</v>
      </c>
      <c r="AL11" s="13">
        <v>0</v>
      </c>
      <c r="AM11" s="13">
        <v>0</v>
      </c>
      <c r="AN11" s="13">
        <v>49.335187630177998</v>
      </c>
      <c r="AO11" s="13">
        <v>8.8581279991634503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461.67360224733602</v>
      </c>
      <c r="AV11" s="13">
        <v>0</v>
      </c>
      <c r="AW11" s="13">
        <v>0</v>
      </c>
      <c r="AX11" s="13">
        <v>1081.8681530496399</v>
      </c>
      <c r="AY11" s="13">
        <v>0</v>
      </c>
      <c r="AZ11" s="13">
        <v>0</v>
      </c>
      <c r="BA11" s="13">
        <v>19.655533838549299</v>
      </c>
      <c r="BB11" s="13">
        <v>0</v>
      </c>
      <c r="BC11" s="13">
        <v>2.2013531649201301</v>
      </c>
      <c r="BD11" s="13">
        <v>0</v>
      </c>
    </row>
    <row r="12" spans="1:56" ht="11.25" customHeight="1" x14ac:dyDescent="0.3">
      <c r="A12" s="95"/>
      <c r="B12" s="95"/>
      <c r="C12" s="95"/>
      <c r="D12" s="95"/>
      <c r="E12" s="95"/>
      <c r="F12" s="95"/>
      <c r="G12" s="18" t="s">
        <v>81</v>
      </c>
      <c r="H12" s="18" t="s">
        <v>79</v>
      </c>
      <c r="I12" s="18">
        <f>'MERCADO TUSD'!$U$9</f>
        <v>12684.257000000001</v>
      </c>
      <c r="J12" s="15"/>
      <c r="L12" s="13">
        <f>('TUSD BE'!$L$12+'TUSD BF'!$L$12+'TUSD CVA'!$L$12)*1</f>
        <v>0</v>
      </c>
      <c r="M12" s="13">
        <f>('TUSD BE'!$M$12+'TUSD BF'!$M$12+'TUSD CVA'!$M$12)*1</f>
        <v>0.79253749312463373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76.754518067443584</v>
      </c>
      <c r="R12" s="13">
        <f>('TUSD BE'!$R$12+'TUSD BF'!$R$12+'TUSD CVA'!$R$12)*1</f>
        <v>14.417590692611538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0</v>
      </c>
      <c r="AC12" s="13">
        <f ca="1">('TUSD BE'!$AF$12+'TUSD BF'!$AF$12+'TUSD CVA'!$AF$12)*1</f>
        <v>0</v>
      </c>
      <c r="AD12" s="13">
        <f>('TUSD BE'!$AH$12+'TUSD BF'!$AH$12+'TUSD CVA'!$AH$12)*1</f>
        <v>16.698820090631443</v>
      </c>
      <c r="AE12" s="13">
        <f>('TUSD BE'!$AI$12+'TUSD BF'!$AI$12+'TUSD CVA'!$AI$12)*1</f>
        <v>0</v>
      </c>
      <c r="AF12" s="13">
        <f ca="1">('TUSD BE'!$AJ$12+'TUSD BF'!$AJ$12+'TUSD CVA'!$AJ$12)*1</f>
        <v>3.0821020832242203</v>
      </c>
      <c r="AG12" s="13">
        <f ca="1">('TUSD BE'!$AK$12+'TUSD BF'!$AK$12+'TUSD CVA'!$AK$12)*1</f>
        <v>0</v>
      </c>
      <c r="AI12" s="13">
        <v>0</v>
      </c>
      <c r="AJ12" s="13">
        <v>0.68055662363232206</v>
      </c>
      <c r="AK12" s="13">
        <v>0</v>
      </c>
      <c r="AL12" s="13">
        <v>0</v>
      </c>
      <c r="AM12" s="13">
        <v>0</v>
      </c>
      <c r="AN12" s="13">
        <v>49.335187630177998</v>
      </c>
      <c r="AO12" s="13">
        <v>8.8581279991634503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19.655533838549299</v>
      </c>
      <c r="BB12" s="13">
        <v>0</v>
      </c>
      <c r="BC12" s="13">
        <v>2.2013531649201301</v>
      </c>
      <c r="BD12" s="13">
        <v>0</v>
      </c>
    </row>
    <row r="13" spans="1:56" ht="11.25" customHeight="1" x14ac:dyDescent="0.3">
      <c r="A13" s="95"/>
      <c r="B13" s="95"/>
      <c r="C13" s="95"/>
      <c r="D13" s="95"/>
      <c r="E13" s="95" t="s">
        <v>87</v>
      </c>
      <c r="F13" s="95" t="s">
        <v>25</v>
      </c>
      <c r="G13" s="18" t="s">
        <v>80</v>
      </c>
      <c r="H13" s="18" t="s">
        <v>79</v>
      </c>
      <c r="I13" s="18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0.79253749312463373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465.38885101730489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1063.5742790905292</v>
      </c>
      <c r="AB13" s="13">
        <f ca="1">('TUSD BE'!$AE$13+'TUSD BF'!$AE$13+'TUSD CVA'!$AE$13)*1</f>
        <v>0</v>
      </c>
      <c r="AC13" s="13">
        <f ca="1">('TUSD BE'!$AF$13+'TUSD BF'!$AF$13+'TUSD CVA'!$AF$13)*1</f>
        <v>0</v>
      </c>
      <c r="AD13" s="13">
        <f>('TUSD BE'!$AH$13+'TUSD BF'!$AH$13+'TUSD CVA'!$AH$13)*1</f>
        <v>16.698820090631443</v>
      </c>
      <c r="AE13" s="13">
        <f>('TUSD BE'!$AI$13+'TUSD BF'!$AI$13+'TUSD CVA'!$AI$13)*1</f>
        <v>0</v>
      </c>
      <c r="AF13" s="13">
        <f ca="1">('TUSD BE'!$AJ$13+'TUSD BF'!$AJ$13+'TUSD CVA'!$AJ$13)*1</f>
        <v>3.0821020832242203</v>
      </c>
      <c r="AG13" s="13">
        <f ca="1">('TUSD BE'!$AK$13+'TUSD BF'!$AK$13+'TUSD CVA'!$AK$13)*1</f>
        <v>0</v>
      </c>
      <c r="AI13" s="13">
        <v>0</v>
      </c>
      <c r="AJ13" s="13">
        <v>0.68055662363232206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461.67360224733602</v>
      </c>
      <c r="AV13" s="13">
        <v>0</v>
      </c>
      <c r="AW13" s="13">
        <v>0</v>
      </c>
      <c r="AX13" s="13">
        <v>1081.8681530496399</v>
      </c>
      <c r="AY13" s="13">
        <v>0</v>
      </c>
      <c r="AZ13" s="13">
        <v>0</v>
      </c>
      <c r="BA13" s="13">
        <v>19.655533838549299</v>
      </c>
      <c r="BB13" s="13">
        <v>0</v>
      </c>
      <c r="BC13" s="13">
        <v>2.2013531649201301</v>
      </c>
      <c r="BD13" s="13">
        <v>0</v>
      </c>
    </row>
    <row r="14" spans="1:56" ht="11.25" customHeight="1" x14ac:dyDescent="0.3">
      <c r="A14" s="95"/>
      <c r="B14" s="95"/>
      <c r="C14" s="95"/>
      <c r="D14" s="95"/>
      <c r="E14" s="95"/>
      <c r="F14" s="95"/>
      <c r="G14" s="18" t="s">
        <v>81</v>
      </c>
      <c r="H14" s="18" t="s">
        <v>79</v>
      </c>
      <c r="I14" s="18">
        <f>'MERCADO TUSD'!$U$11</f>
        <v>0</v>
      </c>
      <c r="J14" s="15"/>
      <c r="L14" s="13">
        <f>('TUSD BE'!$L$14+'TUSD BF'!$L$14+'TUSD CVA'!$L$14)*1</f>
        <v>0</v>
      </c>
      <c r="M14" s="13">
        <f>('TUSD BE'!$M$14+'TUSD BF'!$M$14+'TUSD CVA'!$M$14)*1</f>
        <v>0.79253749312463373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0</v>
      </c>
      <c r="AB14" s="13">
        <f ca="1">('TUSD BE'!$AE$14+'TUSD BF'!$AE$14+'TUSD CVA'!$AE$14)*1</f>
        <v>0</v>
      </c>
      <c r="AC14" s="13">
        <f ca="1">('TUSD BE'!$AF$14+'TUSD BF'!$AF$14+'TUSD CVA'!$AF$14)*1</f>
        <v>0</v>
      </c>
      <c r="AD14" s="13">
        <f>('TUSD BE'!$AH$14+'TUSD BF'!$AH$14+'TUSD CVA'!$AH$14)*1</f>
        <v>16.698820090631443</v>
      </c>
      <c r="AE14" s="13">
        <f>('TUSD BE'!$AI$14+'TUSD BF'!$AI$14+'TUSD CVA'!$AI$14)*1</f>
        <v>0</v>
      </c>
      <c r="AF14" s="13">
        <f ca="1">('TUSD BE'!$AJ$14+'TUSD BF'!$AJ$14+'TUSD CVA'!$AJ$14)*1</f>
        <v>3.0821020832242203</v>
      </c>
      <c r="AG14" s="13">
        <f ca="1">('TUSD BE'!$AK$14+'TUSD BF'!$AK$14+'TUSD CVA'!$AK$14)*1</f>
        <v>0</v>
      </c>
      <c r="AI14" s="13">
        <v>0</v>
      </c>
      <c r="AJ14" s="13">
        <v>0.68055662363232206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19.655533838549299</v>
      </c>
      <c r="BB14" s="13">
        <v>0</v>
      </c>
      <c r="BC14" s="13">
        <v>2.2013531649201301</v>
      </c>
      <c r="BD14" s="13">
        <v>0</v>
      </c>
    </row>
    <row r="15" spans="1:56" ht="11.25" customHeight="1" x14ac:dyDescent="0.3">
      <c r="A15" s="95" t="s">
        <v>88</v>
      </c>
      <c r="B15" s="95" t="s">
        <v>56</v>
      </c>
      <c r="C15" s="95" t="s">
        <v>25</v>
      </c>
      <c r="D15" s="95" t="s">
        <v>25</v>
      </c>
      <c r="E15" s="17" t="s">
        <v>89</v>
      </c>
      <c r="F15" s="17" t="s">
        <v>25</v>
      </c>
      <c r="G15" s="18" t="s">
        <v>9</v>
      </c>
      <c r="H15" s="18" t="s">
        <v>84</v>
      </c>
      <c r="I15" s="18">
        <f>'MERCADO TUSD'!$U$12+0.00000001</f>
        <v>1E-8</v>
      </c>
      <c r="J15" s="15"/>
      <c r="L15" s="13">
        <f>('TUSD BE'!$L$15+'TUSD BF'!$L$15+'TUSD CVA'!$L$15)*1</f>
        <v>0</v>
      </c>
      <c r="M15" s="13">
        <f>('TUSD BE'!$M$15+'TUSD BF'!$M$15+'TUSD CVA'!$M$15)*1</f>
        <v>6.7070260927912474E-3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0</v>
      </c>
      <c r="R15" s="13">
        <f>('TUSD BE'!$R$15+'TUSD BF'!$R$15+'TUSD CVA'!$R$15)*1</f>
        <v>0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3.8805197280191055</v>
      </c>
      <c r="AB15" s="13">
        <f ca="1">('TUSD BE'!$AE$15+'TUSD BF'!$AE$15+'TUSD CVA'!$AE$15)*1</f>
        <v>0</v>
      </c>
      <c r="AC15" s="13">
        <f ca="1">('TUSD BE'!$AF$15+'TUSD BF'!$AF$15+'TUSD CVA'!$AF$15)*1</f>
        <v>0</v>
      </c>
      <c r="AD15" s="13">
        <f>('TUSD BE'!$AH$15+'TUSD BF'!$AH$15+'TUSD CVA'!$AH$15)*1</f>
        <v>0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9.6089258316279496E-3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5.8656146561439702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</row>
    <row r="16" spans="1:56" ht="11.25" customHeight="1" x14ac:dyDescent="0.3">
      <c r="A16" s="95"/>
      <c r="B16" s="95"/>
      <c r="C16" s="95"/>
      <c r="D16" s="95"/>
      <c r="E16" s="17" t="s">
        <v>90</v>
      </c>
      <c r="F16" s="17" t="s">
        <v>25</v>
      </c>
      <c r="G16" s="18" t="s">
        <v>9</v>
      </c>
      <c r="H16" s="18" t="s">
        <v>84</v>
      </c>
      <c r="I16" s="18">
        <f>'MERCADO TUSD'!$U$13+0.00000001</f>
        <v>1E-8</v>
      </c>
      <c r="J16" s="15"/>
      <c r="L16" s="13">
        <f>('TUSD BE'!$L$16+'TUSD BF'!$L$16+'TUSD CVA'!$L$16)*1</f>
        <v>0</v>
      </c>
      <c r="M16" s="13">
        <f>('TUSD BE'!$M$16+'TUSD BF'!$M$16+'TUSD CVA'!$M$16)*1</f>
        <v>6.7070260927912474E-3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11.550396127863603</v>
      </c>
      <c r="AB16" s="13">
        <f ca="1">('TUSD BE'!$AE$16+'TUSD BF'!$AE$16+'TUSD CVA'!$AE$16)*1</f>
        <v>0</v>
      </c>
      <c r="AC16" s="13">
        <f ca="1">('TUSD BE'!$AF$16+'TUSD BF'!$AF$16+'TUSD CVA'!$AF$16)*1</f>
        <v>0</v>
      </c>
      <c r="AD16" s="13">
        <f>('TUSD BE'!$AH$16+'TUSD BF'!$AH$16+'TUSD CVA'!$AH$16)*1</f>
        <v>0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9.6089258316279496E-3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11.934240797786099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</row>
    <row r="17" spans="1:56" ht="11.25" customHeight="1" x14ac:dyDescent="0.3">
      <c r="A17" s="95" t="s">
        <v>22</v>
      </c>
      <c r="B17" s="95" t="s">
        <v>92</v>
      </c>
      <c r="C17" s="95" t="s">
        <v>24</v>
      </c>
      <c r="D17" s="95" t="s">
        <v>24</v>
      </c>
      <c r="E17" s="95" t="s">
        <v>25</v>
      </c>
      <c r="F17" s="95" t="s">
        <v>25</v>
      </c>
      <c r="G17" s="18" t="s">
        <v>80</v>
      </c>
      <c r="H17" s="18" t="s">
        <v>79</v>
      </c>
      <c r="I17" s="18">
        <f>'MERCADO TUSD'!$U$14</f>
        <v>0</v>
      </c>
      <c r="J17" s="15"/>
      <c r="L17" s="13">
        <f>('TUSD BE'!$L$17+'TUSD BF'!$L$17+'TUSD CVA'!$L$17)*1</f>
        <v>0</v>
      </c>
      <c r="M17" s="13">
        <f>('TUSD BE'!$M$17+'TUSD BF'!$M$17+'TUSD CVA'!$M$17)*1</f>
        <v>1.4500379767861136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91.374426270766165</v>
      </c>
      <c r="R17" s="13">
        <f>('TUSD BE'!$R$17+'TUSD BF'!$R$17+'TUSD CVA'!$R$17)*1</f>
        <v>14.417590692611538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180.68004333752936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586.68280078424596</v>
      </c>
      <c r="AB17" s="13">
        <f ca="1">('TUSD BE'!$AE$17+'TUSD BF'!$AE$17+'TUSD CVA'!$AE$17)*1</f>
        <v>0</v>
      </c>
      <c r="AC17" s="13">
        <f ca="1">('TUSD BE'!$AF$17+'TUSD BF'!$AF$17+'TUSD CVA'!$AF$17)*1</f>
        <v>0</v>
      </c>
      <c r="AD17" s="13">
        <f>('TUSD BE'!$AH$17+'TUSD BF'!$AH$17+'TUSD CVA'!$AH$17)*1</f>
        <v>33.33163130138675</v>
      </c>
      <c r="AE17" s="13">
        <f>('TUSD BE'!$AI$17+'TUSD BF'!$AI$17+'TUSD CVA'!$AI$17)*1</f>
        <v>0</v>
      </c>
      <c r="AF17" s="13">
        <f ca="1">('TUSD BE'!$AJ$17+'TUSD BF'!$AJ$17+'TUSD CVA'!$AJ$17)*1</f>
        <v>4.4087389419506833</v>
      </c>
      <c r="AG17" s="13">
        <f ca="1">('TUSD BE'!$AK$17+'TUSD BF'!$AK$17+'TUSD CVA'!$AK$17)*1</f>
        <v>0</v>
      </c>
      <c r="AI17" s="13">
        <v>0</v>
      </c>
      <c r="AJ17" s="13">
        <v>1.1519306008466901</v>
      </c>
      <c r="AK17" s="13">
        <v>0</v>
      </c>
      <c r="AL17" s="13">
        <v>0</v>
      </c>
      <c r="AM17" s="13">
        <v>0</v>
      </c>
      <c r="AN17" s="13">
        <v>56.707112218595398</v>
      </c>
      <c r="AO17" s="13">
        <v>8.8581279991634503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168.99038590657</v>
      </c>
      <c r="AV17" s="13">
        <v>0</v>
      </c>
      <c r="AW17" s="13">
        <v>0</v>
      </c>
      <c r="AX17" s="13">
        <v>505.48042365403899</v>
      </c>
      <c r="AY17" s="13">
        <v>0</v>
      </c>
      <c r="AZ17" s="13">
        <v>0</v>
      </c>
      <c r="BA17" s="13">
        <v>50.9087876233571</v>
      </c>
      <c r="BB17" s="13">
        <v>0</v>
      </c>
      <c r="BC17" s="13">
        <v>3.2808986802992401</v>
      </c>
      <c r="BD17" s="13">
        <v>0</v>
      </c>
    </row>
    <row r="18" spans="1:56" ht="11.25" customHeight="1" x14ac:dyDescent="0.3">
      <c r="A18" s="95"/>
      <c r="B18" s="95"/>
      <c r="C18" s="95"/>
      <c r="D18" s="95"/>
      <c r="E18" s="95"/>
      <c r="F18" s="95"/>
      <c r="G18" s="18" t="s">
        <v>91</v>
      </c>
      <c r="H18" s="18" t="s">
        <v>79</v>
      </c>
      <c r="I18" s="18">
        <f>'MERCADO TUSD'!$U$15</f>
        <v>0</v>
      </c>
      <c r="J18" s="15"/>
      <c r="L18" s="13">
        <f>('TUSD BE'!$L$18+'TUSD BF'!$L$18+'TUSD CVA'!$L$18)*1</f>
        <v>0</v>
      </c>
      <c r="M18" s="13">
        <f>('TUSD BE'!$M$18+'TUSD BF'!$M$18+'TUSD CVA'!$M$18)*1</f>
        <v>1.4500379767861136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91.374426270766165</v>
      </c>
      <c r="R18" s="13">
        <f>('TUSD BE'!$R$18+'TUSD BF'!$R$18+'TUSD CVA'!$R$18)*1</f>
        <v>14.417590692611538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108.43074590736985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352.00971737866746</v>
      </c>
      <c r="AB18" s="13">
        <f ca="1">('TUSD BE'!$AE$18+'TUSD BF'!$AE$18+'TUSD CVA'!$AE$18)*1</f>
        <v>0</v>
      </c>
      <c r="AC18" s="13">
        <f ca="1">('TUSD BE'!$AF$18+'TUSD BF'!$AF$18+'TUSD CVA'!$AF$18)*1</f>
        <v>0</v>
      </c>
      <c r="AD18" s="13">
        <f>('TUSD BE'!$AH$18+'TUSD BF'!$AH$18+'TUSD CVA'!$AH$18)*1</f>
        <v>33.33163130138675</v>
      </c>
      <c r="AE18" s="13">
        <f>('TUSD BE'!$AI$18+'TUSD BF'!$AI$18+'TUSD CVA'!$AI$18)*1</f>
        <v>0</v>
      </c>
      <c r="AF18" s="13">
        <f ca="1">('TUSD BE'!$AJ$18+'TUSD BF'!$AJ$18+'TUSD CVA'!$AJ$18)*1</f>
        <v>4.4087389419506833</v>
      </c>
      <c r="AG18" s="13">
        <f ca="1">('TUSD BE'!$AK$18+'TUSD BF'!$AK$18+'TUSD CVA'!$AK$18)*1</f>
        <v>0</v>
      </c>
      <c r="AI18" s="13">
        <v>0</v>
      </c>
      <c r="AJ18" s="13">
        <v>1.1519306008466901</v>
      </c>
      <c r="AK18" s="13">
        <v>0</v>
      </c>
      <c r="AL18" s="13">
        <v>0</v>
      </c>
      <c r="AM18" s="13">
        <v>0</v>
      </c>
      <c r="AN18" s="13">
        <v>56.707112218595398</v>
      </c>
      <c r="AO18" s="13">
        <v>8.8581279991634503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101.400345204456</v>
      </c>
      <c r="AV18" s="13">
        <v>0</v>
      </c>
      <c r="AW18" s="13">
        <v>0</v>
      </c>
      <c r="AX18" s="13">
        <v>303.28826731533798</v>
      </c>
      <c r="AY18" s="13">
        <v>0</v>
      </c>
      <c r="AZ18" s="13">
        <v>0</v>
      </c>
      <c r="BA18" s="13">
        <v>50.9087876233571</v>
      </c>
      <c r="BB18" s="13">
        <v>0</v>
      </c>
      <c r="BC18" s="13">
        <v>3.2808986802992401</v>
      </c>
      <c r="BD18" s="13">
        <v>0</v>
      </c>
    </row>
    <row r="19" spans="1:56" ht="11.25" customHeight="1" x14ac:dyDescent="0.3">
      <c r="A19" s="95"/>
      <c r="B19" s="95"/>
      <c r="C19" s="95"/>
      <c r="D19" s="95"/>
      <c r="E19" s="95"/>
      <c r="F19" s="95"/>
      <c r="G19" s="18" t="s">
        <v>81</v>
      </c>
      <c r="H19" s="18" t="s">
        <v>79</v>
      </c>
      <c r="I19" s="18">
        <f>'MERCADO TUSD'!$U$16</f>
        <v>0</v>
      </c>
      <c r="J19" s="15"/>
      <c r="L19" s="13">
        <f>('TUSD BE'!$L$19+'TUSD BF'!$L$19+'TUSD CVA'!$L$19)*1</f>
        <v>0</v>
      </c>
      <c r="M19" s="13">
        <f>('TUSD BE'!$M$19+'TUSD BF'!$M$19+'TUSD CVA'!$M$19)*1</f>
        <v>1.4500379767861136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91.374426270766165</v>
      </c>
      <c r="R19" s="13">
        <f>('TUSD BE'!$R$19+'TUSD BF'!$R$19+'TUSD CVA'!$R$19)*1</f>
        <v>14.417590692611538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36.153048596145055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117.33644943248943</v>
      </c>
      <c r="AB19" s="13">
        <f ca="1">('TUSD BE'!$AE$19+'TUSD BF'!$AE$19+'TUSD CVA'!$AE$19)*1</f>
        <v>0</v>
      </c>
      <c r="AC19" s="13">
        <f ca="1">('TUSD BE'!$AF$19+'TUSD BF'!$AF$19+'TUSD CVA'!$AF$19)*1</f>
        <v>0</v>
      </c>
      <c r="AD19" s="13">
        <f>('TUSD BE'!$AH$19+'TUSD BF'!$AH$19+'TUSD CVA'!$AH$19)*1</f>
        <v>33.33163130138675</v>
      </c>
      <c r="AE19" s="13">
        <f>('TUSD BE'!$AI$19+'TUSD BF'!$AI$19+'TUSD CVA'!$AI$19)*1</f>
        <v>0</v>
      </c>
      <c r="AF19" s="13">
        <f ca="1">('TUSD BE'!$AJ$19+'TUSD BF'!$AJ$19+'TUSD CVA'!$AJ$19)*1</f>
        <v>4.4087389419506833</v>
      </c>
      <c r="AG19" s="13">
        <f ca="1">('TUSD BE'!$AK$19+'TUSD BF'!$AK$19+'TUSD CVA'!$AK$19)*1</f>
        <v>0</v>
      </c>
      <c r="AI19" s="13">
        <v>0</v>
      </c>
      <c r="AJ19" s="13">
        <v>1.1519306008466901</v>
      </c>
      <c r="AK19" s="13">
        <v>0</v>
      </c>
      <c r="AL19" s="13">
        <v>0</v>
      </c>
      <c r="AM19" s="13">
        <v>0</v>
      </c>
      <c r="AN19" s="13">
        <v>56.707112218595398</v>
      </c>
      <c r="AO19" s="13">
        <v>8.8581279991634503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33.810392595432397</v>
      </c>
      <c r="AV19" s="13">
        <v>0</v>
      </c>
      <c r="AW19" s="13">
        <v>0</v>
      </c>
      <c r="AX19" s="13">
        <v>101.095979747493</v>
      </c>
      <c r="AY19" s="13">
        <v>0</v>
      </c>
      <c r="AZ19" s="13">
        <v>0</v>
      </c>
      <c r="BA19" s="13">
        <v>50.9087876233571</v>
      </c>
      <c r="BB19" s="13">
        <v>0</v>
      </c>
      <c r="BC19" s="13">
        <v>3.2808986802992401</v>
      </c>
      <c r="BD19" s="13">
        <v>0</v>
      </c>
    </row>
    <row r="20" spans="1:56" ht="11.25" customHeight="1" x14ac:dyDescent="0.3">
      <c r="A20" s="95"/>
      <c r="B20" s="95" t="s">
        <v>23</v>
      </c>
      <c r="C20" s="95" t="s">
        <v>24</v>
      </c>
      <c r="D20" s="17" t="s">
        <v>24</v>
      </c>
      <c r="E20" s="17" t="s">
        <v>25</v>
      </c>
      <c r="F20" s="17" t="s">
        <v>25</v>
      </c>
      <c r="G20" s="18" t="s">
        <v>83</v>
      </c>
      <c r="H20" s="18" t="s">
        <v>79</v>
      </c>
      <c r="I20" s="18">
        <f>'MERCADO TUSD'!$U$17</f>
        <v>10969.981</v>
      </c>
      <c r="J20" s="15"/>
      <c r="L20" s="13">
        <f>('TUSD BE'!$L$20+'TUSD BF'!$L$20+'TUSD CVA'!$L$20)*1</f>
        <v>0</v>
      </c>
      <c r="M20" s="13">
        <f>('TUSD BE'!$M$20+'TUSD BF'!$M$20+'TUSD CVA'!$M$20)*1</f>
        <v>1.4500379767861136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91.374426270766165</v>
      </c>
      <c r="R20" s="13">
        <f>('TUSD BE'!$R$20+'TUSD BF'!$R$20+'TUSD CVA'!$R$20)*1</f>
        <v>14.417590692611538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66.938519670945723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217.28991254671337</v>
      </c>
      <c r="AB20" s="13">
        <f ca="1">('TUSD BE'!$AE$20+'TUSD BF'!$AE$20+'TUSD CVA'!$AE$20)*1</f>
        <v>0</v>
      </c>
      <c r="AC20" s="13">
        <f ca="1">('TUSD BE'!$AF$20+'TUSD BF'!$AF$20+'TUSD CVA'!$AF$20)*1</f>
        <v>0</v>
      </c>
      <c r="AD20" s="13">
        <f>('TUSD BE'!$AH$20+'TUSD BF'!$AH$20+'TUSD CVA'!$AH$20)*1</f>
        <v>33.33163130138675</v>
      </c>
      <c r="AE20" s="13">
        <f>('TUSD BE'!$AI$20+'TUSD BF'!$AI$20+'TUSD CVA'!$AI$20)*1</f>
        <v>0</v>
      </c>
      <c r="AF20" s="13">
        <f ca="1">('TUSD BE'!$AJ$20+'TUSD BF'!$AJ$20+'TUSD CVA'!$AJ$20)*1</f>
        <v>4.4087389419506833</v>
      </c>
      <c r="AG20" s="13">
        <f ca="1">('TUSD BE'!$AK$20+'TUSD BF'!$AK$20+'TUSD CVA'!$AK$20)*1</f>
        <v>0</v>
      </c>
      <c r="AI20" s="13">
        <v>0</v>
      </c>
      <c r="AJ20" s="13">
        <v>1.1519306008466901</v>
      </c>
      <c r="AK20" s="13">
        <v>0</v>
      </c>
      <c r="AL20" s="13">
        <v>0</v>
      </c>
      <c r="AM20" s="13">
        <v>0</v>
      </c>
      <c r="AN20" s="13">
        <v>56.707112218595398</v>
      </c>
      <c r="AO20" s="13">
        <v>8.8581279991634503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62.543099427072598</v>
      </c>
      <c r="AV20" s="13">
        <v>0</v>
      </c>
      <c r="AW20" s="13">
        <v>0</v>
      </c>
      <c r="AX20" s="13">
        <v>187.21503976845901</v>
      </c>
      <c r="AY20" s="13">
        <v>0</v>
      </c>
      <c r="AZ20" s="13">
        <v>0</v>
      </c>
      <c r="BA20" s="13">
        <v>50.9087876233571</v>
      </c>
      <c r="BB20" s="13">
        <v>0</v>
      </c>
      <c r="BC20" s="13">
        <v>3.2808986802992401</v>
      </c>
      <c r="BD20" s="13">
        <v>0</v>
      </c>
    </row>
    <row r="21" spans="1:56" ht="11.25" customHeight="1" x14ac:dyDescent="0.3">
      <c r="A21" s="95"/>
      <c r="B21" s="95"/>
      <c r="C21" s="95"/>
      <c r="D21" s="17" t="s">
        <v>28</v>
      </c>
      <c r="E21" s="17" t="s">
        <v>25</v>
      </c>
      <c r="F21" s="17" t="s">
        <v>25</v>
      </c>
      <c r="G21" s="18" t="s">
        <v>83</v>
      </c>
      <c r="H21" s="18" t="s">
        <v>79</v>
      </c>
      <c r="I21" s="18">
        <f>'MERCADO TUSD'!$U$18</f>
        <v>87.284999999999997</v>
      </c>
      <c r="J21" s="15"/>
      <c r="L21" s="13">
        <f>('TUSD BE'!$L$21+'TUSD BF'!$L$21+'TUSD CVA'!$L$21)*(1 - 0.65)</f>
        <v>0</v>
      </c>
      <c r="M21" s="13">
        <f>('TUSD BE'!$M$21+'TUSD BF'!$M$21+'TUSD CVA'!$M$21)*(1 - 0.65)</f>
        <v>0.50751329187513972</v>
      </c>
      <c r="N21" s="13">
        <f ca="1">('TUSD BE'!$N$21+'TUSD BF'!$N$21+'TUSD CVA'!$N$21)*(1 - 0.65)</f>
        <v>0</v>
      </c>
      <c r="O21" s="13">
        <f>('TUSD BE'!$O$21+'TUSD BF'!$O$21+'TUSD CVA'!$O$21)*(1 - 0.65)</f>
        <v>0</v>
      </c>
      <c r="P21" s="13">
        <v>0</v>
      </c>
      <c r="Q21" s="13">
        <f>('TUSD BE'!$Q$21+'TUSD BF'!$Q$21+'TUSD CVA'!$Q$21)*(1 - 0.65)</f>
        <v>0</v>
      </c>
      <c r="R21" s="13">
        <v>0</v>
      </c>
      <c r="S21" s="13">
        <f>('TUSD BE'!$S$21+'TUSD BF'!$S$21+'TUSD CVA'!$S$21)*(1 - 0.65)</f>
        <v>0</v>
      </c>
      <c r="T21" s="13">
        <f>('TUSD BE'!$U$21+'TUSD BF'!$U$21+'TUSD CVA'!$U$21)*(1 - 0.65)</f>
        <v>0</v>
      </c>
      <c r="U21" s="13">
        <f>('TUSD BE'!$V$21+'TUSD BF'!$V$21+'TUSD CVA'!$V$21)*(1 - 0.65)</f>
        <v>0</v>
      </c>
      <c r="V21" s="13">
        <f>('TUSD BE'!$W$21+'TUSD BF'!$W$21+'TUSD CVA'!$W$21)*(1 - 0.65)</f>
        <v>0</v>
      </c>
      <c r="W21" s="13">
        <f>('TUSD BE'!$X$21+'TUSD BF'!$X$21+'TUSD CVA'!$X$21)*(1 - 0.65)</f>
        <v>0</v>
      </c>
      <c r="X21" s="13">
        <f>('TUSD BE'!$Y$21+'TUSD BF'!$Y$21+'TUSD CVA'!$Y$21)*(1 - 0.65)</f>
        <v>23.428481884831001</v>
      </c>
      <c r="Y21" s="13">
        <f>('TUSD BE'!$Z$21+'TUSD BF'!$Z$21+'TUSD CVA'!$Z$21)*(1 - 0.65)</f>
        <v>0</v>
      </c>
      <c r="Z21" s="13">
        <f>('TUSD BE'!$AA$21+'TUSD BF'!$AA$21+'TUSD CVA'!$AA$21)*(1 - 0.65)</f>
        <v>0</v>
      </c>
      <c r="AA21" s="13">
        <f>('TUSD BE'!$AC$21+'TUSD BF'!$AC$21+'TUSD CVA'!$AC$21)*(1 - 0.65)</f>
        <v>76.05146939134967</v>
      </c>
      <c r="AB21" s="13">
        <f ca="1">('TUSD BE'!$AE$21+'TUSD BF'!$AE$21+'TUSD CVA'!$AE$21)*(1 - 0.65)</f>
        <v>0</v>
      </c>
      <c r="AC21" s="13">
        <f ca="1">('TUSD BE'!$AF$21+'TUSD BF'!$AF$21+'TUSD CVA'!$AF$21)*(1 - 0.65)</f>
        <v>0</v>
      </c>
      <c r="AD21" s="13">
        <f>('TUSD BE'!$AH$21+'TUSD BF'!$AH$21+'TUSD CVA'!$AH$21)*(1 - 0.65)</f>
        <v>11.666070955485361</v>
      </c>
      <c r="AE21" s="13">
        <f>('TUSD BE'!$AI$21+'TUSD BF'!$AI$21+'TUSD CVA'!$AI$21)*(1 - 0.65)</f>
        <v>0</v>
      </c>
      <c r="AF21" s="13">
        <f ca="1">('TUSD BE'!$AJ$21+'TUSD BF'!$AJ$21+'TUSD CVA'!$AJ$21)*(1 - 0.65)</f>
        <v>1.5430586296827391</v>
      </c>
      <c r="AG21" s="13">
        <f ca="1">('TUSD BE'!$AK$21+'TUSD BF'!$AK$21+'TUSD CVA'!$AK$21)*(1 - 0.65)</f>
        <v>0</v>
      </c>
      <c r="AI21" s="13">
        <v>0</v>
      </c>
      <c r="AJ21" s="13">
        <v>0.40317571029634103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21.8900847994754</v>
      </c>
      <c r="AV21" s="13">
        <v>0</v>
      </c>
      <c r="AW21" s="13">
        <v>0</v>
      </c>
      <c r="AX21" s="13">
        <v>65.525263918960704</v>
      </c>
      <c r="AY21" s="13">
        <v>0</v>
      </c>
      <c r="AZ21" s="13">
        <v>0</v>
      </c>
      <c r="BA21" s="13">
        <v>17.818075668174998</v>
      </c>
      <c r="BB21" s="13">
        <v>0</v>
      </c>
      <c r="BC21" s="13">
        <v>1.1483145381047299</v>
      </c>
      <c r="BD21" s="13">
        <v>0</v>
      </c>
    </row>
    <row r="22" spans="1:56" ht="11.25" customHeight="1" x14ac:dyDescent="0.3">
      <c r="A22" s="95"/>
      <c r="B22" s="95"/>
      <c r="C22" s="95"/>
      <c r="D22" s="17" t="s">
        <v>29</v>
      </c>
      <c r="E22" s="17" t="s">
        <v>25</v>
      </c>
      <c r="F22" s="17" t="s">
        <v>25</v>
      </c>
      <c r="G22" s="18" t="s">
        <v>83</v>
      </c>
      <c r="H22" s="18" t="s">
        <v>79</v>
      </c>
      <c r="I22" s="18">
        <f>'MERCADO TUSD'!$U$19</f>
        <v>183.16699999999997</v>
      </c>
      <c r="J22" s="15"/>
      <c r="L22" s="13">
        <f>('TUSD BE'!$L$22+'TUSD BF'!$L$22+'TUSD CVA'!$L$22)*(1 - 0.4)</f>
        <v>0</v>
      </c>
      <c r="M22" s="13">
        <f>('TUSD BE'!$M$22+'TUSD BF'!$M$22+'TUSD CVA'!$M$22)*(1 - 0.4)</f>
        <v>0.87002278607166816</v>
      </c>
      <c r="N22" s="13">
        <f ca="1">('TUSD BE'!$N$22+'TUSD BF'!$N$22+'TUSD CVA'!$N$22)*(1 - 0.4)</f>
        <v>0</v>
      </c>
      <c r="O22" s="13">
        <f>('TUSD BE'!$O$22+'TUSD BF'!$O$22+'TUSD CVA'!$O$22)*(1 - 0.4)</f>
        <v>0</v>
      </c>
      <c r="P22" s="13">
        <v>0</v>
      </c>
      <c r="Q22" s="13">
        <f>('TUSD BE'!$Q$22+'TUSD BF'!$Q$22+'TUSD CVA'!$Q$22)*(1 - 0.4)</f>
        <v>0</v>
      </c>
      <c r="R22" s="13">
        <v>0</v>
      </c>
      <c r="S22" s="13">
        <f>('TUSD BE'!$S$22+'TUSD BF'!$S$22+'TUSD CVA'!$S$22)*(1 - 0.4)</f>
        <v>0</v>
      </c>
      <c r="T22" s="13">
        <f>('TUSD BE'!$U$22+'TUSD BF'!$U$22+'TUSD CVA'!$U$22)*(1 - 0.4)</f>
        <v>0</v>
      </c>
      <c r="U22" s="13">
        <f>('TUSD BE'!$V$22+'TUSD BF'!$V$22+'TUSD CVA'!$V$22)*(1 - 0.4)</f>
        <v>0</v>
      </c>
      <c r="V22" s="13">
        <f>('TUSD BE'!$W$22+'TUSD BF'!$W$22+'TUSD CVA'!$W$22)*(1 - 0.4)</f>
        <v>0</v>
      </c>
      <c r="W22" s="13">
        <f>('TUSD BE'!$X$22+'TUSD BF'!$X$22+'TUSD CVA'!$X$22)*(1 - 0.4)</f>
        <v>0</v>
      </c>
      <c r="X22" s="13">
        <f>('TUSD BE'!$Y$22+'TUSD BF'!$Y$22+'TUSD CVA'!$Y$22)*(1 - 0.4)</f>
        <v>40.163111802567435</v>
      </c>
      <c r="Y22" s="13">
        <f>('TUSD BE'!$Z$22+'TUSD BF'!$Z$22+'TUSD CVA'!$Z$22)*(1 - 0.4)</f>
        <v>0</v>
      </c>
      <c r="Z22" s="13">
        <f>('TUSD BE'!$AA$22+'TUSD BF'!$AA$22+'TUSD CVA'!$AA$22)*(1 - 0.4)</f>
        <v>0</v>
      </c>
      <c r="AA22" s="13">
        <f>('TUSD BE'!$AC$22+'TUSD BF'!$AC$22+'TUSD CVA'!$AC$22)*(1 - 0.4)</f>
        <v>130.37394752802803</v>
      </c>
      <c r="AB22" s="13">
        <f ca="1">('TUSD BE'!$AE$22+'TUSD BF'!$AE$22+'TUSD CVA'!$AE$22)*(1 - 0.4)</f>
        <v>0</v>
      </c>
      <c r="AC22" s="13">
        <f ca="1">('TUSD BE'!$AF$22+'TUSD BF'!$AF$22+'TUSD CVA'!$AF$22)*(1 - 0.4)</f>
        <v>0</v>
      </c>
      <c r="AD22" s="13">
        <f>('TUSD BE'!$AH$22+'TUSD BF'!$AH$22+'TUSD CVA'!$AH$22)*(1 - 0.4)</f>
        <v>19.998978780832051</v>
      </c>
      <c r="AE22" s="13">
        <f>('TUSD BE'!$AI$22+'TUSD BF'!$AI$22+'TUSD CVA'!$AI$22)*(1 - 0.4)</f>
        <v>0</v>
      </c>
      <c r="AF22" s="13">
        <f ca="1">('TUSD BE'!$AJ$22+'TUSD BF'!$AJ$22+'TUSD CVA'!$AJ$22)*(1 - 0.4)</f>
        <v>2.6452433651704097</v>
      </c>
      <c r="AG22" s="13">
        <f ca="1">('TUSD BE'!$AK$22+'TUSD BF'!$AK$22+'TUSD CVA'!$AK$22)*(1 - 0.4)</f>
        <v>0</v>
      </c>
      <c r="AI22" s="13">
        <v>0</v>
      </c>
      <c r="AJ22" s="13">
        <v>0.69115836050801305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37.525859656243497</v>
      </c>
      <c r="AV22" s="13">
        <v>0</v>
      </c>
      <c r="AW22" s="13">
        <v>0</v>
      </c>
      <c r="AX22" s="13">
        <v>112.329023861076</v>
      </c>
      <c r="AY22" s="13">
        <v>0</v>
      </c>
      <c r="AZ22" s="13">
        <v>0</v>
      </c>
      <c r="BA22" s="13">
        <v>30.545272574014302</v>
      </c>
      <c r="BB22" s="13">
        <v>0</v>
      </c>
      <c r="BC22" s="13">
        <v>1.9685392081795401</v>
      </c>
      <c r="BD22" s="13">
        <v>0</v>
      </c>
    </row>
    <row r="23" spans="1:56" ht="11.25" customHeight="1" x14ac:dyDescent="0.3">
      <c r="A23" s="95"/>
      <c r="B23" s="95"/>
      <c r="C23" s="95"/>
      <c r="D23" s="17" t="s">
        <v>30</v>
      </c>
      <c r="E23" s="17" t="s">
        <v>25</v>
      </c>
      <c r="F23" s="17" t="s">
        <v>25</v>
      </c>
      <c r="G23" s="18" t="s">
        <v>83</v>
      </c>
      <c r="H23" s="18" t="s">
        <v>79</v>
      </c>
      <c r="I23" s="18">
        <f>'MERCADO TUSD'!$U$20</f>
        <v>200.38</v>
      </c>
      <c r="J23" s="15"/>
      <c r="L23" s="13">
        <f>('TUSD BE'!$L$23+'TUSD BF'!$L$23+'TUSD CVA'!$L$23)*(1 - 0.1)</f>
        <v>0</v>
      </c>
      <c r="M23" s="13">
        <f>('TUSD BE'!$M$23+'TUSD BF'!$M$23+'TUSD CVA'!$M$23)*(1 - 0.1)</f>
        <v>1.3050341791075022</v>
      </c>
      <c r="N23" s="13">
        <f ca="1">('TUSD BE'!$N$23+'TUSD BF'!$N$23+'TUSD CVA'!$N$23)*(1 - 0.1)</f>
        <v>0</v>
      </c>
      <c r="O23" s="13">
        <f>('TUSD BE'!$O$23+'TUSD BF'!$O$23+'TUSD CVA'!$O$23)*(1 - 0.1)</f>
        <v>0</v>
      </c>
      <c r="P23" s="13">
        <v>0</v>
      </c>
      <c r="Q23" s="13">
        <f>('TUSD BE'!$Q$23+'TUSD BF'!$Q$23+'TUSD CVA'!$Q$23)*(1 - 0.1)</f>
        <v>0</v>
      </c>
      <c r="R23" s="13">
        <v>0</v>
      </c>
      <c r="S23" s="13">
        <f>('TUSD BE'!$S$23+'TUSD BF'!$S$23+'TUSD CVA'!$S$23)*(1 - 0.1)</f>
        <v>0</v>
      </c>
      <c r="T23" s="13">
        <f>('TUSD BE'!$U$23+'TUSD BF'!$U$23+'TUSD CVA'!$U$23)*(1 - 0.1)</f>
        <v>0</v>
      </c>
      <c r="U23" s="13">
        <f>('TUSD BE'!$V$23+'TUSD BF'!$V$23+'TUSD CVA'!$V$23)*(1 - 0.1)</f>
        <v>0</v>
      </c>
      <c r="V23" s="13">
        <f>('TUSD BE'!$W$23+'TUSD BF'!$W$23+'TUSD CVA'!$W$23)*(1 - 0.1)</f>
        <v>0</v>
      </c>
      <c r="W23" s="13">
        <f>('TUSD BE'!$X$23+'TUSD BF'!$X$23+'TUSD CVA'!$X$23)*(1 - 0.1)</f>
        <v>0</v>
      </c>
      <c r="X23" s="13">
        <f>('TUSD BE'!$Y$23+'TUSD BF'!$Y$23+'TUSD CVA'!$Y$23)*(1 - 0.1)</f>
        <v>60.24466770385115</v>
      </c>
      <c r="Y23" s="13">
        <f>('TUSD BE'!$Z$23+'TUSD BF'!$Z$23+'TUSD CVA'!$Z$23)*(1 - 0.1)</f>
        <v>0</v>
      </c>
      <c r="Z23" s="13">
        <f>('TUSD BE'!$AA$23+'TUSD BF'!$AA$23+'TUSD CVA'!$AA$23)*(1 - 0.1)</f>
        <v>0</v>
      </c>
      <c r="AA23" s="13">
        <f>('TUSD BE'!$AC$23+'TUSD BF'!$AC$23+'TUSD CVA'!$AC$23)*(1 - 0.1)</f>
        <v>195.56092129204202</v>
      </c>
      <c r="AB23" s="13">
        <f ca="1">('TUSD BE'!$AE$23+'TUSD BF'!$AE$23+'TUSD CVA'!$AE$23)*(1 - 0.1)</f>
        <v>0</v>
      </c>
      <c r="AC23" s="13">
        <f ca="1">('TUSD BE'!$AF$23+'TUSD BF'!$AF$23+'TUSD CVA'!$AF$23)*(1 - 0.1)</f>
        <v>0</v>
      </c>
      <c r="AD23" s="13">
        <f>('TUSD BE'!$AH$23+'TUSD BF'!$AH$23+'TUSD CVA'!$AH$23)*(1 - 0.1)</f>
        <v>29.998468171248074</v>
      </c>
      <c r="AE23" s="13">
        <f>('TUSD BE'!$AI$23+'TUSD BF'!$AI$23+'TUSD CVA'!$AI$23)*(1 - 0.1)</f>
        <v>0</v>
      </c>
      <c r="AF23" s="13">
        <f ca="1">('TUSD BE'!$AJ$23+'TUSD BF'!$AJ$23+'TUSD CVA'!$AJ$23)*(1 - 0.1)</f>
        <v>3.9678650477556152</v>
      </c>
      <c r="AG23" s="13">
        <f ca="1">('TUSD BE'!$AK$23+'TUSD BF'!$AK$23+'TUSD CVA'!$AK$23)*(1 - 0.1)</f>
        <v>0</v>
      </c>
      <c r="AI23" s="13">
        <v>0</v>
      </c>
      <c r="AJ23" s="13">
        <v>1.0367375407620201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56.288789484365303</v>
      </c>
      <c r="AV23" s="13">
        <v>0</v>
      </c>
      <c r="AW23" s="13">
        <v>0</v>
      </c>
      <c r="AX23" s="13">
        <v>168.493535791613</v>
      </c>
      <c r="AY23" s="13">
        <v>0</v>
      </c>
      <c r="AZ23" s="13">
        <v>0</v>
      </c>
      <c r="BA23" s="13">
        <v>45.817908861021401</v>
      </c>
      <c r="BB23" s="13">
        <v>0</v>
      </c>
      <c r="BC23" s="13">
        <v>2.9528088122693101</v>
      </c>
      <c r="BD23" s="13">
        <v>0</v>
      </c>
    </row>
    <row r="24" spans="1:56" ht="11.25" customHeight="1" x14ac:dyDescent="0.3">
      <c r="A24" s="95"/>
      <c r="B24" s="95"/>
      <c r="C24" s="95"/>
      <c r="D24" s="17" t="s">
        <v>31</v>
      </c>
      <c r="E24" s="17" t="s">
        <v>25</v>
      </c>
      <c r="F24" s="17" t="s">
        <v>25</v>
      </c>
      <c r="G24" s="18" t="s">
        <v>83</v>
      </c>
      <c r="H24" s="18" t="s">
        <v>79</v>
      </c>
      <c r="I24" s="18">
        <f>'MERCADO TUSD'!$U$21</f>
        <v>80.955999999999989</v>
      </c>
      <c r="J24" s="15"/>
      <c r="L24" s="13">
        <f>('TUSD BE'!$L$24+'TUSD BF'!$L$24+'TUSD CVA'!$L$24)*1</f>
        <v>0</v>
      </c>
      <c r="M24" s="13">
        <f>('TUSD BE'!$M$24+'TUSD BF'!$M$24+'TUSD CVA'!$M$24)*1</f>
        <v>1.4500379767861136</v>
      </c>
      <c r="N24" s="13">
        <f ca="1">('TUSD BE'!$N$24+'TUSD BF'!$N$24+'TUSD CVA'!$N$24)*1</f>
        <v>0</v>
      </c>
      <c r="O24" s="13">
        <f>('TUSD BE'!$O$24+'TUSD BF'!$O$24+'TUSD CVA'!$O$24)*1</f>
        <v>0</v>
      </c>
      <c r="P24" s="13">
        <v>0</v>
      </c>
      <c r="Q24" s="13">
        <f>('TUSD BE'!$Q$24+'TUSD BF'!$Q$24+'TUSD CVA'!$Q$24)*1</f>
        <v>0</v>
      </c>
      <c r="R24" s="13">
        <v>0</v>
      </c>
      <c r="S24" s="13">
        <f>('TUSD BE'!$S$24+'TUSD BF'!$S$24+'TUSD CVA'!$S$24)*1</f>
        <v>0</v>
      </c>
      <c r="T24" s="13">
        <f>('TUSD BE'!$U$24+'TUSD BF'!$U$24+'TUSD CVA'!$U$24)*1</f>
        <v>0</v>
      </c>
      <c r="U24" s="13">
        <f>('TUSD BE'!$V$24+'TUSD BF'!$V$24+'TUSD CVA'!$V$24)*1</f>
        <v>0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66.938519670945723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217.28991254671337</v>
      </c>
      <c r="AB24" s="13">
        <f ca="1">('TUSD BE'!$AE$24+'TUSD BF'!$AE$24+'TUSD CVA'!$AE$24)*1</f>
        <v>0</v>
      </c>
      <c r="AC24" s="13">
        <f ca="1">('TUSD BE'!$AF$24+'TUSD BF'!$AF$24+'TUSD CVA'!$AF$24)*1</f>
        <v>0</v>
      </c>
      <c r="AD24" s="13">
        <f>('TUSD BE'!$AH$24+'TUSD BF'!$AH$24+'TUSD CVA'!$AH$24)*1</f>
        <v>33.33163130138675</v>
      </c>
      <c r="AE24" s="13">
        <f>('TUSD BE'!$AI$24+'TUSD BF'!$AI$24+'TUSD CVA'!$AI$24)*1</f>
        <v>0</v>
      </c>
      <c r="AF24" s="13">
        <f ca="1">('TUSD BE'!$AJ$24+'TUSD BF'!$AJ$24+'TUSD CVA'!$AJ$24)*1</f>
        <v>4.4087389419506833</v>
      </c>
      <c r="AG24" s="13">
        <f ca="1">('TUSD BE'!$AK$24+'TUSD BF'!$AK$24+'TUSD CVA'!$AK$24)*1</f>
        <v>0</v>
      </c>
      <c r="AI24" s="13">
        <v>0</v>
      </c>
      <c r="AJ24" s="13">
        <v>1.1519306008466901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62.543099427072598</v>
      </c>
      <c r="AV24" s="13">
        <v>0</v>
      </c>
      <c r="AW24" s="13">
        <v>0</v>
      </c>
      <c r="AX24" s="13">
        <v>187.21503976845901</v>
      </c>
      <c r="AY24" s="13">
        <v>0</v>
      </c>
      <c r="AZ24" s="13">
        <v>0</v>
      </c>
      <c r="BA24" s="13">
        <v>50.9087876233571</v>
      </c>
      <c r="BB24" s="13">
        <v>0</v>
      </c>
      <c r="BC24" s="13">
        <v>3.2808986802992401</v>
      </c>
      <c r="BD24" s="13">
        <v>0</v>
      </c>
    </row>
    <row r="25" spans="1:56" ht="11.25" customHeight="1" x14ac:dyDescent="0.3">
      <c r="A25" s="95"/>
      <c r="B25" s="95" t="s">
        <v>94</v>
      </c>
      <c r="C25" s="95" t="s">
        <v>24</v>
      </c>
      <c r="D25" s="17" t="s">
        <v>24</v>
      </c>
      <c r="E25" s="17" t="s">
        <v>25</v>
      </c>
      <c r="F25" s="17" t="s">
        <v>25</v>
      </c>
      <c r="G25" s="18" t="s">
        <v>83</v>
      </c>
      <c r="H25" s="18" t="s">
        <v>79</v>
      </c>
      <c r="I25" s="18">
        <f>'MERCADO TUSD'!$U$22</f>
        <v>0</v>
      </c>
      <c r="J25" s="15"/>
      <c r="L25" s="13">
        <f>('TUSD BE'!$L$25+'TUSD BF'!$L$25+'TUSD CVA'!$L$25)*1</f>
        <v>0</v>
      </c>
      <c r="M25" s="13">
        <f>('TUSD BE'!$M$25+'TUSD BF'!$M$25+'TUSD CVA'!$M$25)*1</f>
        <v>1.4500379767861136</v>
      </c>
      <c r="N25" s="13">
        <f ca="1">('TUSD BE'!$N$25+'TUSD BF'!$N$25+'TUSD CVA'!$N$25)*1</f>
        <v>0</v>
      </c>
      <c r="O25" s="13">
        <f>('TUSD BE'!$O$25+'TUSD BF'!$O$25+'TUSD CVA'!$O$25)*1</f>
        <v>0</v>
      </c>
      <c r="P25" s="13">
        <f>('TUSD BE'!$P$25+'TUSD BF'!$P$25+'TUSD CVA'!$P$25)*1</f>
        <v>0</v>
      </c>
      <c r="Q25" s="13">
        <f>('TUSD BE'!$Q$25+'TUSD BF'!$Q$25+'TUSD CVA'!$Q$25)*1</f>
        <v>91.374426270766165</v>
      </c>
      <c r="R25" s="13">
        <f>('TUSD BE'!$R$25+'TUSD BF'!$R$25+'TUSD CVA'!$R$25)*1</f>
        <v>14.417590692611538</v>
      </c>
      <c r="S25" s="13">
        <f>('TUSD BE'!$S$25+'TUSD BF'!$S$25+'TUSD CVA'!$S$25)*1</f>
        <v>0</v>
      </c>
      <c r="T25" s="13">
        <f>('TUSD BE'!$U$25+'TUSD BF'!$U$25+'TUSD CVA'!$U$25)*1</f>
        <v>0</v>
      </c>
      <c r="U25" s="13">
        <f>('TUSD BE'!$V$25+'TUSD BF'!$V$25+'TUSD CVA'!$V$25)*1</f>
        <v>0</v>
      </c>
      <c r="V25" s="13">
        <f>('TUSD BE'!$W$25+'TUSD BF'!$W$25+'TUSD CVA'!$W$25)*1</f>
        <v>0</v>
      </c>
      <c r="W25" s="13">
        <f>('TUSD BE'!$X$25+'TUSD BF'!$X$25+'TUSD CVA'!$X$25)*1</f>
        <v>0</v>
      </c>
      <c r="X25" s="13">
        <f>('TUSD BE'!$Y$25+'TUSD BF'!$Y$25+'TUSD CVA'!$Y$25)*1</f>
        <v>66.938519670945723</v>
      </c>
      <c r="Y25" s="13">
        <f>('TUSD BE'!$Z$25+'TUSD BF'!$Z$25+'TUSD CVA'!$Z$25)*1</f>
        <v>0</v>
      </c>
      <c r="Z25" s="13">
        <f>('TUSD BE'!$AA$25+'TUSD BF'!$AA$25+'TUSD CVA'!$AA$25)*1</f>
        <v>0</v>
      </c>
      <c r="AA25" s="13">
        <f>('TUSD BE'!$AC$25+'TUSD BF'!$AC$25+'TUSD CVA'!$AC$25)*1</f>
        <v>217.28991254671337</v>
      </c>
      <c r="AB25" s="13">
        <f ca="1">('TUSD BE'!$AE$25+'TUSD BF'!$AE$25+'TUSD CVA'!$AE$25)*1</f>
        <v>0</v>
      </c>
      <c r="AC25" s="13">
        <f ca="1">('TUSD BE'!$AF$25+'TUSD BF'!$AF$25+'TUSD CVA'!$AF$25)*1</f>
        <v>0</v>
      </c>
      <c r="AD25" s="13">
        <f>('TUSD BE'!$AH$25+'TUSD BF'!$AH$25+'TUSD CVA'!$AH$25)*1</f>
        <v>33.33163130138675</v>
      </c>
      <c r="AE25" s="13">
        <f>('TUSD BE'!$AI$25+'TUSD BF'!$AI$25+'TUSD CVA'!$AI$25)*1</f>
        <v>0</v>
      </c>
      <c r="AF25" s="13">
        <f ca="1">('TUSD BE'!$AJ$25+'TUSD BF'!$AJ$25+'TUSD CVA'!$AJ$25)*1</f>
        <v>4.4087389419506833</v>
      </c>
      <c r="AG25" s="13">
        <f ca="1">('TUSD BE'!$AK$25+'TUSD BF'!$AK$25+'TUSD CVA'!$AK$25)*1</f>
        <v>0</v>
      </c>
      <c r="AI25" s="13">
        <v>0</v>
      </c>
      <c r="AJ25" s="13">
        <v>1.1519306008466901</v>
      </c>
      <c r="AK25" s="13">
        <v>0</v>
      </c>
      <c r="AL25" s="13">
        <v>0</v>
      </c>
      <c r="AM25" s="13">
        <v>0</v>
      </c>
      <c r="AN25" s="13">
        <v>56.707112218595398</v>
      </c>
      <c r="AO25" s="13">
        <v>8.8581279991634503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62.543099427072598</v>
      </c>
      <c r="AV25" s="13">
        <v>0</v>
      </c>
      <c r="AW25" s="13">
        <v>0</v>
      </c>
      <c r="AX25" s="13">
        <v>187.21503976845901</v>
      </c>
      <c r="AY25" s="13">
        <v>0</v>
      </c>
      <c r="AZ25" s="13">
        <v>0</v>
      </c>
      <c r="BA25" s="13">
        <v>50.9087876233571</v>
      </c>
      <c r="BB25" s="13">
        <v>0</v>
      </c>
      <c r="BC25" s="13">
        <v>3.2808986802992401</v>
      </c>
      <c r="BD25" s="13">
        <v>0</v>
      </c>
    </row>
    <row r="26" spans="1:56" ht="11.25" customHeight="1" x14ac:dyDescent="0.3">
      <c r="A26" s="95"/>
      <c r="B26" s="95"/>
      <c r="C26" s="95"/>
      <c r="D26" s="17" t="s">
        <v>28</v>
      </c>
      <c r="E26" s="17" t="s">
        <v>25</v>
      </c>
      <c r="F26" s="17" t="s">
        <v>25</v>
      </c>
      <c r="G26" s="18" t="s">
        <v>83</v>
      </c>
      <c r="H26" s="18" t="s">
        <v>79</v>
      </c>
      <c r="I26" s="18">
        <f>'MERCADO TUSD'!$U$23</f>
        <v>0</v>
      </c>
      <c r="J26" s="15"/>
      <c r="L26" s="13">
        <f>('TUSD BE'!$L$26+'TUSD BF'!$L$26+'TUSD CVA'!$L$26)*(1 - 0.65)</f>
        <v>0</v>
      </c>
      <c r="M26" s="13">
        <f>('TUSD BE'!$M$26+'TUSD BF'!$M$26+'TUSD CVA'!$M$26)*(1 - 0.65)</f>
        <v>0.50751329187513972</v>
      </c>
      <c r="N26" s="13">
        <f ca="1">('TUSD BE'!$N$26+'TUSD BF'!$N$26+'TUSD CVA'!$N$26)*(1 - 0.65)</f>
        <v>0</v>
      </c>
      <c r="O26" s="13">
        <f>('TUSD BE'!$O$26+'TUSD BF'!$O$26+'TUSD CVA'!$O$26)*(1 - 0.65)</f>
        <v>0</v>
      </c>
      <c r="P26" s="13">
        <v>0</v>
      </c>
      <c r="Q26" s="13">
        <f>('TUSD BE'!$Q$26+'TUSD BF'!$Q$26+'TUSD CVA'!$Q$26)*(1 - 0.65)</f>
        <v>0</v>
      </c>
      <c r="R26" s="13">
        <v>0</v>
      </c>
      <c r="S26" s="13">
        <f>('TUSD BE'!$S$26+'TUSD BF'!$S$26+'TUSD CVA'!$S$26)*(1 - 0.65)</f>
        <v>0</v>
      </c>
      <c r="T26" s="13">
        <f>('TUSD BE'!$U$26+'TUSD BF'!$U$26+'TUSD CVA'!$U$26)*(1 - 0.65)</f>
        <v>0</v>
      </c>
      <c r="U26" s="13">
        <f>('TUSD BE'!$V$26+'TUSD BF'!$V$26+'TUSD CVA'!$V$26)*(1 - 0.65)</f>
        <v>0</v>
      </c>
      <c r="V26" s="13">
        <f>('TUSD BE'!$W$26+'TUSD BF'!$W$26+'TUSD CVA'!$W$26)*(1 - 0.65)</f>
        <v>0</v>
      </c>
      <c r="W26" s="13">
        <f>('TUSD BE'!$X$26+'TUSD BF'!$X$26+'TUSD CVA'!$X$26)*(1 - 0.65)</f>
        <v>0</v>
      </c>
      <c r="X26" s="13">
        <f>('TUSD BE'!$Y$26+'TUSD BF'!$Y$26+'TUSD CVA'!$Y$26)*(1 - 0.65)</f>
        <v>23.428481884831001</v>
      </c>
      <c r="Y26" s="13">
        <f>('TUSD BE'!$Z$26+'TUSD BF'!$Z$26+'TUSD CVA'!$Z$26)*(1 - 0.65)</f>
        <v>0</v>
      </c>
      <c r="Z26" s="13">
        <f>('TUSD BE'!$AA$26+'TUSD BF'!$AA$26+'TUSD CVA'!$AA$26)*(1 - 0.65)</f>
        <v>0</v>
      </c>
      <c r="AA26" s="13">
        <f>('TUSD BE'!$AC$26+'TUSD BF'!$AC$26+'TUSD CVA'!$AC$26)*(1 - 0.65)</f>
        <v>76.05146939134967</v>
      </c>
      <c r="AB26" s="13">
        <f ca="1">('TUSD BE'!$AE$26+'TUSD BF'!$AE$26+'TUSD CVA'!$AE$26)*(1 - 0.65)</f>
        <v>0</v>
      </c>
      <c r="AC26" s="13">
        <f ca="1">('TUSD BE'!$AF$26+'TUSD BF'!$AF$26+'TUSD CVA'!$AF$26)*(1 - 0.65)</f>
        <v>0</v>
      </c>
      <c r="AD26" s="13">
        <f>('TUSD BE'!$AH$26+'TUSD BF'!$AH$26+'TUSD CVA'!$AH$26)*(1 - 0.65)</f>
        <v>11.666070955485361</v>
      </c>
      <c r="AE26" s="13">
        <f>('TUSD BE'!$AI$26+'TUSD BF'!$AI$26+'TUSD CVA'!$AI$26)*(1 - 0.65)</f>
        <v>0</v>
      </c>
      <c r="AF26" s="13">
        <f ca="1">('TUSD BE'!$AJ$26+'TUSD BF'!$AJ$26+'TUSD CVA'!$AJ$26)*(1 - 0.65)</f>
        <v>1.5430586296827391</v>
      </c>
      <c r="AG26" s="13">
        <f ca="1">('TUSD BE'!$AK$26+'TUSD BF'!$AK$26+'TUSD CVA'!$AK$26)*(1 - 0.65)</f>
        <v>0</v>
      </c>
      <c r="AI26" s="13">
        <v>0</v>
      </c>
      <c r="AJ26" s="13">
        <v>0.40317571029634103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21.8900847994754</v>
      </c>
      <c r="AV26" s="13">
        <v>0</v>
      </c>
      <c r="AW26" s="13">
        <v>0</v>
      </c>
      <c r="AX26" s="13">
        <v>65.525263918960704</v>
      </c>
      <c r="AY26" s="13">
        <v>0</v>
      </c>
      <c r="AZ26" s="13">
        <v>0</v>
      </c>
      <c r="BA26" s="13">
        <v>17.818075668174998</v>
      </c>
      <c r="BB26" s="13">
        <v>0</v>
      </c>
      <c r="BC26" s="13">
        <v>1.1483145381047299</v>
      </c>
      <c r="BD26" s="13">
        <v>0</v>
      </c>
    </row>
    <row r="27" spans="1:56" ht="11.25" customHeight="1" x14ac:dyDescent="0.3">
      <c r="A27" s="95"/>
      <c r="B27" s="95"/>
      <c r="C27" s="95"/>
      <c r="D27" s="17" t="s">
        <v>29</v>
      </c>
      <c r="E27" s="17" t="s">
        <v>25</v>
      </c>
      <c r="F27" s="17" t="s">
        <v>25</v>
      </c>
      <c r="G27" s="18" t="s">
        <v>83</v>
      </c>
      <c r="H27" s="18" t="s">
        <v>79</v>
      </c>
      <c r="I27" s="18">
        <f>'MERCADO TUSD'!$U$24</f>
        <v>0</v>
      </c>
      <c r="J27" s="15"/>
      <c r="L27" s="13">
        <f>('TUSD BE'!$L$27+'TUSD BF'!$L$27+'TUSD CVA'!$L$27)*(1 - 0.4)</f>
        <v>0</v>
      </c>
      <c r="M27" s="13">
        <f>('TUSD BE'!$M$27+'TUSD BF'!$M$27+'TUSD CVA'!$M$27)*(1 - 0.4)</f>
        <v>0.87002278607166816</v>
      </c>
      <c r="N27" s="13">
        <f ca="1">('TUSD BE'!$N$27+'TUSD BF'!$N$27+'TUSD CVA'!$N$27)*(1 - 0.4)</f>
        <v>0</v>
      </c>
      <c r="O27" s="13">
        <f>('TUSD BE'!$O$27+'TUSD BF'!$O$27+'TUSD CVA'!$O$27)*(1 - 0.4)</f>
        <v>0</v>
      </c>
      <c r="P27" s="13">
        <v>0</v>
      </c>
      <c r="Q27" s="13">
        <f>('TUSD BE'!$Q$27+'TUSD BF'!$Q$27+'TUSD CVA'!$Q$27)*(1 - 0.4)</f>
        <v>0</v>
      </c>
      <c r="R27" s="13">
        <v>0</v>
      </c>
      <c r="S27" s="13">
        <f>('TUSD BE'!$S$27+'TUSD BF'!$S$27+'TUSD CVA'!$S$27)*(1 - 0.4)</f>
        <v>0</v>
      </c>
      <c r="T27" s="13">
        <f>('TUSD BE'!$U$27+'TUSD BF'!$U$27+'TUSD CVA'!$U$27)*(1 - 0.4)</f>
        <v>0</v>
      </c>
      <c r="U27" s="13">
        <f>('TUSD BE'!$V$27+'TUSD BF'!$V$27+'TUSD CVA'!$V$27)*(1 - 0.4)</f>
        <v>0</v>
      </c>
      <c r="V27" s="13">
        <f>('TUSD BE'!$W$27+'TUSD BF'!$W$27+'TUSD CVA'!$W$27)*(1 - 0.4)</f>
        <v>0</v>
      </c>
      <c r="W27" s="13">
        <f>('TUSD BE'!$X$27+'TUSD BF'!$X$27+'TUSD CVA'!$X$27)*(1 - 0.4)</f>
        <v>0</v>
      </c>
      <c r="X27" s="13">
        <f>('TUSD BE'!$Y$27+'TUSD BF'!$Y$27+'TUSD CVA'!$Y$27)*(1 - 0.4)</f>
        <v>40.163111802567435</v>
      </c>
      <c r="Y27" s="13">
        <f>('TUSD BE'!$Z$27+'TUSD BF'!$Z$27+'TUSD CVA'!$Z$27)*(1 - 0.4)</f>
        <v>0</v>
      </c>
      <c r="Z27" s="13">
        <f>('TUSD BE'!$AA$27+'TUSD BF'!$AA$27+'TUSD CVA'!$AA$27)*(1 - 0.4)</f>
        <v>0</v>
      </c>
      <c r="AA27" s="13">
        <f>('TUSD BE'!$AC$27+'TUSD BF'!$AC$27+'TUSD CVA'!$AC$27)*(1 - 0.4)</f>
        <v>130.37394752802803</v>
      </c>
      <c r="AB27" s="13">
        <f ca="1">('TUSD BE'!$AE$27+'TUSD BF'!$AE$27+'TUSD CVA'!$AE$27)*(1 - 0.4)</f>
        <v>0</v>
      </c>
      <c r="AC27" s="13">
        <f ca="1">('TUSD BE'!$AF$27+'TUSD BF'!$AF$27+'TUSD CVA'!$AF$27)*(1 - 0.4)</f>
        <v>0</v>
      </c>
      <c r="AD27" s="13">
        <f>('TUSD BE'!$AH$27+'TUSD BF'!$AH$27+'TUSD CVA'!$AH$27)*(1 - 0.4)</f>
        <v>19.998978780832051</v>
      </c>
      <c r="AE27" s="13">
        <f>('TUSD BE'!$AI$27+'TUSD BF'!$AI$27+'TUSD CVA'!$AI$27)*(1 - 0.4)</f>
        <v>0</v>
      </c>
      <c r="AF27" s="13">
        <f ca="1">('TUSD BE'!$AJ$27+'TUSD BF'!$AJ$27+'TUSD CVA'!$AJ$27)*(1 - 0.4)</f>
        <v>2.6452433651704097</v>
      </c>
      <c r="AG27" s="13">
        <f ca="1">('TUSD BE'!$AK$27+'TUSD BF'!$AK$27+'TUSD CVA'!$AK$27)*(1 - 0.4)</f>
        <v>0</v>
      </c>
      <c r="AI27" s="13">
        <v>0</v>
      </c>
      <c r="AJ27" s="13">
        <v>0.69115836050801305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37.525859656243497</v>
      </c>
      <c r="AV27" s="13">
        <v>0</v>
      </c>
      <c r="AW27" s="13">
        <v>0</v>
      </c>
      <c r="AX27" s="13">
        <v>112.329023861076</v>
      </c>
      <c r="AY27" s="13">
        <v>0</v>
      </c>
      <c r="AZ27" s="13">
        <v>0</v>
      </c>
      <c r="BA27" s="13">
        <v>30.545272574014302</v>
      </c>
      <c r="BB27" s="13">
        <v>0</v>
      </c>
      <c r="BC27" s="13">
        <v>1.9685392081795401</v>
      </c>
      <c r="BD27" s="13">
        <v>0</v>
      </c>
    </row>
    <row r="28" spans="1:56" ht="11.25" customHeight="1" x14ac:dyDescent="0.3">
      <c r="A28" s="95"/>
      <c r="B28" s="95"/>
      <c r="C28" s="95"/>
      <c r="D28" s="17" t="s">
        <v>30</v>
      </c>
      <c r="E28" s="17" t="s">
        <v>25</v>
      </c>
      <c r="F28" s="17" t="s">
        <v>25</v>
      </c>
      <c r="G28" s="18" t="s">
        <v>83</v>
      </c>
      <c r="H28" s="18" t="s">
        <v>79</v>
      </c>
      <c r="I28" s="18">
        <f>'MERCADO TUSD'!$U$25</f>
        <v>0</v>
      </c>
      <c r="J28" s="15"/>
      <c r="L28" s="13">
        <f>('TUSD BE'!$L$28+'TUSD BF'!$L$28+'TUSD CVA'!$L$28)*(1 - 0.1)</f>
        <v>0</v>
      </c>
      <c r="M28" s="13">
        <f>('TUSD BE'!$M$28+'TUSD BF'!$M$28+'TUSD CVA'!$M$28)*(1 - 0.1)</f>
        <v>1.3050341791075022</v>
      </c>
      <c r="N28" s="13">
        <f ca="1">('TUSD BE'!$N$28+'TUSD BF'!$N$28+'TUSD CVA'!$N$28)*(1 - 0.1)</f>
        <v>0</v>
      </c>
      <c r="O28" s="13">
        <f>('TUSD BE'!$O$28+'TUSD BF'!$O$28+'TUSD CVA'!$O$28)*(1 - 0.1)</f>
        <v>0</v>
      </c>
      <c r="P28" s="13">
        <v>0</v>
      </c>
      <c r="Q28" s="13">
        <f>('TUSD BE'!$Q$28+'TUSD BF'!$Q$28+'TUSD CVA'!$Q$28)*(1 - 0.1)</f>
        <v>0</v>
      </c>
      <c r="R28" s="13">
        <v>0</v>
      </c>
      <c r="S28" s="13">
        <f>('TUSD BE'!$S$28+'TUSD BF'!$S$28+'TUSD CVA'!$S$28)*(1 - 0.1)</f>
        <v>0</v>
      </c>
      <c r="T28" s="13">
        <f>('TUSD BE'!$U$28+'TUSD BF'!$U$28+'TUSD CVA'!$U$28)*(1 - 0.1)</f>
        <v>0</v>
      </c>
      <c r="U28" s="13">
        <f>('TUSD BE'!$V$28+'TUSD BF'!$V$28+'TUSD CVA'!$V$28)*(1 - 0.1)</f>
        <v>0</v>
      </c>
      <c r="V28" s="13">
        <f>('TUSD BE'!$W$28+'TUSD BF'!$W$28+'TUSD CVA'!$W$28)*(1 - 0.1)</f>
        <v>0</v>
      </c>
      <c r="W28" s="13">
        <f>('TUSD BE'!$X$28+'TUSD BF'!$X$28+'TUSD CVA'!$X$28)*(1 - 0.1)</f>
        <v>0</v>
      </c>
      <c r="X28" s="13">
        <f>('TUSD BE'!$Y$28+'TUSD BF'!$Y$28+'TUSD CVA'!$Y$28)*(1 - 0.1)</f>
        <v>60.24466770385115</v>
      </c>
      <c r="Y28" s="13">
        <f>('TUSD BE'!$Z$28+'TUSD BF'!$Z$28+'TUSD CVA'!$Z$28)*(1 - 0.1)</f>
        <v>0</v>
      </c>
      <c r="Z28" s="13">
        <f>('TUSD BE'!$AA$28+'TUSD BF'!$AA$28+'TUSD CVA'!$AA$28)*(1 - 0.1)</f>
        <v>0</v>
      </c>
      <c r="AA28" s="13">
        <f>('TUSD BE'!$AC$28+'TUSD BF'!$AC$28+'TUSD CVA'!$AC$28)*(1 - 0.1)</f>
        <v>195.56092129204202</v>
      </c>
      <c r="AB28" s="13">
        <f ca="1">('TUSD BE'!$AE$28+'TUSD BF'!$AE$28+'TUSD CVA'!$AE$28)*(1 - 0.1)</f>
        <v>0</v>
      </c>
      <c r="AC28" s="13">
        <f ca="1">('TUSD BE'!$AF$28+'TUSD BF'!$AF$28+'TUSD CVA'!$AF$28)*(1 - 0.1)</f>
        <v>0</v>
      </c>
      <c r="AD28" s="13">
        <f>('TUSD BE'!$AH$28+'TUSD BF'!$AH$28+'TUSD CVA'!$AH$28)*(1 - 0.1)</f>
        <v>29.998468171248074</v>
      </c>
      <c r="AE28" s="13">
        <f>('TUSD BE'!$AI$28+'TUSD BF'!$AI$28+'TUSD CVA'!$AI$28)*(1 - 0.1)</f>
        <v>0</v>
      </c>
      <c r="AF28" s="13">
        <f ca="1">('TUSD BE'!$AJ$28+'TUSD BF'!$AJ$28+'TUSD CVA'!$AJ$28)*(1 - 0.1)</f>
        <v>3.9678650477556152</v>
      </c>
      <c r="AG28" s="13">
        <f ca="1">('TUSD BE'!$AK$28+'TUSD BF'!$AK$28+'TUSD CVA'!$AK$28)*(1 - 0.1)</f>
        <v>0</v>
      </c>
      <c r="AI28" s="13">
        <v>0</v>
      </c>
      <c r="AJ28" s="13">
        <v>1.0367375407620201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56.288789484365303</v>
      </c>
      <c r="AV28" s="13">
        <v>0</v>
      </c>
      <c r="AW28" s="13">
        <v>0</v>
      </c>
      <c r="AX28" s="13">
        <v>168.493535791613</v>
      </c>
      <c r="AY28" s="13">
        <v>0</v>
      </c>
      <c r="AZ28" s="13">
        <v>0</v>
      </c>
      <c r="BA28" s="13">
        <v>45.817908861021401</v>
      </c>
      <c r="BB28" s="13">
        <v>0</v>
      </c>
      <c r="BC28" s="13">
        <v>2.9528088122693101</v>
      </c>
      <c r="BD28" s="13">
        <v>0</v>
      </c>
    </row>
    <row r="29" spans="1:56" ht="11.25" customHeight="1" x14ac:dyDescent="0.3">
      <c r="A29" s="95"/>
      <c r="B29" s="95"/>
      <c r="C29" s="95"/>
      <c r="D29" s="17" t="s">
        <v>31</v>
      </c>
      <c r="E29" s="17" t="s">
        <v>25</v>
      </c>
      <c r="F29" s="17" t="s">
        <v>25</v>
      </c>
      <c r="G29" s="18" t="s">
        <v>83</v>
      </c>
      <c r="H29" s="18" t="s">
        <v>79</v>
      </c>
      <c r="I29" s="18">
        <f>'MERCADO TUSD'!$U$26</f>
        <v>0</v>
      </c>
      <c r="J29" s="15"/>
      <c r="L29" s="13">
        <f>('TUSD BE'!$L$29+'TUSD BF'!$L$29+'TUSD CVA'!$L$29)*1</f>
        <v>0</v>
      </c>
      <c r="M29" s="13">
        <f>('TUSD BE'!$M$29+'TUSD BF'!$M$29+'TUSD CVA'!$M$29)*1</f>
        <v>1.4500379767861136</v>
      </c>
      <c r="N29" s="13">
        <f ca="1">('TUSD BE'!$N$29+'TUSD BF'!$N$29+'TUSD CVA'!$N$29)*1</f>
        <v>0</v>
      </c>
      <c r="O29" s="13">
        <f>('TUSD BE'!$O$29+'TUSD BF'!$O$29+'TUSD CVA'!$O$29)*1</f>
        <v>0</v>
      </c>
      <c r="P29" s="13">
        <v>0</v>
      </c>
      <c r="Q29" s="13">
        <f>('TUSD BE'!$Q$29+'TUSD BF'!$Q$29+'TUSD CVA'!$Q$29)*1</f>
        <v>0</v>
      </c>
      <c r="R29" s="13">
        <v>0</v>
      </c>
      <c r="S29" s="13">
        <f>('TUSD BE'!$S$29+'TUSD BF'!$S$29+'TUSD CVA'!$S$29)*1</f>
        <v>0</v>
      </c>
      <c r="T29" s="13">
        <f>('TUSD BE'!$U$29+'TUSD BF'!$U$29+'TUSD CVA'!$U$29)*1</f>
        <v>0</v>
      </c>
      <c r="U29" s="13">
        <f>('TUSD BE'!$V$29+'TUSD BF'!$V$29+'TUSD CVA'!$V$29)*1</f>
        <v>0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66.938519670945723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217.28991254671337</v>
      </c>
      <c r="AB29" s="13">
        <f ca="1">('TUSD BE'!$AE$29+'TUSD BF'!$AE$29+'TUSD CVA'!$AE$29)*1</f>
        <v>0</v>
      </c>
      <c r="AC29" s="13">
        <f ca="1">('TUSD BE'!$AF$29+'TUSD BF'!$AF$29+'TUSD CVA'!$AF$29)*1</f>
        <v>0</v>
      </c>
      <c r="AD29" s="13">
        <f>('TUSD BE'!$AH$29+'TUSD BF'!$AH$29+'TUSD CVA'!$AH$29)*1</f>
        <v>33.33163130138675</v>
      </c>
      <c r="AE29" s="13">
        <f>('TUSD BE'!$AI$29+'TUSD BF'!$AI$29+'TUSD CVA'!$AI$29)*1</f>
        <v>0</v>
      </c>
      <c r="AF29" s="13">
        <f ca="1">('TUSD BE'!$AJ$29+'TUSD BF'!$AJ$29+'TUSD CVA'!$AJ$29)*1</f>
        <v>4.4087389419506833</v>
      </c>
      <c r="AG29" s="13">
        <f ca="1">('TUSD BE'!$AK$29+'TUSD BF'!$AK$29+'TUSD CVA'!$AK$29)*1</f>
        <v>0</v>
      </c>
      <c r="AI29" s="13">
        <v>0</v>
      </c>
      <c r="AJ29" s="13">
        <v>1.1519306008466901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62.543099427072598</v>
      </c>
      <c r="AV29" s="13">
        <v>0</v>
      </c>
      <c r="AW29" s="13">
        <v>0</v>
      </c>
      <c r="AX29" s="13">
        <v>187.21503976845901</v>
      </c>
      <c r="AY29" s="13">
        <v>0</v>
      </c>
      <c r="AZ29" s="13">
        <v>0</v>
      </c>
      <c r="BA29" s="13">
        <v>50.9087876233571</v>
      </c>
      <c r="BB29" s="13">
        <v>0</v>
      </c>
      <c r="BC29" s="13">
        <v>3.2808986802992401</v>
      </c>
      <c r="BD29" s="13">
        <v>0</v>
      </c>
    </row>
    <row r="30" spans="1:56" ht="11.25" customHeight="1" x14ac:dyDescent="0.3">
      <c r="A30" s="95" t="s">
        <v>40</v>
      </c>
      <c r="B30" s="95" t="s">
        <v>92</v>
      </c>
      <c r="C30" s="95" t="s">
        <v>41</v>
      </c>
      <c r="D30" s="95" t="s">
        <v>25</v>
      </c>
      <c r="E30" s="95" t="s">
        <v>25</v>
      </c>
      <c r="F30" s="95" t="s">
        <v>25</v>
      </c>
      <c r="G30" s="18" t="s">
        <v>80</v>
      </c>
      <c r="H30" s="18" t="s">
        <v>79</v>
      </c>
      <c r="I30" s="18">
        <f>'MERCADO TUSD'!$U$27</f>
        <v>0</v>
      </c>
      <c r="J30" s="15"/>
      <c r="L30" s="13">
        <f>('TUSD BE'!$L$30+'TUSD BF'!$L$30+'TUSD CVA'!$L$30)*(1 - CUSTOS!$M$38)</f>
        <v>0</v>
      </c>
      <c r="M30" s="13">
        <f>('TUSD BE'!$M$30+'TUSD BF'!$M$30+'TUSD CVA'!$M$30)*(1 - CUSTOS!$M$38)</f>
        <v>1.3630356981789467</v>
      </c>
      <c r="N30" s="13">
        <f ca="1">('TUSD BE'!$N$30+'TUSD BF'!$N$30+'TUSD CVA'!$N$30)*(1 - CUSTOS!$M$38)</f>
        <v>0</v>
      </c>
      <c r="O30" s="13">
        <f>('TUSD BE'!$O$30+'TUSD BF'!$O$30+'TUSD CVA'!$O$30)*(1 - CUSTOS!$M$38)</f>
        <v>0</v>
      </c>
      <c r="P30" s="13">
        <f>('TUSD BE'!$P$30+'TUSD BF'!$P$30+'TUSD CVA'!$P$30)*(1 - CUSTOS!$M$38)</f>
        <v>0</v>
      </c>
      <c r="Q30" s="13">
        <f>('TUSD BE'!$Q$30+'TUSD BF'!$Q$30+'TUSD CVA'!$Q$30)*(1 - CUSTOS!$M$38)</f>
        <v>85.891960694520193</v>
      </c>
      <c r="R30" s="13">
        <f>('TUSD BE'!$R$30+'TUSD BF'!$R$30+'TUSD CVA'!$R$30)*(1 - CUSTOS!$M$38)</f>
        <v>13.552535251054845</v>
      </c>
      <c r="S30" s="13">
        <f>('TUSD BE'!$S$30+'TUSD BF'!$S$30+'TUSD CVA'!$S$30)*(1 - CUSTOS!$M$38)</f>
        <v>0</v>
      </c>
      <c r="T30" s="13">
        <f>('TUSD BE'!$U$30+'TUSD BF'!$U$30+'TUSD CVA'!$U$30)*(1 - CUSTOS!$M$38)</f>
        <v>0</v>
      </c>
      <c r="U30" s="13">
        <f>('TUSD BE'!$V$30+'TUSD BF'!$V$30+'TUSD CVA'!$V$30)*(1 - CUSTOS!$M$38)</f>
        <v>0</v>
      </c>
      <c r="V30" s="13">
        <f>('TUSD BE'!$W$30+'TUSD BF'!$W$30+'TUSD CVA'!$W$30)*(1 - CUSTOS!$M$38)</f>
        <v>0</v>
      </c>
      <c r="W30" s="13">
        <f>('TUSD BE'!$X$30+'TUSD BF'!$X$30+'TUSD CVA'!$X$30)*(1 - CUSTOS!$M$38)</f>
        <v>0</v>
      </c>
      <c r="X30" s="13">
        <f>('TUSD BE'!$Y$30+'TUSD BF'!$Y$30+'TUSD CVA'!$Y$30)*(1 - CUSTOS!$M$38)</f>
        <v>185.58981477610087</v>
      </c>
      <c r="Y30" s="13">
        <f>('TUSD BE'!$Z$30+'TUSD BF'!$Z$30+'TUSD CVA'!$Z$30)*(1 - CUSTOS!$M$38)</f>
        <v>0</v>
      </c>
      <c r="Z30" s="13">
        <f>('TUSD BE'!$AA$30+'TUSD BF'!$AA$30+'TUSD CVA'!$AA$30)*(1 - CUSTOS!$M$38)</f>
        <v>0</v>
      </c>
      <c r="AA30" s="13">
        <f>('TUSD BE'!$AC$30+'TUSD BF'!$AC$30+'TUSD CVA'!$AC$30)*(1 - CUSTOS!$M$38)</f>
        <v>602.54496218566885</v>
      </c>
      <c r="AB30" s="13">
        <f ca="1">('TUSD BE'!$AE$30+'TUSD BF'!$AE$30+'TUSD CVA'!$AE$30)*(1 - CUSTOS!$M$38)</f>
        <v>0</v>
      </c>
      <c r="AC30" s="13">
        <f ca="1">('TUSD BE'!$AF$30+'TUSD BF'!$AF$30+'TUSD CVA'!$AF$30)*(1 - CUSTOS!$M$38)</f>
        <v>0</v>
      </c>
      <c r="AD30" s="13">
        <f>('TUSD BE'!$AH$30+'TUSD BF'!$AH$30+'TUSD CVA'!$AH$30)*(1 - CUSTOS!$M$38)</f>
        <v>31.331733423303543</v>
      </c>
      <c r="AE30" s="13">
        <f>('TUSD BE'!$AI$30+'TUSD BF'!$AI$30+'TUSD CVA'!$AI$30)*(1 - CUSTOS!$M$38)</f>
        <v>0</v>
      </c>
      <c r="AF30" s="13">
        <f ca="1">('TUSD BE'!$AJ$30+'TUSD BF'!$AJ$30+'TUSD CVA'!$AJ$30)*(1 - CUSTOS!$M$38)</f>
        <v>4.1442146054336417</v>
      </c>
      <c r="AG30" s="13">
        <f ca="1">('TUSD BE'!$AK$30+'TUSD BF'!$AK$30+'TUSD CVA'!$AK$30)*(1 - CUSTOS!$M$38)</f>
        <v>0</v>
      </c>
      <c r="AI30" s="13">
        <v>0</v>
      </c>
      <c r="AJ30" s="13">
        <v>1.0136989287450899</v>
      </c>
      <c r="AK30" s="13">
        <v>0</v>
      </c>
      <c r="AL30" s="13">
        <v>0</v>
      </c>
      <c r="AM30" s="13">
        <v>0</v>
      </c>
      <c r="AN30" s="13">
        <v>49.902258752363899</v>
      </c>
      <c r="AO30" s="13">
        <v>7.7951526392638399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162.443694994917</v>
      </c>
      <c r="AV30" s="13">
        <v>0</v>
      </c>
      <c r="AW30" s="13">
        <v>0</v>
      </c>
      <c r="AX30" s="13">
        <v>486.010110435027</v>
      </c>
      <c r="AY30" s="13">
        <v>0</v>
      </c>
      <c r="AZ30" s="13">
        <v>0</v>
      </c>
      <c r="BA30" s="13">
        <v>44.7997331085543</v>
      </c>
      <c r="BB30" s="13">
        <v>0</v>
      </c>
      <c r="BC30" s="13">
        <v>2.8871908386633298</v>
      </c>
      <c r="BD30" s="13">
        <v>0</v>
      </c>
    </row>
    <row r="31" spans="1:56" ht="11.25" customHeight="1" x14ac:dyDescent="0.3">
      <c r="A31" s="95"/>
      <c r="B31" s="95"/>
      <c r="C31" s="95"/>
      <c r="D31" s="95"/>
      <c r="E31" s="95"/>
      <c r="F31" s="95"/>
      <c r="G31" s="18" t="s">
        <v>91</v>
      </c>
      <c r="H31" s="18" t="s">
        <v>79</v>
      </c>
      <c r="I31" s="18">
        <f>'MERCADO TUSD'!$U$28</f>
        <v>0</v>
      </c>
      <c r="J31" s="15"/>
      <c r="L31" s="13">
        <f>('TUSD BE'!$L$31+'TUSD BF'!$L$31+'TUSD CVA'!$L$31)*(1 - CUSTOS!$M$38)</f>
        <v>0</v>
      </c>
      <c r="M31" s="13">
        <f>('TUSD BE'!$M$31+'TUSD BF'!$M$31+'TUSD CVA'!$M$31)*(1 - CUSTOS!$M$38)</f>
        <v>1.3630356981789467</v>
      </c>
      <c r="N31" s="13">
        <f ca="1">('TUSD BE'!$N$31+'TUSD BF'!$N$31+'TUSD CVA'!$N$31)*(1 - CUSTOS!$M$38)</f>
        <v>0</v>
      </c>
      <c r="O31" s="13">
        <f>('TUSD BE'!$O$31+'TUSD BF'!$O$31+'TUSD CVA'!$O$31)*(1 - CUSTOS!$M$38)</f>
        <v>0</v>
      </c>
      <c r="P31" s="13">
        <f>('TUSD BE'!$P$31+'TUSD BF'!$P$31+'TUSD CVA'!$P$31)*(1 - CUSTOS!$M$38)</f>
        <v>0</v>
      </c>
      <c r="Q31" s="13">
        <f>('TUSD BE'!$Q$31+'TUSD BF'!$Q$31+'TUSD CVA'!$Q$31)*(1 - CUSTOS!$M$38)</f>
        <v>85.891960694520193</v>
      </c>
      <c r="R31" s="13">
        <f>('TUSD BE'!$R$31+'TUSD BF'!$R$31+'TUSD CVA'!$R$31)*(1 - CUSTOS!$M$38)</f>
        <v>13.552535251054845</v>
      </c>
      <c r="S31" s="13">
        <f>('TUSD BE'!$S$31+'TUSD BF'!$S$31+'TUSD CVA'!$S$31)*(1 - CUSTOS!$M$38)</f>
        <v>0</v>
      </c>
      <c r="T31" s="13">
        <f>('TUSD BE'!$U$31+'TUSD BF'!$U$31+'TUSD CVA'!$U$31)*(1 - CUSTOS!$M$38)</f>
        <v>0</v>
      </c>
      <c r="U31" s="13">
        <f>('TUSD BE'!$V$31+'TUSD BF'!$V$31+'TUSD CVA'!$V$31)*(1 - CUSTOS!$M$38)</f>
        <v>0</v>
      </c>
      <c r="V31" s="13">
        <f>('TUSD BE'!$W$31+'TUSD BF'!$W$31+'TUSD CVA'!$W$31)*(1 - CUSTOS!$M$38)</f>
        <v>0</v>
      </c>
      <c r="W31" s="13">
        <f>('TUSD BE'!$X$31+'TUSD BF'!$X$31+'TUSD CVA'!$X$31)*(1 - CUSTOS!$M$38)</f>
        <v>0</v>
      </c>
      <c r="X31" s="13">
        <f>('TUSD BE'!$Y$31+'TUSD BF'!$Y$31+'TUSD CVA'!$Y$31)*(1 - CUSTOS!$M$38)</f>
        <v>111.32185379981885</v>
      </c>
      <c r="Y31" s="13">
        <f>('TUSD BE'!$Z$31+'TUSD BF'!$Z$31+'TUSD CVA'!$Z$31)*(1 - CUSTOS!$M$38)</f>
        <v>0</v>
      </c>
      <c r="Z31" s="13">
        <f>('TUSD BE'!$AA$31+'TUSD BF'!$AA$31+'TUSD CVA'!$AA$31)*(1 - CUSTOS!$M$38)</f>
        <v>0</v>
      </c>
      <c r="AA31" s="13">
        <f>('TUSD BE'!$AC$31+'TUSD BF'!$AC$31+'TUSD CVA'!$AC$31)*(1 - CUSTOS!$M$38)</f>
        <v>361.52708139229941</v>
      </c>
      <c r="AB31" s="13">
        <f ca="1">('TUSD BE'!$AE$31+'TUSD BF'!$AE$31+'TUSD CVA'!$AE$31)*(1 - CUSTOS!$M$38)</f>
        <v>0</v>
      </c>
      <c r="AC31" s="13">
        <f ca="1">('TUSD BE'!$AF$31+'TUSD BF'!$AF$31+'TUSD CVA'!$AF$31)*(1 - CUSTOS!$M$38)</f>
        <v>0</v>
      </c>
      <c r="AD31" s="13">
        <f>('TUSD BE'!$AH$31+'TUSD BF'!$AH$31+'TUSD CVA'!$AH$31)*(1 - CUSTOS!$M$38)</f>
        <v>31.331733423303543</v>
      </c>
      <c r="AE31" s="13">
        <f>('TUSD BE'!$AI$31+'TUSD BF'!$AI$31+'TUSD CVA'!$AI$31)*(1 - CUSTOS!$M$38)</f>
        <v>0</v>
      </c>
      <c r="AF31" s="13">
        <f ca="1">('TUSD BE'!$AJ$31+'TUSD BF'!$AJ$31+'TUSD CVA'!$AJ$31)*(1 - CUSTOS!$M$38)</f>
        <v>4.1442146054336417</v>
      </c>
      <c r="AG31" s="13">
        <f ca="1">('TUSD BE'!$AK$31+'TUSD BF'!$AK$31+'TUSD CVA'!$AK$31)*(1 - CUSTOS!$M$38)</f>
        <v>0</v>
      </c>
      <c r="AI31" s="13">
        <v>0</v>
      </c>
      <c r="AJ31" s="13">
        <v>1.0136989287450899</v>
      </c>
      <c r="AK31" s="13">
        <v>0</v>
      </c>
      <c r="AL31" s="13">
        <v>0</v>
      </c>
      <c r="AM31" s="13">
        <v>0</v>
      </c>
      <c r="AN31" s="13">
        <v>49.902258752363899</v>
      </c>
      <c r="AO31" s="13">
        <v>7.7951526392638399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97.460790462546399</v>
      </c>
      <c r="AV31" s="13">
        <v>0</v>
      </c>
      <c r="AW31" s="13">
        <v>0</v>
      </c>
      <c r="AX31" s="13">
        <v>291.60599697202798</v>
      </c>
      <c r="AY31" s="13">
        <v>0</v>
      </c>
      <c r="AZ31" s="13">
        <v>0</v>
      </c>
      <c r="BA31" s="13">
        <v>44.7997331085543</v>
      </c>
      <c r="BB31" s="13">
        <v>0</v>
      </c>
      <c r="BC31" s="13">
        <v>2.8871908386633298</v>
      </c>
      <c r="BD31" s="13">
        <v>0</v>
      </c>
    </row>
    <row r="32" spans="1:56" ht="11.25" customHeight="1" x14ac:dyDescent="0.3">
      <c r="A32" s="95"/>
      <c r="B32" s="95"/>
      <c r="C32" s="95"/>
      <c r="D32" s="95"/>
      <c r="E32" s="95"/>
      <c r="F32" s="95"/>
      <c r="G32" s="18" t="s">
        <v>81</v>
      </c>
      <c r="H32" s="18" t="s">
        <v>79</v>
      </c>
      <c r="I32" s="18">
        <f>'MERCADO TUSD'!$U$29</f>
        <v>0</v>
      </c>
      <c r="J32" s="15"/>
      <c r="L32" s="13">
        <f>('TUSD BE'!$L$32+'TUSD BF'!$L$32+'TUSD CVA'!$L$32)*(1 - CUSTOS!$M$38)</f>
        <v>0</v>
      </c>
      <c r="M32" s="13">
        <f>('TUSD BE'!$M$32+'TUSD BF'!$M$32+'TUSD CVA'!$M$32)*(1 - CUSTOS!$M$38)</f>
        <v>1.3630356981789467</v>
      </c>
      <c r="N32" s="13">
        <f ca="1">('TUSD BE'!$N$32+'TUSD BF'!$N$32+'TUSD CVA'!$N$32)*(1 - CUSTOS!$M$38)</f>
        <v>0</v>
      </c>
      <c r="O32" s="13">
        <f>('TUSD BE'!$O$32+'TUSD BF'!$O$32+'TUSD CVA'!$O$32)*(1 - CUSTOS!$M$38)</f>
        <v>0</v>
      </c>
      <c r="P32" s="13">
        <f>('TUSD BE'!$P$32+'TUSD BF'!$P$32+'TUSD CVA'!$P$32)*(1 - CUSTOS!$M$38)</f>
        <v>0</v>
      </c>
      <c r="Q32" s="13">
        <f>('TUSD BE'!$Q$32+'TUSD BF'!$Q$32+'TUSD CVA'!$Q$32)*(1 - CUSTOS!$M$38)</f>
        <v>85.891960694520193</v>
      </c>
      <c r="R32" s="13">
        <f>('TUSD BE'!$R$32+'TUSD BF'!$R$32+'TUSD CVA'!$R$32)*(1 - CUSTOS!$M$38)</f>
        <v>13.552535251054845</v>
      </c>
      <c r="S32" s="13">
        <f>('TUSD BE'!$S$32+'TUSD BF'!$S$32+'TUSD CVA'!$S$32)*(1 - CUSTOS!$M$38)</f>
        <v>0</v>
      </c>
      <c r="T32" s="13">
        <f>('TUSD BE'!$U$32+'TUSD BF'!$U$32+'TUSD CVA'!$U$32)*(1 - CUSTOS!$M$38)</f>
        <v>0</v>
      </c>
      <c r="U32" s="13">
        <f>('TUSD BE'!$V$32+'TUSD BF'!$V$32+'TUSD CVA'!$V$32)*(1 - CUSTOS!$M$38)</f>
        <v>0</v>
      </c>
      <c r="V32" s="13">
        <f>('TUSD BE'!$W$32+'TUSD BF'!$W$32+'TUSD CVA'!$W$32)*(1 - CUSTOS!$M$38)</f>
        <v>0</v>
      </c>
      <c r="W32" s="13">
        <f>('TUSD BE'!$X$32+'TUSD BF'!$X$32+'TUSD CVA'!$X$32)*(1 - CUSTOS!$M$38)</f>
        <v>0</v>
      </c>
      <c r="X32" s="13">
        <f>('TUSD BE'!$Y$32+'TUSD BF'!$Y$32+'TUSD CVA'!$Y$32)*(1 - CUSTOS!$M$38)</f>
        <v>37.133980488141013</v>
      </c>
      <c r="Y32" s="13">
        <f>('TUSD BE'!$Z$32+'TUSD BF'!$Z$32+'TUSD CVA'!$Z$32)*(1 - CUSTOS!$M$38)</f>
        <v>0</v>
      </c>
      <c r="Z32" s="13">
        <f>('TUSD BE'!$AA$32+'TUSD BF'!$AA$32+'TUSD CVA'!$AA$32)*(1 - CUSTOS!$M$38)</f>
        <v>0</v>
      </c>
      <c r="AA32" s="13">
        <f>('TUSD BE'!$AC$32+'TUSD BF'!$AC$32+'TUSD CVA'!$AC$32)*(1 - CUSTOS!$M$38)</f>
        <v>120.50902713076647</v>
      </c>
      <c r="AB32" s="13">
        <f ca="1">('TUSD BE'!$AE$32+'TUSD BF'!$AE$32+'TUSD CVA'!$AE$32)*(1 - CUSTOS!$M$38)</f>
        <v>0</v>
      </c>
      <c r="AC32" s="13">
        <f ca="1">('TUSD BE'!$AF$32+'TUSD BF'!$AF$32+'TUSD CVA'!$AF$32)*(1 - CUSTOS!$M$38)</f>
        <v>0</v>
      </c>
      <c r="AD32" s="13">
        <f>('TUSD BE'!$AH$32+'TUSD BF'!$AH$32+'TUSD CVA'!$AH$32)*(1 - CUSTOS!$M$38)</f>
        <v>31.331733423303543</v>
      </c>
      <c r="AE32" s="13">
        <f>('TUSD BE'!$AI$32+'TUSD BF'!$AI$32+'TUSD CVA'!$AI$32)*(1 - CUSTOS!$M$38)</f>
        <v>0</v>
      </c>
      <c r="AF32" s="13">
        <f ca="1">('TUSD BE'!$AJ$32+'TUSD BF'!$AJ$32+'TUSD CVA'!$AJ$32)*(1 - CUSTOS!$M$38)</f>
        <v>4.1442146054336417</v>
      </c>
      <c r="AG32" s="13">
        <f ca="1">('TUSD BE'!$AK$32+'TUSD BF'!$AK$32+'TUSD CVA'!$AK$32)*(1 - CUSTOS!$M$38)</f>
        <v>0</v>
      </c>
      <c r="AI32" s="13">
        <v>0</v>
      </c>
      <c r="AJ32" s="13">
        <v>1.0136989287450899</v>
      </c>
      <c r="AK32" s="13">
        <v>0</v>
      </c>
      <c r="AL32" s="13">
        <v>0</v>
      </c>
      <c r="AM32" s="13">
        <v>0</v>
      </c>
      <c r="AN32" s="13">
        <v>49.902258752363899</v>
      </c>
      <c r="AO32" s="13">
        <v>7.7951526392638399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32.477808408255299</v>
      </c>
      <c r="AV32" s="13">
        <v>0</v>
      </c>
      <c r="AW32" s="13">
        <v>0</v>
      </c>
      <c r="AX32" s="13">
        <v>97.201998990676003</v>
      </c>
      <c r="AY32" s="13">
        <v>0</v>
      </c>
      <c r="AZ32" s="13">
        <v>0</v>
      </c>
      <c r="BA32" s="13">
        <v>44.7997331085543</v>
      </c>
      <c r="BB32" s="13">
        <v>0</v>
      </c>
      <c r="BC32" s="13">
        <v>2.8871908386633298</v>
      </c>
      <c r="BD32" s="13">
        <v>0</v>
      </c>
    </row>
    <row r="33" spans="1:56" ht="11.25" customHeight="1" x14ac:dyDescent="0.3">
      <c r="A33" s="95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83</v>
      </c>
      <c r="H33" s="18" t="s">
        <v>79</v>
      </c>
      <c r="I33" s="18">
        <f>'MERCADO TUSD'!$U$30</f>
        <v>15119.107000000002</v>
      </c>
      <c r="J33" s="15"/>
      <c r="L33" s="13">
        <f>('TUSD BE'!$L$33+'TUSD BF'!$L$33+'TUSD CVA'!$L$33)*(1 - CUSTOS!$M$38)</f>
        <v>0</v>
      </c>
      <c r="M33" s="13">
        <f>('TUSD BE'!$M$33+'TUSD BF'!$M$33+'TUSD CVA'!$M$33)*(1 - CUSTOS!$M$38)</f>
        <v>1.3630356981789467</v>
      </c>
      <c r="N33" s="13">
        <f ca="1">('TUSD BE'!$N$33+'TUSD BF'!$N$33+'TUSD CVA'!$N$33)*(1 - CUSTOS!$M$38)</f>
        <v>0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85.891960694520193</v>
      </c>
      <c r="R33" s="13">
        <f>('TUSD BE'!$R$33+'TUSD BF'!$R$33+'TUSD CVA'!$R$33)*(1 - CUSTOS!$M$38)</f>
        <v>13.552535251054845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62.922208490688973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204.25251779391056</v>
      </c>
      <c r="AB33" s="13">
        <f ca="1">('TUSD BE'!$AE$33+'TUSD BF'!$AE$33+'TUSD CVA'!$AE$33)*(1 - CUSTOS!$M$38)</f>
        <v>0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31.331733423303543</v>
      </c>
      <c r="AE33" s="13">
        <f>('TUSD BE'!$AI$33+'TUSD BF'!$AI$33+'TUSD CVA'!$AI$33)*(1 - CUSTOS!$M$38)</f>
        <v>0</v>
      </c>
      <c r="AF33" s="13">
        <f ca="1">('TUSD BE'!$AJ$33+'TUSD BF'!$AJ$33+'TUSD CVA'!$AJ$33)*(1 - CUSTOS!$M$38)</f>
        <v>4.1442146054336417</v>
      </c>
      <c r="AG33" s="13">
        <f ca="1">('TUSD BE'!$AK$33+'TUSD BF'!$AK$33+'TUSD CVA'!$AK$33)*(1 - CUSTOS!$M$38)</f>
        <v>0</v>
      </c>
      <c r="AI33" s="13">
        <v>0</v>
      </c>
      <c r="AJ33" s="13">
        <v>1.0136989287450899</v>
      </c>
      <c r="AK33" s="13">
        <v>0</v>
      </c>
      <c r="AL33" s="13">
        <v>0</v>
      </c>
      <c r="AM33" s="13">
        <v>0</v>
      </c>
      <c r="AN33" s="13">
        <v>49.902258752363899</v>
      </c>
      <c r="AO33" s="13">
        <v>7.7951526392638399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55.037927495823901</v>
      </c>
      <c r="AV33" s="13">
        <v>0</v>
      </c>
      <c r="AW33" s="13">
        <v>0</v>
      </c>
      <c r="AX33" s="13">
        <v>164.74923499624401</v>
      </c>
      <c r="AY33" s="13">
        <v>0</v>
      </c>
      <c r="AZ33" s="13">
        <v>0</v>
      </c>
      <c r="BA33" s="13">
        <v>44.7997331085543</v>
      </c>
      <c r="BB33" s="13">
        <v>0</v>
      </c>
      <c r="BC33" s="13">
        <v>2.8871908386633298</v>
      </c>
      <c r="BD33" s="13">
        <v>0</v>
      </c>
    </row>
    <row r="34" spans="1:56" ht="11.25" customHeight="1" x14ac:dyDescent="0.3">
      <c r="A34" s="95"/>
      <c r="B34" s="95" t="s">
        <v>92</v>
      </c>
      <c r="C34" s="95" t="s">
        <v>41</v>
      </c>
      <c r="D34" s="95" t="s">
        <v>95</v>
      </c>
      <c r="E34" s="95" t="s">
        <v>25</v>
      </c>
      <c r="F34" s="95" t="s">
        <v>25</v>
      </c>
      <c r="G34" s="18" t="s">
        <v>80</v>
      </c>
      <c r="H34" s="18" t="s">
        <v>79</v>
      </c>
      <c r="I34" s="18">
        <f>'MERCADO TUSD'!$U$31</f>
        <v>0</v>
      </c>
      <c r="J34" s="15"/>
      <c r="L34" s="13">
        <f>('TUSD BE'!$L$34+'TUSD BF'!$L$34+'TUSD CVA'!$L$34)*(1 - CUSTOS!$M$39)</f>
        <v>0</v>
      </c>
      <c r="M34" s="13">
        <f>('TUSD BE'!$M$34+'TUSD BF'!$M$34+'TUSD CVA'!$M$34)*(1 - CUSTOS!$M$39)</f>
        <v>1.3630356981789467</v>
      </c>
      <c r="N34" s="13">
        <f ca="1">('TUSD BE'!$N$34+'TUSD BF'!$N$34+'TUSD CVA'!$N$34)*(1 - CUSTOS!$M$39)</f>
        <v>0</v>
      </c>
      <c r="O34" s="13">
        <f>('TUSD BE'!$O$34+'TUSD BF'!$O$34+'TUSD CVA'!$O$34)*(1 - CUSTOS!$M$39)</f>
        <v>0</v>
      </c>
      <c r="P34" s="13">
        <f>('TUSD BE'!$P$34+'TUSD BF'!$P$34+'TUSD CVA'!$P$34)*(1 - CUSTOS!$M$39)</f>
        <v>0</v>
      </c>
      <c r="Q34" s="13">
        <f>('TUSD BE'!$Q$34+'TUSD BF'!$Q$34+'TUSD CVA'!$Q$34)*(1 - CUSTOS!$M$39)</f>
        <v>85.891960694520193</v>
      </c>
      <c r="R34" s="13">
        <f>('TUSD BE'!$R$34+'TUSD BF'!$R$34+'TUSD CVA'!$R$34)*(1 - CUSTOS!$M$39)</f>
        <v>13.552535251054845</v>
      </c>
      <c r="S34" s="13">
        <f>('TUSD BE'!$S$34+'TUSD BF'!$S$34+'TUSD CVA'!$S$34)*(1 - CUSTOS!$M$39)</f>
        <v>0</v>
      </c>
      <c r="T34" s="13">
        <f>('TUSD BE'!$U$34+'TUSD BF'!$U$34+'TUSD CVA'!$U$34)*(1 - CUSTOS!$M$39)</f>
        <v>0</v>
      </c>
      <c r="U34" s="13">
        <f>('TUSD BE'!$V$34+'TUSD BF'!$V$34+'TUSD CVA'!$V$34)*(1 - CUSTOS!$M$39)</f>
        <v>0</v>
      </c>
      <c r="V34" s="13">
        <f>('TUSD BE'!$W$34+'TUSD BF'!$W$34+'TUSD CVA'!$W$34)*(1 - CUSTOS!$M$39)</f>
        <v>0</v>
      </c>
      <c r="W34" s="13">
        <f>('TUSD BE'!$X$34+'TUSD BF'!$X$34+'TUSD CVA'!$X$34)*(1 - CUSTOS!$M$39)</f>
        <v>0</v>
      </c>
      <c r="X34" s="13">
        <f>('TUSD BE'!$Y$34+'TUSD BF'!$Y$34+'TUSD CVA'!$Y$34)*(1 - CUSTOS!$M$39)</f>
        <v>185.58981477610087</v>
      </c>
      <c r="Y34" s="13">
        <f>('TUSD BE'!$Z$34+'TUSD BF'!$Z$34+'TUSD CVA'!$Z$34)*(1 - CUSTOS!$M$39)</f>
        <v>0</v>
      </c>
      <c r="Z34" s="13">
        <f>('TUSD BE'!$AA$34+'TUSD BF'!$AA$34+'TUSD CVA'!$AA$34)*(1 - CUSTOS!$M$39)</f>
        <v>0</v>
      </c>
      <c r="AA34" s="13">
        <f>('TUSD BE'!$AC$34+'TUSD BF'!$AC$34+'TUSD CVA'!$AC$34)*(1 - CUSTOS!$M$39)</f>
        <v>602.54496218566885</v>
      </c>
      <c r="AB34" s="13">
        <f ca="1">('TUSD BE'!$AE$34+'TUSD BF'!$AE$34+'TUSD CVA'!$AE$34)*(1 - CUSTOS!$M$39)</f>
        <v>0</v>
      </c>
      <c r="AC34" s="13">
        <f ca="1">('TUSD BE'!$AF$34+'TUSD BF'!$AF$34+'TUSD CVA'!$AF$34)*(1 - CUSTOS!$M$39)</f>
        <v>0</v>
      </c>
      <c r="AD34" s="13">
        <f>('TUSD BE'!$AH$34+'TUSD BF'!$AH$34+'TUSD CVA'!$AH$34)*(1 - CUSTOS!$M$39)</f>
        <v>31.331733423303543</v>
      </c>
      <c r="AE34" s="13">
        <f>('TUSD BE'!$AI$34+'TUSD BF'!$AI$34+'TUSD CVA'!$AI$34)*(1 - CUSTOS!$M$39)</f>
        <v>0</v>
      </c>
      <c r="AF34" s="13">
        <f ca="1">('TUSD BE'!$AJ$34+'TUSD BF'!$AJ$34+'TUSD CVA'!$AJ$34)*(1 - CUSTOS!$M$39)</f>
        <v>4.1442146054336417</v>
      </c>
      <c r="AG34" s="13">
        <f ca="1">('TUSD BE'!$AK$34+'TUSD BF'!$AK$34+'TUSD CVA'!$AK$34)*(1 - CUSTOS!$M$39)</f>
        <v>0</v>
      </c>
      <c r="AI34" s="13">
        <v>0</v>
      </c>
      <c r="AJ34" s="13">
        <v>1.0136989287450899</v>
      </c>
      <c r="AK34" s="13">
        <v>0</v>
      </c>
      <c r="AL34" s="13">
        <v>0</v>
      </c>
      <c r="AM34" s="13">
        <v>0</v>
      </c>
      <c r="AN34" s="13">
        <v>49.902258752363899</v>
      </c>
      <c r="AO34" s="13">
        <v>7.7951526392638399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162.443694994917</v>
      </c>
      <c r="AV34" s="13">
        <v>0</v>
      </c>
      <c r="AW34" s="13">
        <v>0</v>
      </c>
      <c r="AX34" s="13">
        <v>486.010110435027</v>
      </c>
      <c r="AY34" s="13">
        <v>0</v>
      </c>
      <c r="AZ34" s="13">
        <v>0</v>
      </c>
      <c r="BA34" s="13">
        <v>44.7997331085543</v>
      </c>
      <c r="BB34" s="13">
        <v>0</v>
      </c>
      <c r="BC34" s="13">
        <v>2.8871908386633298</v>
      </c>
      <c r="BD34" s="13">
        <v>0</v>
      </c>
    </row>
    <row r="35" spans="1:56" ht="11.25" customHeight="1" x14ac:dyDescent="0.3">
      <c r="A35" s="95"/>
      <c r="B35" s="95"/>
      <c r="C35" s="95"/>
      <c r="D35" s="95"/>
      <c r="E35" s="95"/>
      <c r="F35" s="95"/>
      <c r="G35" s="18" t="s">
        <v>91</v>
      </c>
      <c r="H35" s="18" t="s">
        <v>79</v>
      </c>
      <c r="I35" s="18">
        <f>'MERCADO TUSD'!$U$32</f>
        <v>0</v>
      </c>
      <c r="J35" s="15"/>
      <c r="L35" s="13">
        <f>('TUSD BE'!$L$35+'TUSD BF'!$L$35+'TUSD CVA'!$L$35)*(1 - CUSTOS!$M$39)</f>
        <v>0</v>
      </c>
      <c r="M35" s="13">
        <f>('TUSD BE'!$M$35+'TUSD BF'!$M$35+'TUSD CVA'!$M$35)*(1 - CUSTOS!$M$39)</f>
        <v>1.3630356981789467</v>
      </c>
      <c r="N35" s="13">
        <f ca="1">('TUSD BE'!$N$35+'TUSD BF'!$N$35+'TUSD CVA'!$N$35)*(1 - CUSTOS!$M$39)</f>
        <v>0</v>
      </c>
      <c r="O35" s="13">
        <f>('TUSD BE'!$O$35+'TUSD BF'!$O$35+'TUSD CVA'!$O$35)*(1 - CUSTOS!$M$39)</f>
        <v>0</v>
      </c>
      <c r="P35" s="13">
        <f>('TUSD BE'!$P$35+'TUSD BF'!$P$35+'TUSD CVA'!$P$35)*(1 - CUSTOS!$M$39)</f>
        <v>0</v>
      </c>
      <c r="Q35" s="13">
        <f>('TUSD BE'!$Q$35+'TUSD BF'!$Q$35+'TUSD CVA'!$Q$35)*(1 - CUSTOS!$M$39)</f>
        <v>85.891960694520193</v>
      </c>
      <c r="R35" s="13">
        <f>('TUSD BE'!$R$35+'TUSD BF'!$R$35+'TUSD CVA'!$R$35)*(1 - CUSTOS!$M$39)</f>
        <v>13.552535251054845</v>
      </c>
      <c r="S35" s="13">
        <f>('TUSD BE'!$S$35+'TUSD BF'!$S$35+'TUSD CVA'!$S$35)*(1 - CUSTOS!$M$39)</f>
        <v>0</v>
      </c>
      <c r="T35" s="13">
        <f>('TUSD BE'!$U$35+'TUSD BF'!$U$35+'TUSD CVA'!$U$35)*(1 - CUSTOS!$M$39)</f>
        <v>0</v>
      </c>
      <c r="U35" s="13">
        <f>('TUSD BE'!$V$35+'TUSD BF'!$V$35+'TUSD CVA'!$V$35)*(1 - CUSTOS!$M$39)</f>
        <v>0</v>
      </c>
      <c r="V35" s="13">
        <f>('TUSD BE'!$W$35+'TUSD BF'!$W$35+'TUSD CVA'!$W$35)*(1 - CUSTOS!$M$39)</f>
        <v>0</v>
      </c>
      <c r="W35" s="13">
        <f>('TUSD BE'!$X$35+'TUSD BF'!$X$35+'TUSD CVA'!$X$35)*(1 - CUSTOS!$M$39)</f>
        <v>0</v>
      </c>
      <c r="X35" s="13">
        <f>('TUSD BE'!$Y$35+'TUSD BF'!$Y$35+'TUSD CVA'!$Y$35)*(1 - CUSTOS!$M$39)</f>
        <v>111.32185379981885</v>
      </c>
      <c r="Y35" s="13">
        <f>('TUSD BE'!$Z$35+'TUSD BF'!$Z$35+'TUSD CVA'!$Z$35)*(1 - CUSTOS!$M$39)</f>
        <v>0</v>
      </c>
      <c r="Z35" s="13">
        <f>('TUSD BE'!$AA$35+'TUSD BF'!$AA$35+'TUSD CVA'!$AA$35)*(1 - CUSTOS!$M$39)</f>
        <v>0</v>
      </c>
      <c r="AA35" s="13">
        <f>('TUSD BE'!$AC$35+'TUSD BF'!$AC$35+'TUSD CVA'!$AC$35)*(1 - CUSTOS!$M$39)</f>
        <v>361.52708139229941</v>
      </c>
      <c r="AB35" s="13">
        <f ca="1">('TUSD BE'!$AE$35+'TUSD BF'!$AE$35+'TUSD CVA'!$AE$35)*(1 - CUSTOS!$M$39)</f>
        <v>0</v>
      </c>
      <c r="AC35" s="13">
        <f ca="1">('TUSD BE'!$AF$35+'TUSD BF'!$AF$35+'TUSD CVA'!$AF$35)*(1 - CUSTOS!$M$39)</f>
        <v>0</v>
      </c>
      <c r="AD35" s="13">
        <f>('TUSD BE'!$AH$35+'TUSD BF'!$AH$35+'TUSD CVA'!$AH$35)*(1 - CUSTOS!$M$39)</f>
        <v>31.331733423303543</v>
      </c>
      <c r="AE35" s="13">
        <f>('TUSD BE'!$AI$35+'TUSD BF'!$AI$35+'TUSD CVA'!$AI$35)*(1 - CUSTOS!$M$39)</f>
        <v>0</v>
      </c>
      <c r="AF35" s="13">
        <f ca="1">('TUSD BE'!$AJ$35+'TUSD BF'!$AJ$35+'TUSD CVA'!$AJ$35)*(1 - CUSTOS!$M$39)</f>
        <v>4.1442146054336417</v>
      </c>
      <c r="AG35" s="13">
        <f ca="1">('TUSD BE'!$AK$35+'TUSD BF'!$AK$35+'TUSD CVA'!$AK$35)*(1 - CUSTOS!$M$39)</f>
        <v>0</v>
      </c>
      <c r="AI35" s="13">
        <v>0</v>
      </c>
      <c r="AJ35" s="13">
        <v>1.0136989287450899</v>
      </c>
      <c r="AK35" s="13">
        <v>0</v>
      </c>
      <c r="AL35" s="13">
        <v>0</v>
      </c>
      <c r="AM35" s="13">
        <v>0</v>
      </c>
      <c r="AN35" s="13">
        <v>49.902258752363899</v>
      </c>
      <c r="AO35" s="13">
        <v>7.7951526392638399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97.460790462546399</v>
      </c>
      <c r="AV35" s="13">
        <v>0</v>
      </c>
      <c r="AW35" s="13">
        <v>0</v>
      </c>
      <c r="AX35" s="13">
        <v>291.60599697202798</v>
      </c>
      <c r="AY35" s="13">
        <v>0</v>
      </c>
      <c r="AZ35" s="13">
        <v>0</v>
      </c>
      <c r="BA35" s="13">
        <v>44.7997331085543</v>
      </c>
      <c r="BB35" s="13">
        <v>0</v>
      </c>
      <c r="BC35" s="13">
        <v>2.8871908386633298</v>
      </c>
      <c r="BD35" s="13">
        <v>0</v>
      </c>
    </row>
    <row r="36" spans="1:56" ht="11.25" customHeight="1" x14ac:dyDescent="0.3">
      <c r="A36" s="95"/>
      <c r="B36" s="95"/>
      <c r="C36" s="95"/>
      <c r="D36" s="95"/>
      <c r="E36" s="95"/>
      <c r="F36" s="95"/>
      <c r="G36" s="18" t="s">
        <v>81</v>
      </c>
      <c r="H36" s="18" t="s">
        <v>79</v>
      </c>
      <c r="I36" s="18">
        <f>'MERCADO TUSD'!$U$33</f>
        <v>0</v>
      </c>
      <c r="J36" s="15"/>
      <c r="L36" s="13">
        <f>('TUSD BE'!$L$36+'TUSD BF'!$L$36+'TUSD CVA'!$L$36)*(1 - CUSTOS!$M$39)</f>
        <v>0</v>
      </c>
      <c r="M36" s="13">
        <f>('TUSD BE'!$M$36+'TUSD BF'!$M$36+'TUSD CVA'!$M$36)*(1 - CUSTOS!$M$39)</f>
        <v>1.3630356981789467</v>
      </c>
      <c r="N36" s="13">
        <f ca="1">('TUSD BE'!$N$36+'TUSD BF'!$N$36+'TUSD CVA'!$N$36)*(1 - CUSTOS!$M$39)</f>
        <v>0</v>
      </c>
      <c r="O36" s="13">
        <f>('TUSD BE'!$O$36+'TUSD BF'!$O$36+'TUSD CVA'!$O$36)*(1 - CUSTOS!$M$39)</f>
        <v>0</v>
      </c>
      <c r="P36" s="13">
        <f>('TUSD BE'!$P$36+'TUSD BF'!$P$36+'TUSD CVA'!$P$36)*(1 - CUSTOS!$M$39)</f>
        <v>0</v>
      </c>
      <c r="Q36" s="13">
        <f>('TUSD BE'!$Q$36+'TUSD BF'!$Q$36+'TUSD CVA'!$Q$36)*(1 - CUSTOS!$M$39)</f>
        <v>85.891960694520193</v>
      </c>
      <c r="R36" s="13">
        <f>('TUSD BE'!$R$36+'TUSD BF'!$R$36+'TUSD CVA'!$R$36)*(1 - CUSTOS!$M$39)</f>
        <v>13.552535251054845</v>
      </c>
      <c r="S36" s="13">
        <f>('TUSD BE'!$S$36+'TUSD BF'!$S$36+'TUSD CVA'!$S$36)*(1 - CUSTOS!$M$39)</f>
        <v>0</v>
      </c>
      <c r="T36" s="13">
        <f>('TUSD BE'!$U$36+'TUSD BF'!$U$36+'TUSD CVA'!$U$36)*(1 - CUSTOS!$M$39)</f>
        <v>0</v>
      </c>
      <c r="U36" s="13">
        <f>('TUSD BE'!$V$36+'TUSD BF'!$V$36+'TUSD CVA'!$V$36)*(1 - CUSTOS!$M$39)</f>
        <v>0</v>
      </c>
      <c r="V36" s="13">
        <f>('TUSD BE'!$W$36+'TUSD BF'!$W$36+'TUSD CVA'!$W$36)*(1 - CUSTOS!$M$39)</f>
        <v>0</v>
      </c>
      <c r="W36" s="13">
        <f>('TUSD BE'!$X$36+'TUSD BF'!$X$36+'TUSD CVA'!$X$36)*(1 - CUSTOS!$M$39)</f>
        <v>0</v>
      </c>
      <c r="X36" s="13">
        <f>('TUSD BE'!$Y$36+'TUSD BF'!$Y$36+'TUSD CVA'!$Y$36)*(1 - CUSTOS!$M$39)</f>
        <v>37.133980488141013</v>
      </c>
      <c r="Y36" s="13">
        <f>('TUSD BE'!$Z$36+'TUSD BF'!$Z$36+'TUSD CVA'!$Z$36)*(1 - CUSTOS!$M$39)</f>
        <v>0</v>
      </c>
      <c r="Z36" s="13">
        <f>('TUSD BE'!$AA$36+'TUSD BF'!$AA$36+'TUSD CVA'!$AA$36)*(1 - CUSTOS!$M$39)</f>
        <v>0</v>
      </c>
      <c r="AA36" s="13">
        <f>('TUSD BE'!$AC$36+'TUSD BF'!$AC$36+'TUSD CVA'!$AC$36)*(1 - CUSTOS!$M$39)</f>
        <v>120.50902713076647</v>
      </c>
      <c r="AB36" s="13">
        <f ca="1">('TUSD BE'!$AE$36+'TUSD BF'!$AE$36+'TUSD CVA'!$AE$36)*(1 - CUSTOS!$M$39)</f>
        <v>0</v>
      </c>
      <c r="AC36" s="13">
        <f ca="1">('TUSD BE'!$AF$36+'TUSD BF'!$AF$36+'TUSD CVA'!$AF$36)*(1 - CUSTOS!$M$39)</f>
        <v>0</v>
      </c>
      <c r="AD36" s="13">
        <f>('TUSD BE'!$AH$36+'TUSD BF'!$AH$36+'TUSD CVA'!$AH$36)*(1 - CUSTOS!$M$39)</f>
        <v>31.331733423303543</v>
      </c>
      <c r="AE36" s="13">
        <f>('TUSD BE'!$AI$36+'TUSD BF'!$AI$36+'TUSD CVA'!$AI$36)*(1 - CUSTOS!$M$39)</f>
        <v>0</v>
      </c>
      <c r="AF36" s="13">
        <f ca="1">('TUSD BE'!$AJ$36+'TUSD BF'!$AJ$36+'TUSD CVA'!$AJ$36)*(1 - CUSTOS!$M$39)</f>
        <v>4.1442146054336417</v>
      </c>
      <c r="AG36" s="13">
        <f ca="1">('TUSD BE'!$AK$36+'TUSD BF'!$AK$36+'TUSD CVA'!$AK$36)*(1 - CUSTOS!$M$39)</f>
        <v>0</v>
      </c>
      <c r="AI36" s="13">
        <v>0</v>
      </c>
      <c r="AJ36" s="13">
        <v>1.0136989287450899</v>
      </c>
      <c r="AK36" s="13">
        <v>0</v>
      </c>
      <c r="AL36" s="13">
        <v>0</v>
      </c>
      <c r="AM36" s="13">
        <v>0</v>
      </c>
      <c r="AN36" s="13">
        <v>49.902258752363899</v>
      </c>
      <c r="AO36" s="13">
        <v>7.7951526392638399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32.477808408255299</v>
      </c>
      <c r="AV36" s="13">
        <v>0</v>
      </c>
      <c r="AW36" s="13">
        <v>0</v>
      </c>
      <c r="AX36" s="13">
        <v>97.201998990676003</v>
      </c>
      <c r="AY36" s="13">
        <v>0</v>
      </c>
      <c r="AZ36" s="13">
        <v>0</v>
      </c>
      <c r="BA36" s="13">
        <v>44.7997331085543</v>
      </c>
      <c r="BB36" s="13">
        <v>0</v>
      </c>
      <c r="BC36" s="13">
        <v>2.8871908386633298</v>
      </c>
      <c r="BD36" s="13">
        <v>0</v>
      </c>
    </row>
    <row r="37" spans="1:56" ht="11.25" customHeight="1" x14ac:dyDescent="0.3">
      <c r="A37" s="95"/>
      <c r="B37" s="17" t="s">
        <v>23</v>
      </c>
      <c r="C37" s="17" t="s">
        <v>41</v>
      </c>
      <c r="D37" s="17" t="s">
        <v>95</v>
      </c>
      <c r="E37" s="17" t="s">
        <v>25</v>
      </c>
      <c r="F37" s="17" t="s">
        <v>25</v>
      </c>
      <c r="G37" s="18" t="s">
        <v>83</v>
      </c>
      <c r="H37" s="18" t="s">
        <v>79</v>
      </c>
      <c r="I37" s="18">
        <f>'MERCADO TUSD'!$U$34</f>
        <v>0</v>
      </c>
      <c r="J37" s="15"/>
      <c r="L37" s="13">
        <f>('TUSD BE'!$L$37+'TUSD BF'!$L$37+'TUSD CVA'!$L$37)*(1 - CUSTOS!$M$39)</f>
        <v>0</v>
      </c>
      <c r="M37" s="13">
        <f>('TUSD BE'!$M$37+'TUSD BF'!$M$37+'TUSD CVA'!$M$37)*(1 - CUSTOS!$M$39)</f>
        <v>1.3630356981789467</v>
      </c>
      <c r="N37" s="13">
        <f ca="1">('TUSD BE'!$N$37+'TUSD BF'!$N$37+'TUSD CVA'!$N$37)*(1 - CUSTOS!$M$39)</f>
        <v>0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85.891960694520193</v>
      </c>
      <c r="R37" s="13">
        <f>('TUSD BE'!$R$37+'TUSD BF'!$R$37+'TUSD CVA'!$R$37)*(1 - CUSTOS!$M$39)</f>
        <v>13.552535251054845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62.922208490688973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204.25251779391056</v>
      </c>
      <c r="AB37" s="13">
        <f ca="1">('TUSD BE'!$AE$37+'TUSD BF'!$AE$37+'TUSD CVA'!$AE$37)*(1 - CUSTOS!$M$39)</f>
        <v>0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31.331733423303543</v>
      </c>
      <c r="AE37" s="13">
        <f>('TUSD BE'!$AI$37+'TUSD BF'!$AI$37+'TUSD CVA'!$AI$37)*(1 - CUSTOS!$M$39)</f>
        <v>0</v>
      </c>
      <c r="AF37" s="13">
        <f ca="1">('TUSD BE'!$AJ$37+'TUSD BF'!$AJ$37+'TUSD CVA'!$AJ$37)*(1 - CUSTOS!$M$39)</f>
        <v>4.1442146054336417</v>
      </c>
      <c r="AG37" s="13">
        <f ca="1">('TUSD BE'!$AK$37+'TUSD BF'!$AK$37+'TUSD CVA'!$AK$37)*(1 - CUSTOS!$M$39)</f>
        <v>0</v>
      </c>
      <c r="AI37" s="13">
        <v>0</v>
      </c>
      <c r="AJ37" s="13">
        <v>1.0136989287450899</v>
      </c>
      <c r="AK37" s="13">
        <v>0</v>
      </c>
      <c r="AL37" s="13">
        <v>0</v>
      </c>
      <c r="AM37" s="13">
        <v>0</v>
      </c>
      <c r="AN37" s="13">
        <v>49.902258752363899</v>
      </c>
      <c r="AO37" s="13">
        <v>7.7951526392638399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55.037927495823901</v>
      </c>
      <c r="AV37" s="13">
        <v>0</v>
      </c>
      <c r="AW37" s="13">
        <v>0</v>
      </c>
      <c r="AX37" s="13">
        <v>164.74923499624401</v>
      </c>
      <c r="AY37" s="13">
        <v>0</v>
      </c>
      <c r="AZ37" s="13">
        <v>0</v>
      </c>
      <c r="BA37" s="13">
        <v>44.7997331085543</v>
      </c>
      <c r="BB37" s="13">
        <v>0</v>
      </c>
      <c r="BC37" s="13">
        <v>2.8871908386633298</v>
      </c>
      <c r="BD37" s="13">
        <v>0</v>
      </c>
    </row>
    <row r="38" spans="1:56" ht="11.25" customHeight="1" x14ac:dyDescent="0.3">
      <c r="A38" s="95"/>
      <c r="B38" s="95" t="s">
        <v>92</v>
      </c>
      <c r="C38" s="95" t="s">
        <v>41</v>
      </c>
      <c r="D38" s="95" t="s">
        <v>96</v>
      </c>
      <c r="E38" s="95" t="s">
        <v>25</v>
      </c>
      <c r="F38" s="95" t="s">
        <v>25</v>
      </c>
      <c r="G38" s="18" t="s">
        <v>80</v>
      </c>
      <c r="H38" s="18" t="s">
        <v>79</v>
      </c>
      <c r="I38" s="18">
        <f>'MERCADO TUSD'!$U$35</f>
        <v>0</v>
      </c>
      <c r="J38" s="15"/>
      <c r="L38" s="13">
        <f>('TUSD BE'!$L$38+'TUSD BF'!$L$38+'TUSD CVA'!$L$38)*(1 - CUSTOS!$M$40)</f>
        <v>0</v>
      </c>
      <c r="M38" s="13">
        <f>('TUSD BE'!$M$38+'TUSD BF'!$M$38+'TUSD CVA'!$M$38)*(1 - CUSTOS!$M$40)</f>
        <v>1.3340349386432246</v>
      </c>
      <c r="N38" s="13">
        <f ca="1">('TUSD BE'!$N$38+'TUSD BF'!$N$38+'TUSD CVA'!$N$38)*(1 - CUSTOS!$M$40)</f>
        <v>0</v>
      </c>
      <c r="O38" s="13">
        <f>('TUSD BE'!$O$38+'TUSD BF'!$O$38+'TUSD CVA'!$O$38)*(1 - CUSTOS!$M$40)</f>
        <v>0</v>
      </c>
      <c r="P38" s="13">
        <f>('TUSD BE'!$P$38+'TUSD BF'!$P$38+'TUSD CVA'!$P$38)*(1 - CUSTOS!$M$40)</f>
        <v>0</v>
      </c>
      <c r="Q38" s="13">
        <f>('TUSD BE'!$Q$38+'TUSD BF'!$Q$38+'TUSD CVA'!$Q$38)*(1 - CUSTOS!$M$40)</f>
        <v>84.064472169104874</v>
      </c>
      <c r="R38" s="13">
        <f>('TUSD BE'!$R$38+'TUSD BF'!$R$38+'TUSD CVA'!$R$38)*(1 - CUSTOS!$M$40)</f>
        <v>13.264183437202616</v>
      </c>
      <c r="S38" s="13">
        <f>('TUSD BE'!$S$38+'TUSD BF'!$S$38+'TUSD CVA'!$S$38)*(1 - CUSTOS!$M$40)</f>
        <v>0</v>
      </c>
      <c r="T38" s="13">
        <f>('TUSD BE'!$U$38+'TUSD BF'!$U$38+'TUSD CVA'!$U$38)*(1 - CUSTOS!$M$40)</f>
        <v>0</v>
      </c>
      <c r="U38" s="13">
        <f>('TUSD BE'!$V$38+'TUSD BF'!$V$38+'TUSD CVA'!$V$38)*(1 - CUSTOS!$M$40)</f>
        <v>0</v>
      </c>
      <c r="V38" s="13">
        <f>('TUSD BE'!$W$38+'TUSD BF'!$W$38+'TUSD CVA'!$W$38)*(1 - CUSTOS!$M$40)</f>
        <v>0</v>
      </c>
      <c r="W38" s="13">
        <f>('TUSD BE'!$X$38+'TUSD BF'!$X$38+'TUSD CVA'!$X$38)*(1 - CUSTOS!$M$40)</f>
        <v>0</v>
      </c>
      <c r="X38" s="13">
        <f>('TUSD BE'!$Y$38+'TUSD BF'!$Y$38+'TUSD CVA'!$Y$38)*(1 - CUSTOS!$M$40)</f>
        <v>181.64109531277958</v>
      </c>
      <c r="Y38" s="13">
        <f>('TUSD BE'!$Z$38+'TUSD BF'!$Z$38+'TUSD CVA'!$Z$38)*(1 - CUSTOS!$M$40)</f>
        <v>0</v>
      </c>
      <c r="Z38" s="13">
        <f>('TUSD BE'!$AA$38+'TUSD BF'!$AA$38+'TUSD CVA'!$AA$38)*(1 - CUSTOS!$M$40)</f>
        <v>0</v>
      </c>
      <c r="AA38" s="13">
        <f>('TUSD BE'!$AC$38+'TUSD BF'!$AC$38+'TUSD CVA'!$AC$38)*(1 - CUSTOS!$M$40)</f>
        <v>589.72485660725033</v>
      </c>
      <c r="AB38" s="13">
        <f ca="1">('TUSD BE'!$AE$38+'TUSD BF'!$AE$38+'TUSD CVA'!$AE$38)*(1 - CUSTOS!$M$40)</f>
        <v>0</v>
      </c>
      <c r="AC38" s="13">
        <f ca="1">('TUSD BE'!$AF$38+'TUSD BF'!$AF$38+'TUSD CVA'!$AF$38)*(1 - CUSTOS!$M$40)</f>
        <v>0</v>
      </c>
      <c r="AD38" s="13">
        <f>('TUSD BE'!$AH$38+'TUSD BF'!$AH$38+'TUSD CVA'!$AH$38)*(1 - CUSTOS!$M$40)</f>
        <v>30.665100797275812</v>
      </c>
      <c r="AE38" s="13">
        <f>('TUSD BE'!$AI$38+'TUSD BF'!$AI$38+'TUSD CVA'!$AI$38)*(1 - CUSTOS!$M$40)</f>
        <v>0</v>
      </c>
      <c r="AF38" s="13">
        <f ca="1">('TUSD BE'!$AJ$38+'TUSD BF'!$AJ$38+'TUSD CVA'!$AJ$38)*(1 - CUSTOS!$M$40)</f>
        <v>4.0560398265946285</v>
      </c>
      <c r="AG38" s="13">
        <f ca="1">('TUSD BE'!$AK$38+'TUSD BF'!$AK$38+'TUSD CVA'!$AK$38)*(1 - CUSTOS!$M$40)</f>
        <v>0</v>
      </c>
      <c r="AI38" s="13">
        <v>0</v>
      </c>
      <c r="AJ38" s="13">
        <v>0.967621704711219</v>
      </c>
      <c r="AK38" s="13">
        <v>0</v>
      </c>
      <c r="AL38" s="13">
        <v>0</v>
      </c>
      <c r="AM38" s="13">
        <v>0</v>
      </c>
      <c r="AN38" s="13">
        <v>47.633974263620097</v>
      </c>
      <c r="AO38" s="13">
        <v>7.4408275192972999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155.059890676967</v>
      </c>
      <c r="AV38" s="13">
        <v>0</v>
      </c>
      <c r="AW38" s="13">
        <v>0</v>
      </c>
      <c r="AX38" s="13">
        <v>463.918741778889</v>
      </c>
      <c r="AY38" s="13">
        <v>0</v>
      </c>
      <c r="AZ38" s="13">
        <v>0</v>
      </c>
      <c r="BA38" s="13">
        <v>42.763381603619997</v>
      </c>
      <c r="BB38" s="13">
        <v>0</v>
      </c>
      <c r="BC38" s="13">
        <v>2.7559548914513599</v>
      </c>
      <c r="BD38" s="13">
        <v>0</v>
      </c>
    </row>
    <row r="39" spans="1:56" ht="11.25" customHeight="1" x14ac:dyDescent="0.3">
      <c r="A39" s="95"/>
      <c r="B39" s="95"/>
      <c r="C39" s="95"/>
      <c r="D39" s="95"/>
      <c r="E39" s="95"/>
      <c r="F39" s="95"/>
      <c r="G39" s="18" t="s">
        <v>91</v>
      </c>
      <c r="H39" s="18" t="s">
        <v>79</v>
      </c>
      <c r="I39" s="18">
        <f>'MERCADO TUSD'!$U$36</f>
        <v>0</v>
      </c>
      <c r="J39" s="15"/>
      <c r="L39" s="13">
        <f>('TUSD BE'!$L$39+'TUSD BF'!$L$39+'TUSD CVA'!$L$39)*(1 - CUSTOS!$M$40)</f>
        <v>0</v>
      </c>
      <c r="M39" s="13">
        <f>('TUSD BE'!$M$39+'TUSD BF'!$M$39+'TUSD CVA'!$M$39)*(1 - CUSTOS!$M$40)</f>
        <v>1.3340349386432246</v>
      </c>
      <c r="N39" s="13">
        <f ca="1">('TUSD BE'!$N$39+'TUSD BF'!$N$39+'TUSD CVA'!$N$39)*(1 - CUSTOS!$M$40)</f>
        <v>0</v>
      </c>
      <c r="O39" s="13">
        <f>('TUSD BE'!$O$39+'TUSD BF'!$O$39+'TUSD CVA'!$O$39)*(1 - CUSTOS!$M$40)</f>
        <v>0</v>
      </c>
      <c r="P39" s="13">
        <f>('TUSD BE'!$P$39+'TUSD BF'!$P$39+'TUSD CVA'!$P$39)*(1 - CUSTOS!$M$40)</f>
        <v>0</v>
      </c>
      <c r="Q39" s="13">
        <f>('TUSD BE'!$Q$39+'TUSD BF'!$Q$39+'TUSD CVA'!$Q$39)*(1 - CUSTOS!$M$40)</f>
        <v>84.064472169104874</v>
      </c>
      <c r="R39" s="13">
        <f>('TUSD BE'!$R$39+'TUSD BF'!$R$39+'TUSD CVA'!$R$39)*(1 - CUSTOS!$M$40)</f>
        <v>13.264183437202616</v>
      </c>
      <c r="S39" s="13">
        <f>('TUSD BE'!$S$39+'TUSD BF'!$S$39+'TUSD CVA'!$S$39)*(1 - CUSTOS!$M$40)</f>
        <v>0</v>
      </c>
      <c r="T39" s="13">
        <f>('TUSD BE'!$U$39+'TUSD BF'!$U$39+'TUSD CVA'!$U$39)*(1 - CUSTOS!$M$40)</f>
        <v>0</v>
      </c>
      <c r="U39" s="13">
        <f>('TUSD BE'!$V$39+'TUSD BF'!$V$39+'TUSD CVA'!$V$39)*(1 - CUSTOS!$M$40)</f>
        <v>0</v>
      </c>
      <c r="V39" s="13">
        <f>('TUSD BE'!$W$39+'TUSD BF'!$W$39+'TUSD CVA'!$W$39)*(1 - CUSTOS!$M$40)</f>
        <v>0</v>
      </c>
      <c r="W39" s="13">
        <f>('TUSD BE'!$X$39+'TUSD BF'!$X$39+'TUSD CVA'!$X$39)*(1 - CUSTOS!$M$40)</f>
        <v>0</v>
      </c>
      <c r="X39" s="13">
        <f>('TUSD BE'!$Y$39+'TUSD BF'!$Y$39+'TUSD CVA'!$Y$39)*(1 - CUSTOS!$M$40)</f>
        <v>108.95330371897165</v>
      </c>
      <c r="Y39" s="13">
        <f>('TUSD BE'!$Z$39+'TUSD BF'!$Z$39+'TUSD CVA'!$Z$39)*(1 - CUSTOS!$M$40)</f>
        <v>0</v>
      </c>
      <c r="Z39" s="13">
        <f>('TUSD BE'!$AA$39+'TUSD BF'!$AA$39+'TUSD CVA'!$AA$39)*(1 - CUSTOS!$M$40)</f>
        <v>0</v>
      </c>
      <c r="AA39" s="13">
        <f>('TUSD BE'!$AC$39+'TUSD BF'!$AC$39+'TUSD CVA'!$AC$39)*(1 - CUSTOS!$M$40)</f>
        <v>353.83501583076117</v>
      </c>
      <c r="AB39" s="13">
        <f ca="1">('TUSD BE'!$AE$39+'TUSD BF'!$AE$39+'TUSD CVA'!$AE$39)*(1 - CUSTOS!$M$40)</f>
        <v>0</v>
      </c>
      <c r="AC39" s="13">
        <f ca="1">('TUSD BE'!$AF$39+'TUSD BF'!$AF$39+'TUSD CVA'!$AF$39)*(1 - CUSTOS!$M$40)</f>
        <v>0</v>
      </c>
      <c r="AD39" s="13">
        <f>('TUSD BE'!$AH$39+'TUSD BF'!$AH$39+'TUSD CVA'!$AH$39)*(1 - CUSTOS!$M$40)</f>
        <v>30.665100797275812</v>
      </c>
      <c r="AE39" s="13">
        <f>('TUSD BE'!$AI$39+'TUSD BF'!$AI$39+'TUSD CVA'!$AI$39)*(1 - CUSTOS!$M$40)</f>
        <v>0</v>
      </c>
      <c r="AF39" s="13">
        <f ca="1">('TUSD BE'!$AJ$39+'TUSD BF'!$AJ$39+'TUSD CVA'!$AJ$39)*(1 - CUSTOS!$M$40)</f>
        <v>4.0560398265946285</v>
      </c>
      <c r="AG39" s="13">
        <f ca="1">('TUSD BE'!$AK$39+'TUSD BF'!$AK$39+'TUSD CVA'!$AK$39)*(1 - CUSTOS!$M$40)</f>
        <v>0</v>
      </c>
      <c r="AI39" s="13">
        <v>0</v>
      </c>
      <c r="AJ39" s="13">
        <v>0.967621704711219</v>
      </c>
      <c r="AK39" s="13">
        <v>0</v>
      </c>
      <c r="AL39" s="13">
        <v>0</v>
      </c>
      <c r="AM39" s="13">
        <v>0</v>
      </c>
      <c r="AN39" s="13">
        <v>47.633974263620097</v>
      </c>
      <c r="AO39" s="13">
        <v>7.4408275192972999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93.030754532430706</v>
      </c>
      <c r="AV39" s="13">
        <v>0</v>
      </c>
      <c r="AW39" s="13">
        <v>0</v>
      </c>
      <c r="AX39" s="13">
        <v>278.35117892784501</v>
      </c>
      <c r="AY39" s="13">
        <v>0</v>
      </c>
      <c r="AZ39" s="13">
        <v>0</v>
      </c>
      <c r="BA39" s="13">
        <v>42.763381603619997</v>
      </c>
      <c r="BB39" s="13">
        <v>0</v>
      </c>
      <c r="BC39" s="13">
        <v>2.7559548914513599</v>
      </c>
      <c r="BD39" s="13">
        <v>0</v>
      </c>
    </row>
    <row r="40" spans="1:56" ht="11.25" customHeight="1" x14ac:dyDescent="0.3">
      <c r="A40" s="95"/>
      <c r="B40" s="95"/>
      <c r="C40" s="95"/>
      <c r="D40" s="95"/>
      <c r="E40" s="95"/>
      <c r="F40" s="95"/>
      <c r="G40" s="18" t="s">
        <v>81</v>
      </c>
      <c r="H40" s="18" t="s">
        <v>79</v>
      </c>
      <c r="I40" s="18">
        <f>'MERCADO TUSD'!$U$37</f>
        <v>0</v>
      </c>
      <c r="J40" s="15"/>
      <c r="L40" s="13">
        <f>('TUSD BE'!$L$40+'TUSD BF'!$L$40+'TUSD CVA'!$L$40)*(1 - CUSTOS!$M$40)</f>
        <v>0</v>
      </c>
      <c r="M40" s="13">
        <f>('TUSD BE'!$M$40+'TUSD BF'!$M$40+'TUSD CVA'!$M$40)*(1 - CUSTOS!$M$40)</f>
        <v>1.3340349386432246</v>
      </c>
      <c r="N40" s="13">
        <f ca="1">('TUSD BE'!$N$40+'TUSD BF'!$N$40+'TUSD CVA'!$N$40)*(1 - CUSTOS!$M$40)</f>
        <v>0</v>
      </c>
      <c r="O40" s="13">
        <f>('TUSD BE'!$O$40+'TUSD BF'!$O$40+'TUSD CVA'!$O$40)*(1 - CUSTOS!$M$40)</f>
        <v>0</v>
      </c>
      <c r="P40" s="13">
        <f>('TUSD BE'!$P$40+'TUSD BF'!$P$40+'TUSD CVA'!$P$40)*(1 - CUSTOS!$M$40)</f>
        <v>0</v>
      </c>
      <c r="Q40" s="13">
        <f>('TUSD BE'!$Q$40+'TUSD BF'!$Q$40+'TUSD CVA'!$Q$40)*(1 - CUSTOS!$M$40)</f>
        <v>84.064472169104874</v>
      </c>
      <c r="R40" s="13">
        <f>('TUSD BE'!$R$40+'TUSD BF'!$R$40+'TUSD CVA'!$R$40)*(1 - CUSTOS!$M$40)</f>
        <v>13.264183437202616</v>
      </c>
      <c r="S40" s="13">
        <f>('TUSD BE'!$S$40+'TUSD BF'!$S$40+'TUSD CVA'!$S$40)*(1 - CUSTOS!$M$40)</f>
        <v>0</v>
      </c>
      <c r="T40" s="13">
        <f>('TUSD BE'!$U$40+'TUSD BF'!$U$40+'TUSD CVA'!$U$40)*(1 - CUSTOS!$M$40)</f>
        <v>0</v>
      </c>
      <c r="U40" s="13">
        <f>('TUSD BE'!$V$40+'TUSD BF'!$V$40+'TUSD CVA'!$V$40)*(1 - CUSTOS!$M$40)</f>
        <v>0</v>
      </c>
      <c r="V40" s="13">
        <f>('TUSD BE'!$W$40+'TUSD BF'!$W$40+'TUSD CVA'!$W$40)*(1 - CUSTOS!$M$40)</f>
        <v>0</v>
      </c>
      <c r="W40" s="13">
        <f>('TUSD BE'!$X$40+'TUSD BF'!$X$40+'TUSD CVA'!$X$40)*(1 - CUSTOS!$M$40)</f>
        <v>0</v>
      </c>
      <c r="X40" s="13">
        <f>('TUSD BE'!$Y$40+'TUSD BF'!$Y$40+'TUSD CVA'!$Y$40)*(1 - CUSTOS!$M$40)</f>
        <v>36.343895796903972</v>
      </c>
      <c r="Y40" s="13">
        <f>('TUSD BE'!$Z$40+'TUSD BF'!$Z$40+'TUSD CVA'!$Z$40)*(1 - CUSTOS!$M$40)</f>
        <v>0</v>
      </c>
      <c r="Z40" s="13">
        <f>('TUSD BE'!$AA$40+'TUSD BF'!$AA$40+'TUSD CVA'!$AA$40)*(1 - CUSTOS!$M$40)</f>
        <v>0</v>
      </c>
      <c r="AA40" s="13">
        <f>('TUSD BE'!$AC$40+'TUSD BF'!$AC$40+'TUSD CVA'!$AC$40)*(1 - CUSTOS!$M$40)</f>
        <v>117.9450052769204</v>
      </c>
      <c r="AB40" s="13">
        <f ca="1">('TUSD BE'!$AE$40+'TUSD BF'!$AE$40+'TUSD CVA'!$AE$40)*(1 - CUSTOS!$M$40)</f>
        <v>0</v>
      </c>
      <c r="AC40" s="13">
        <f ca="1">('TUSD BE'!$AF$40+'TUSD BF'!$AF$40+'TUSD CVA'!$AF$40)*(1 - CUSTOS!$M$40)</f>
        <v>0</v>
      </c>
      <c r="AD40" s="13">
        <f>('TUSD BE'!$AH$40+'TUSD BF'!$AH$40+'TUSD CVA'!$AH$40)*(1 - CUSTOS!$M$40)</f>
        <v>30.665100797275812</v>
      </c>
      <c r="AE40" s="13">
        <f>('TUSD BE'!$AI$40+'TUSD BF'!$AI$40+'TUSD CVA'!$AI$40)*(1 - CUSTOS!$M$40)</f>
        <v>0</v>
      </c>
      <c r="AF40" s="13">
        <f ca="1">('TUSD BE'!$AJ$40+'TUSD BF'!$AJ$40+'TUSD CVA'!$AJ$40)*(1 - CUSTOS!$M$40)</f>
        <v>4.0560398265946285</v>
      </c>
      <c r="AG40" s="13">
        <f ca="1">('TUSD BE'!$AK$40+'TUSD BF'!$AK$40+'TUSD CVA'!$AK$40)*(1 - CUSTOS!$M$40)</f>
        <v>0</v>
      </c>
      <c r="AI40" s="13">
        <v>0</v>
      </c>
      <c r="AJ40" s="13">
        <v>0.967621704711219</v>
      </c>
      <c r="AK40" s="13">
        <v>0</v>
      </c>
      <c r="AL40" s="13">
        <v>0</v>
      </c>
      <c r="AM40" s="13">
        <v>0</v>
      </c>
      <c r="AN40" s="13">
        <v>47.633974263620097</v>
      </c>
      <c r="AO40" s="13">
        <v>7.4408275192972999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31.001544389698299</v>
      </c>
      <c r="AV40" s="13">
        <v>0</v>
      </c>
      <c r="AW40" s="13">
        <v>0</v>
      </c>
      <c r="AX40" s="13">
        <v>92.783726309281704</v>
      </c>
      <c r="AY40" s="13">
        <v>0</v>
      </c>
      <c r="AZ40" s="13">
        <v>0</v>
      </c>
      <c r="BA40" s="13">
        <v>42.763381603619997</v>
      </c>
      <c r="BB40" s="13">
        <v>0</v>
      </c>
      <c r="BC40" s="13">
        <v>2.7559548914513599</v>
      </c>
      <c r="BD40" s="13">
        <v>0</v>
      </c>
    </row>
    <row r="41" spans="1:56" ht="11.25" customHeight="1" x14ac:dyDescent="0.3">
      <c r="A41" s="95"/>
      <c r="B41" s="17" t="s">
        <v>23</v>
      </c>
      <c r="C41" s="17" t="s">
        <v>41</v>
      </c>
      <c r="D41" s="17" t="s">
        <v>96</v>
      </c>
      <c r="E41" s="17" t="s">
        <v>25</v>
      </c>
      <c r="F41" s="17" t="s">
        <v>25</v>
      </c>
      <c r="G41" s="18" t="s">
        <v>83</v>
      </c>
      <c r="H41" s="18" t="s">
        <v>79</v>
      </c>
      <c r="I41" s="18">
        <f>'MERCADO TUSD'!$U$38</f>
        <v>0</v>
      </c>
      <c r="J41" s="15"/>
      <c r="L41" s="13">
        <f>('TUSD BE'!$L$41+'TUSD BF'!$L$41+'TUSD CVA'!$L$41)*(1 - CUSTOS!$M$40)</f>
        <v>0</v>
      </c>
      <c r="M41" s="13">
        <f>('TUSD BE'!$M$41+'TUSD BF'!$M$41+'TUSD CVA'!$M$41)*(1 - CUSTOS!$M$40)</f>
        <v>1.3340349386432246</v>
      </c>
      <c r="N41" s="13">
        <f ca="1">('TUSD BE'!$N$41+'TUSD BF'!$N$41+'TUSD CVA'!$N$41)*(1 - CUSTOS!$M$40)</f>
        <v>0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84.064472169104874</v>
      </c>
      <c r="R41" s="13">
        <f>('TUSD BE'!$R$41+'TUSD BF'!$R$41+'TUSD CVA'!$R$41)*(1 - CUSTOS!$M$40)</f>
        <v>13.264183437202616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61.583438097270069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199.9067195429763</v>
      </c>
      <c r="AB41" s="13">
        <f ca="1">('TUSD BE'!$AE$41+'TUSD BF'!$AE$41+'TUSD CVA'!$AE$41)*(1 - CUSTOS!$M$40)</f>
        <v>0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30.665100797275812</v>
      </c>
      <c r="AE41" s="13">
        <f>('TUSD BE'!$AI$41+'TUSD BF'!$AI$41+'TUSD CVA'!$AI$41)*(1 - CUSTOS!$M$40)</f>
        <v>0</v>
      </c>
      <c r="AF41" s="13">
        <f ca="1">('TUSD BE'!$AJ$41+'TUSD BF'!$AJ$41+'TUSD CVA'!$AJ$41)*(1 - CUSTOS!$M$40)</f>
        <v>4.0560398265946285</v>
      </c>
      <c r="AG41" s="13">
        <f ca="1">('TUSD BE'!$AK$41+'TUSD BF'!$AK$41+'TUSD CVA'!$AK$41)*(1 - CUSTOS!$M$40)</f>
        <v>0</v>
      </c>
      <c r="AI41" s="13">
        <v>0</v>
      </c>
      <c r="AJ41" s="13">
        <v>0.967621704711219</v>
      </c>
      <c r="AK41" s="13">
        <v>0</v>
      </c>
      <c r="AL41" s="13">
        <v>0</v>
      </c>
      <c r="AM41" s="13">
        <v>0</v>
      </c>
      <c r="AN41" s="13">
        <v>47.633974263620097</v>
      </c>
      <c r="AO41" s="13">
        <v>7.4408275192972999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52.536203518740898</v>
      </c>
      <c r="AV41" s="13">
        <v>0</v>
      </c>
      <c r="AW41" s="13">
        <v>0</v>
      </c>
      <c r="AX41" s="13">
        <v>157.26063340550601</v>
      </c>
      <c r="AY41" s="13">
        <v>0</v>
      </c>
      <c r="AZ41" s="13">
        <v>0</v>
      </c>
      <c r="BA41" s="13">
        <v>42.763381603619997</v>
      </c>
      <c r="BB41" s="13">
        <v>0</v>
      </c>
      <c r="BC41" s="13">
        <v>2.7559548914513599</v>
      </c>
      <c r="BD41" s="13">
        <v>0</v>
      </c>
    </row>
    <row r="42" spans="1:56" ht="11.25" customHeight="1" x14ac:dyDescent="0.3">
      <c r="A42" s="95"/>
      <c r="B42" s="95" t="s">
        <v>94</v>
      </c>
      <c r="C42" s="95" t="s">
        <v>41</v>
      </c>
      <c r="D42" s="17" t="s">
        <v>25</v>
      </c>
      <c r="E42" s="17" t="s">
        <v>25</v>
      </c>
      <c r="F42" s="17" t="s">
        <v>25</v>
      </c>
      <c r="G42" s="18" t="s">
        <v>83</v>
      </c>
      <c r="H42" s="18" t="s">
        <v>79</v>
      </c>
      <c r="I42" s="18">
        <f>'MERCADO TUSD'!$U$39</f>
        <v>0</v>
      </c>
      <c r="J42" s="15"/>
      <c r="L42" s="13">
        <f>('TUSD BE'!$L$42+'TUSD BF'!$L$42+'TUSD CVA'!$L$42)*(1 - CUSTOS!$M$38)</f>
        <v>0</v>
      </c>
      <c r="M42" s="13">
        <f>('TUSD BE'!$M$42+'TUSD BF'!$M$42+'TUSD CVA'!$M$42)*(1 - CUSTOS!$M$38)</f>
        <v>1.3630356981789467</v>
      </c>
      <c r="N42" s="13">
        <f ca="1">('TUSD BE'!$N$42+'TUSD BF'!$N$42+'TUSD CVA'!$N$42)*(1 - CUSTOS!$M$38)</f>
        <v>0</v>
      </c>
      <c r="O42" s="13">
        <f>('TUSD BE'!$O$42+'TUSD BF'!$O$42+'TUSD CVA'!$O$42)*(1 - CUSTOS!$M$38)</f>
        <v>0</v>
      </c>
      <c r="P42" s="13">
        <f>('TUSD BE'!$P$42+'TUSD BF'!$P$42+'TUSD CVA'!$P$42)*(1 - CUSTOS!$M$38)</f>
        <v>0</v>
      </c>
      <c r="Q42" s="13">
        <f>('TUSD BE'!$Q$42+'TUSD BF'!$Q$42+'TUSD CVA'!$Q$42)*(1 - CUSTOS!$M$38)</f>
        <v>85.891960694520193</v>
      </c>
      <c r="R42" s="13">
        <f>('TUSD BE'!$R$42+'TUSD BF'!$R$42+'TUSD CVA'!$R$42)*(1 - CUSTOS!$M$38)</f>
        <v>13.552535251054845</v>
      </c>
      <c r="S42" s="13">
        <f>('TUSD BE'!$S$42+'TUSD BF'!$S$42+'TUSD CVA'!$S$42)*(1 - CUSTOS!$M$38)</f>
        <v>0</v>
      </c>
      <c r="T42" s="13">
        <f>('TUSD BE'!$U$42+'TUSD BF'!$U$42+'TUSD CVA'!$U$42)*(1 - CUSTOS!$M$38)</f>
        <v>0</v>
      </c>
      <c r="U42" s="13">
        <f>('TUSD BE'!$V$42+'TUSD BF'!$V$42+'TUSD CVA'!$V$42)*(1 - CUSTOS!$M$38)</f>
        <v>0</v>
      </c>
      <c r="V42" s="13">
        <f>('TUSD BE'!$W$42+'TUSD BF'!$W$42+'TUSD CVA'!$W$42)*(1 - CUSTOS!$M$38)</f>
        <v>0</v>
      </c>
      <c r="W42" s="13">
        <f>('TUSD BE'!$X$42+'TUSD BF'!$X$42+'TUSD CVA'!$X$42)*(1 - CUSTOS!$M$38)</f>
        <v>0</v>
      </c>
      <c r="X42" s="13">
        <f>('TUSD BE'!$Y$42+'TUSD BF'!$Y$42+'TUSD CVA'!$Y$42)*(1 - CUSTOS!$M$38)</f>
        <v>62.922208490688973</v>
      </c>
      <c r="Y42" s="13">
        <f>('TUSD BE'!$Z$42+'TUSD BF'!$Z$42+'TUSD CVA'!$Z$42)*(1 - CUSTOS!$M$38)</f>
        <v>0</v>
      </c>
      <c r="Z42" s="13">
        <f>('TUSD BE'!$AA$42+'TUSD BF'!$AA$42+'TUSD CVA'!$AA$42)*(1 - CUSTOS!$M$38)</f>
        <v>0</v>
      </c>
      <c r="AA42" s="13">
        <f>('TUSD BE'!$AC$42+'TUSD BF'!$AC$42+'TUSD CVA'!$AC$42)*(1 - CUSTOS!$M$38)</f>
        <v>204.25251779391056</v>
      </c>
      <c r="AB42" s="13">
        <f ca="1">('TUSD BE'!$AE$42+'TUSD BF'!$AE$42+'TUSD CVA'!$AE$42)*(1 - CUSTOS!$M$38)</f>
        <v>0</v>
      </c>
      <c r="AC42" s="13">
        <f ca="1">('TUSD BE'!$AF$42+'TUSD BF'!$AF$42+'TUSD CVA'!$AF$42)*(1 - CUSTOS!$M$38)</f>
        <v>0</v>
      </c>
      <c r="AD42" s="13">
        <f>('TUSD BE'!$AH$42+'TUSD BF'!$AH$42+'TUSD CVA'!$AH$42)*(1 - CUSTOS!$M$38)</f>
        <v>31.331733423303543</v>
      </c>
      <c r="AE42" s="13">
        <f>('TUSD BE'!$AI$42+'TUSD BF'!$AI$42+'TUSD CVA'!$AI$42)*(1 - CUSTOS!$M$38)</f>
        <v>0</v>
      </c>
      <c r="AF42" s="13">
        <f ca="1">('TUSD BE'!$AJ$42+'TUSD BF'!$AJ$42+'TUSD CVA'!$AJ$42)*(1 - CUSTOS!$M$38)</f>
        <v>4.1442146054336417</v>
      </c>
      <c r="AG42" s="13">
        <f ca="1">('TUSD BE'!$AK$42+'TUSD BF'!$AK$42+'TUSD CVA'!$AK$42)*(1 - CUSTOS!$M$38)</f>
        <v>0</v>
      </c>
      <c r="AI42" s="13">
        <v>0</v>
      </c>
      <c r="AJ42" s="13">
        <v>1.0136989287450899</v>
      </c>
      <c r="AK42" s="13">
        <v>0</v>
      </c>
      <c r="AL42" s="13">
        <v>0</v>
      </c>
      <c r="AM42" s="13">
        <v>0</v>
      </c>
      <c r="AN42" s="13">
        <v>49.902258752363899</v>
      </c>
      <c r="AO42" s="13">
        <v>7.7951526392638399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55.037927495823901</v>
      </c>
      <c r="AV42" s="13">
        <v>0</v>
      </c>
      <c r="AW42" s="13">
        <v>0</v>
      </c>
      <c r="AX42" s="13">
        <v>164.74923499624401</v>
      </c>
      <c r="AY42" s="13">
        <v>0</v>
      </c>
      <c r="AZ42" s="13">
        <v>0</v>
      </c>
      <c r="BA42" s="13">
        <v>44.7997331085543</v>
      </c>
      <c r="BB42" s="13">
        <v>0</v>
      </c>
      <c r="BC42" s="13">
        <v>2.8871908386633298</v>
      </c>
      <c r="BD42" s="13">
        <v>0</v>
      </c>
    </row>
    <row r="43" spans="1:56" ht="11.25" customHeight="1" x14ac:dyDescent="0.3">
      <c r="A43" s="95"/>
      <c r="B43" s="95"/>
      <c r="C43" s="95"/>
      <c r="D43" s="17" t="s">
        <v>95</v>
      </c>
      <c r="E43" s="17" t="s">
        <v>25</v>
      </c>
      <c r="F43" s="17" t="s">
        <v>25</v>
      </c>
      <c r="G43" s="18" t="s">
        <v>83</v>
      </c>
      <c r="H43" s="18" t="s">
        <v>79</v>
      </c>
      <c r="I43" s="18">
        <f>'MERCADO TUSD'!$U$40</f>
        <v>0</v>
      </c>
      <c r="J43" s="15"/>
      <c r="L43" s="13">
        <f>('TUSD BE'!$L$43+'TUSD BF'!$L$43+'TUSD CVA'!$L$43)*(1 - CUSTOS!$M$39)</f>
        <v>0</v>
      </c>
      <c r="M43" s="13">
        <f>('TUSD BE'!$M$43+'TUSD BF'!$M$43+'TUSD CVA'!$M$43)*(1 - CUSTOS!$M$39)</f>
        <v>1.3630356981789467</v>
      </c>
      <c r="N43" s="13">
        <f ca="1">('TUSD BE'!$N$43+'TUSD BF'!$N$43+'TUSD CVA'!$N$43)*(1 - CUSTOS!$M$39)</f>
        <v>0</v>
      </c>
      <c r="O43" s="13">
        <f>('TUSD BE'!$O$43+'TUSD BF'!$O$43+'TUSD CVA'!$O$43)*(1 - CUSTOS!$M$39)</f>
        <v>0</v>
      </c>
      <c r="P43" s="13">
        <f>('TUSD BE'!$P$43+'TUSD BF'!$P$43+'TUSD CVA'!$P$43)*(1 - CUSTOS!$M$39)</f>
        <v>0</v>
      </c>
      <c r="Q43" s="13">
        <f>('TUSD BE'!$Q$43+'TUSD BF'!$Q$43+'TUSD CVA'!$Q$43)*(1 - CUSTOS!$M$39)</f>
        <v>85.891960694520193</v>
      </c>
      <c r="R43" s="13">
        <f>('TUSD BE'!$R$43+'TUSD BF'!$R$43+'TUSD CVA'!$R$43)*(1 - CUSTOS!$M$39)</f>
        <v>13.552535251054845</v>
      </c>
      <c r="S43" s="13">
        <f>('TUSD BE'!$S$43+'TUSD BF'!$S$43+'TUSD CVA'!$S$43)*(1 - CUSTOS!$M$39)</f>
        <v>0</v>
      </c>
      <c r="T43" s="13">
        <f>('TUSD BE'!$U$43+'TUSD BF'!$U$43+'TUSD CVA'!$U$43)*(1 - CUSTOS!$M$39)</f>
        <v>0</v>
      </c>
      <c r="U43" s="13">
        <f>('TUSD BE'!$V$43+'TUSD BF'!$V$43+'TUSD CVA'!$V$43)*(1 - CUSTOS!$M$39)</f>
        <v>0</v>
      </c>
      <c r="V43" s="13">
        <f>('TUSD BE'!$W$43+'TUSD BF'!$W$43+'TUSD CVA'!$W$43)*(1 - CUSTOS!$M$39)</f>
        <v>0</v>
      </c>
      <c r="W43" s="13">
        <f>('TUSD BE'!$X$43+'TUSD BF'!$X$43+'TUSD CVA'!$X$43)*(1 - CUSTOS!$M$39)</f>
        <v>0</v>
      </c>
      <c r="X43" s="13">
        <f>('TUSD BE'!$Y$43+'TUSD BF'!$Y$43+'TUSD CVA'!$Y$43)*(1 - CUSTOS!$M$39)</f>
        <v>62.922208490688973</v>
      </c>
      <c r="Y43" s="13">
        <f>('TUSD BE'!$Z$43+'TUSD BF'!$Z$43+'TUSD CVA'!$Z$43)*(1 - CUSTOS!$M$39)</f>
        <v>0</v>
      </c>
      <c r="Z43" s="13">
        <f>('TUSD BE'!$AA$43+'TUSD BF'!$AA$43+'TUSD CVA'!$AA$43)*(1 - CUSTOS!$M$39)</f>
        <v>0</v>
      </c>
      <c r="AA43" s="13">
        <f>('TUSD BE'!$AC$43+'TUSD BF'!$AC$43+'TUSD CVA'!$AC$43)*(1 - CUSTOS!$M$39)</f>
        <v>204.25251779391056</v>
      </c>
      <c r="AB43" s="13">
        <f ca="1">('TUSD BE'!$AE$43+'TUSD BF'!$AE$43+'TUSD CVA'!$AE$43)*(1 - CUSTOS!$M$39)</f>
        <v>0</v>
      </c>
      <c r="AC43" s="13">
        <f ca="1">('TUSD BE'!$AF$43+'TUSD BF'!$AF$43+'TUSD CVA'!$AF$43)*(1 - CUSTOS!$M$39)</f>
        <v>0</v>
      </c>
      <c r="AD43" s="13">
        <f>('TUSD BE'!$AH$43+'TUSD BF'!$AH$43+'TUSD CVA'!$AH$43)*(1 - CUSTOS!$M$39)</f>
        <v>31.331733423303543</v>
      </c>
      <c r="AE43" s="13">
        <f>('TUSD BE'!$AI$43+'TUSD BF'!$AI$43+'TUSD CVA'!$AI$43)*(1 - CUSTOS!$M$39)</f>
        <v>0</v>
      </c>
      <c r="AF43" s="13">
        <f ca="1">('TUSD BE'!$AJ$43+'TUSD BF'!$AJ$43+'TUSD CVA'!$AJ$43)*(1 - CUSTOS!$M$39)</f>
        <v>4.1442146054336417</v>
      </c>
      <c r="AG43" s="13">
        <f ca="1">('TUSD BE'!$AK$43+'TUSD BF'!$AK$43+'TUSD CVA'!$AK$43)*(1 - CUSTOS!$M$39)</f>
        <v>0</v>
      </c>
      <c r="AI43" s="13">
        <v>0</v>
      </c>
      <c r="AJ43" s="13">
        <v>1.0136989287450899</v>
      </c>
      <c r="AK43" s="13">
        <v>0</v>
      </c>
      <c r="AL43" s="13">
        <v>0</v>
      </c>
      <c r="AM43" s="13">
        <v>0</v>
      </c>
      <c r="AN43" s="13">
        <v>49.902258752363899</v>
      </c>
      <c r="AO43" s="13">
        <v>7.7951526392638399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55.037927495823901</v>
      </c>
      <c r="AV43" s="13">
        <v>0</v>
      </c>
      <c r="AW43" s="13">
        <v>0</v>
      </c>
      <c r="AX43" s="13">
        <v>164.74923499624401</v>
      </c>
      <c r="AY43" s="13">
        <v>0</v>
      </c>
      <c r="AZ43" s="13">
        <v>0</v>
      </c>
      <c r="BA43" s="13">
        <v>44.7997331085543</v>
      </c>
      <c r="BB43" s="13">
        <v>0</v>
      </c>
      <c r="BC43" s="13">
        <v>2.8871908386633298</v>
      </c>
      <c r="BD43" s="13">
        <v>0</v>
      </c>
    </row>
    <row r="44" spans="1:56" ht="11.25" customHeight="1" x14ac:dyDescent="0.3">
      <c r="A44" s="95"/>
      <c r="B44" s="95"/>
      <c r="C44" s="95"/>
      <c r="D44" s="17" t="s">
        <v>96</v>
      </c>
      <c r="E44" s="17" t="s">
        <v>25</v>
      </c>
      <c r="F44" s="17" t="s">
        <v>25</v>
      </c>
      <c r="G44" s="18" t="s">
        <v>83</v>
      </c>
      <c r="H44" s="18" t="s">
        <v>79</v>
      </c>
      <c r="I44" s="18">
        <f>'MERCADO TUSD'!$U$41</f>
        <v>0</v>
      </c>
      <c r="J44" s="15"/>
      <c r="L44" s="13">
        <f>('TUSD BE'!$L$44+'TUSD BF'!$L$44+'TUSD CVA'!$L$44)*(1 - CUSTOS!$M$40)</f>
        <v>0</v>
      </c>
      <c r="M44" s="13">
        <f>('TUSD BE'!$M$44+'TUSD BF'!$M$44+'TUSD CVA'!$M$44)*(1 - CUSTOS!$M$40)</f>
        <v>1.3340349386432246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84.064472169104874</v>
      </c>
      <c r="R44" s="13">
        <f>('TUSD BE'!$R$44+'TUSD BF'!$R$44+'TUSD CVA'!$R$44)*(1 - CUSTOS!$M$40)</f>
        <v>13.264183437202616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61.583438097270069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199.9067195429763</v>
      </c>
      <c r="AB44" s="13">
        <f ca="1">('TUSD BE'!$AE$44+'TUSD BF'!$AE$44+'TUSD CVA'!$AE$44)*(1 - CUSTOS!$M$40)</f>
        <v>0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30.665100797275812</v>
      </c>
      <c r="AE44" s="13">
        <f>('TUSD BE'!$AI$44+'TUSD BF'!$AI$44+'TUSD CVA'!$AI$44)*(1 - CUSTOS!$M$40)</f>
        <v>0</v>
      </c>
      <c r="AF44" s="13">
        <f ca="1">('TUSD BE'!$AJ$44+'TUSD BF'!$AJ$44+'TUSD CVA'!$AJ$44)*(1 - CUSTOS!$M$40)</f>
        <v>4.0560398265946285</v>
      </c>
      <c r="AG44" s="13">
        <f ca="1">('TUSD BE'!$AK$44+'TUSD BF'!$AK$44+'TUSD CVA'!$AK$44)*(1 - CUSTOS!$M$40)</f>
        <v>0</v>
      </c>
      <c r="AI44" s="13">
        <v>0</v>
      </c>
      <c r="AJ44" s="13">
        <v>0.967621704711219</v>
      </c>
      <c r="AK44" s="13">
        <v>0</v>
      </c>
      <c r="AL44" s="13">
        <v>0</v>
      </c>
      <c r="AM44" s="13">
        <v>0</v>
      </c>
      <c r="AN44" s="13">
        <v>47.633974263620097</v>
      </c>
      <c r="AO44" s="13">
        <v>7.4408275192972999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52.536203518740898</v>
      </c>
      <c r="AV44" s="13">
        <v>0</v>
      </c>
      <c r="AW44" s="13">
        <v>0</v>
      </c>
      <c r="AX44" s="13">
        <v>157.26063340550601</v>
      </c>
      <c r="AY44" s="13">
        <v>0</v>
      </c>
      <c r="AZ44" s="13">
        <v>0</v>
      </c>
      <c r="BA44" s="13">
        <v>42.763381603619997</v>
      </c>
      <c r="BB44" s="13">
        <v>0</v>
      </c>
      <c r="BC44" s="13">
        <v>2.7559548914513599</v>
      </c>
      <c r="BD44" s="13">
        <v>0</v>
      </c>
    </row>
    <row r="45" spans="1:56" ht="11.25" customHeight="1" x14ac:dyDescent="0.3">
      <c r="A45" s="95" t="s">
        <v>32</v>
      </c>
      <c r="B45" s="95" t="s">
        <v>92</v>
      </c>
      <c r="C45" s="95" t="s">
        <v>25</v>
      </c>
      <c r="D45" s="95" t="s">
        <v>25</v>
      </c>
      <c r="E45" s="95" t="s">
        <v>25</v>
      </c>
      <c r="F45" s="95" t="s">
        <v>25</v>
      </c>
      <c r="G45" s="18" t="s">
        <v>80</v>
      </c>
      <c r="H45" s="18" t="s">
        <v>79</v>
      </c>
      <c r="I45" s="18">
        <f>'MERCADO TUSD'!$U$42</f>
        <v>0</v>
      </c>
      <c r="J45" s="15"/>
      <c r="L45" s="13">
        <f>('TUSD BE'!$L$45+'TUSD BF'!$L$45+'TUSD CVA'!$L$45)*1</f>
        <v>0</v>
      </c>
      <c r="M45" s="13">
        <f>('TUSD BE'!$M$45+'TUSD BF'!$M$45+'TUSD CVA'!$M$45)*1</f>
        <v>1.4500379767861136</v>
      </c>
      <c r="N45" s="13">
        <f ca="1">('TUSD BE'!$N$45+'TUSD BF'!$N$45+'TUSD CVA'!$N$45)*1</f>
        <v>0</v>
      </c>
      <c r="O45" s="13">
        <f>('TUSD BE'!$O$45+'TUSD BF'!$O$45+'TUSD CVA'!$O$45)*1</f>
        <v>0</v>
      </c>
      <c r="P45" s="13">
        <f>('TUSD BE'!$P$45+'TUSD BF'!$P$45+'TUSD CVA'!$P$45)*1</f>
        <v>0</v>
      </c>
      <c r="Q45" s="13">
        <f>('TUSD BE'!$Q$45+'TUSD BF'!$Q$45+'TUSD CVA'!$Q$45)*1</f>
        <v>91.374426270766165</v>
      </c>
      <c r="R45" s="13">
        <f>('TUSD BE'!$R$45+'TUSD BF'!$R$45+'TUSD CVA'!$R$45)*1</f>
        <v>14.417590692611538</v>
      </c>
      <c r="S45" s="13">
        <f>('TUSD BE'!$S$45+'TUSD BF'!$S$45+'TUSD CVA'!$S$45)*1</f>
        <v>0</v>
      </c>
      <c r="T45" s="13">
        <f>('TUSD BE'!$U$45+'TUSD BF'!$U$45+'TUSD CVA'!$U$45)*1</f>
        <v>0</v>
      </c>
      <c r="U45" s="13">
        <f>('TUSD BE'!$V$45+'TUSD BF'!$V$45+'TUSD CVA'!$V$45)*1</f>
        <v>0</v>
      </c>
      <c r="V45" s="13">
        <f>('TUSD BE'!$W$45+'TUSD BF'!$W$45+'TUSD CVA'!$W$45)*1</f>
        <v>0</v>
      </c>
      <c r="W45" s="13">
        <f>('TUSD BE'!$X$45+'TUSD BF'!$X$45+'TUSD CVA'!$X$45)*1</f>
        <v>0</v>
      </c>
      <c r="X45" s="13">
        <f>('TUSD BE'!$Y$45+'TUSD BF'!$Y$45+'TUSD CVA'!$Y$45)*1</f>
        <v>227.53984709529789</v>
      </c>
      <c r="Y45" s="13">
        <f>('TUSD BE'!$Z$45+'TUSD BF'!$Z$45+'TUSD CVA'!$Z$45)*1</f>
        <v>0</v>
      </c>
      <c r="Z45" s="13">
        <f>('TUSD BE'!$AA$45+'TUSD BF'!$AA$45+'TUSD CVA'!$AA$45)*1</f>
        <v>0</v>
      </c>
      <c r="AA45" s="13">
        <f>('TUSD BE'!$AC$45+'TUSD BF'!$AC$45+'TUSD CVA'!$AC$45)*1</f>
        <v>738.78577647506518</v>
      </c>
      <c r="AB45" s="13">
        <f ca="1">('TUSD BE'!$AE$45+'TUSD BF'!$AE$45+'TUSD CVA'!$AE$45)*1</f>
        <v>0</v>
      </c>
      <c r="AC45" s="13">
        <f ca="1">('TUSD BE'!$AF$45+'TUSD BF'!$AF$45+'TUSD CVA'!$AF$45)*1</f>
        <v>0</v>
      </c>
      <c r="AD45" s="13">
        <f>('TUSD BE'!$AH$45+'TUSD BF'!$AH$45+'TUSD CVA'!$AH$45)*1</f>
        <v>33.33163130138675</v>
      </c>
      <c r="AE45" s="13">
        <f>('TUSD BE'!$AI$45+'TUSD BF'!$AI$45+'TUSD CVA'!$AI$45)*1</f>
        <v>0</v>
      </c>
      <c r="AF45" s="13">
        <f ca="1">('TUSD BE'!$AJ$45+'TUSD BF'!$AJ$45+'TUSD CVA'!$AJ$45)*1</f>
        <v>4.4087389419506833</v>
      </c>
      <c r="AG45" s="13">
        <f ca="1">('TUSD BE'!$AK$45+'TUSD BF'!$AK$45+'TUSD CVA'!$AK$45)*1</f>
        <v>0</v>
      </c>
      <c r="AI45" s="13">
        <v>0</v>
      </c>
      <c r="AJ45" s="13">
        <v>1.1519306008466901</v>
      </c>
      <c r="AK45" s="13">
        <v>0</v>
      </c>
      <c r="AL45" s="13">
        <v>0</v>
      </c>
      <c r="AM45" s="13">
        <v>0</v>
      </c>
      <c r="AN45" s="13">
        <v>56.707112218595398</v>
      </c>
      <c r="AO45" s="13">
        <v>8.8581279991634503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215.897666430329</v>
      </c>
      <c r="AV45" s="13">
        <v>0</v>
      </c>
      <c r="AW45" s="13">
        <v>0</v>
      </c>
      <c r="AX45" s="13">
        <v>645.89147382938097</v>
      </c>
      <c r="AY45" s="13">
        <v>0</v>
      </c>
      <c r="AZ45" s="13">
        <v>0</v>
      </c>
      <c r="BA45" s="13">
        <v>50.9087876233571</v>
      </c>
      <c r="BB45" s="13">
        <v>0</v>
      </c>
      <c r="BC45" s="13">
        <v>3.2808986802992401</v>
      </c>
      <c r="BD45" s="13">
        <v>0</v>
      </c>
    </row>
    <row r="46" spans="1:56" ht="11.25" customHeight="1" x14ac:dyDescent="0.3">
      <c r="A46" s="95"/>
      <c r="B46" s="95"/>
      <c r="C46" s="95"/>
      <c r="D46" s="95"/>
      <c r="E46" s="95"/>
      <c r="F46" s="95"/>
      <c r="G46" s="18" t="s">
        <v>91</v>
      </c>
      <c r="H46" s="18" t="s">
        <v>79</v>
      </c>
      <c r="I46" s="18">
        <f>'MERCADO TUSD'!$U$43</f>
        <v>0</v>
      </c>
      <c r="J46" s="15"/>
      <c r="L46" s="13">
        <f>('TUSD BE'!$L$46+'TUSD BF'!$L$46+'TUSD CVA'!$L$46)*1</f>
        <v>0</v>
      </c>
      <c r="M46" s="13">
        <f>('TUSD BE'!$M$46+'TUSD BF'!$M$46+'TUSD CVA'!$M$46)*1</f>
        <v>1.4500379767861136</v>
      </c>
      <c r="N46" s="13">
        <f ca="1">('TUSD BE'!$N$46+'TUSD BF'!$N$46+'TUSD CVA'!$N$46)*1</f>
        <v>0</v>
      </c>
      <c r="O46" s="13">
        <f>('TUSD BE'!$O$46+'TUSD BF'!$O$46+'TUSD CVA'!$O$46)*1</f>
        <v>0</v>
      </c>
      <c r="P46" s="13">
        <f>('TUSD BE'!$P$46+'TUSD BF'!$P$46+'TUSD CVA'!$P$46)*1</f>
        <v>0</v>
      </c>
      <c r="Q46" s="13">
        <f>('TUSD BE'!$Q$46+'TUSD BF'!$Q$46+'TUSD CVA'!$Q$46)*1</f>
        <v>91.374426270766165</v>
      </c>
      <c r="R46" s="13">
        <f>('TUSD BE'!$R$46+'TUSD BF'!$R$46+'TUSD CVA'!$R$46)*1</f>
        <v>14.417590692611538</v>
      </c>
      <c r="S46" s="13">
        <f>('TUSD BE'!$S$46+'TUSD BF'!$S$46+'TUSD CVA'!$S$46)*1</f>
        <v>0</v>
      </c>
      <c r="T46" s="13">
        <f>('TUSD BE'!$U$46+'TUSD BF'!$U$46+'TUSD CVA'!$U$46)*1</f>
        <v>0</v>
      </c>
      <c r="U46" s="13">
        <f>('TUSD BE'!$V$46+'TUSD BF'!$V$46+'TUSD CVA'!$V$46)*1</f>
        <v>0</v>
      </c>
      <c r="V46" s="13">
        <f>('TUSD BE'!$W$46+'TUSD BF'!$W$46+'TUSD CVA'!$W$46)*1</f>
        <v>0</v>
      </c>
      <c r="W46" s="13">
        <f>('TUSD BE'!$X$46+'TUSD BF'!$X$46+'TUSD CVA'!$X$46)*1</f>
        <v>0</v>
      </c>
      <c r="X46" s="13">
        <f>('TUSD BE'!$Y$46+'TUSD BF'!$Y$46+'TUSD CVA'!$Y$46)*1</f>
        <v>136.51822828096567</v>
      </c>
      <c r="Y46" s="13">
        <f>('TUSD BE'!$Z$46+'TUSD BF'!$Z$46+'TUSD CVA'!$Z$46)*1</f>
        <v>0</v>
      </c>
      <c r="Z46" s="13">
        <f>('TUSD BE'!$AA$46+'TUSD BF'!$AA$46+'TUSD CVA'!$AA$46)*1</f>
        <v>0</v>
      </c>
      <c r="AA46" s="13">
        <f>('TUSD BE'!$AC$46+'TUSD BF'!$AC$46+'TUSD CVA'!$AC$46)*1</f>
        <v>443.27150279315902</v>
      </c>
      <c r="AB46" s="13">
        <f ca="1">('TUSD BE'!$AE$46+'TUSD BF'!$AE$46+'TUSD CVA'!$AE$46)*1</f>
        <v>0</v>
      </c>
      <c r="AC46" s="13">
        <f ca="1">('TUSD BE'!$AF$46+'TUSD BF'!$AF$46+'TUSD CVA'!$AF$46)*1</f>
        <v>0</v>
      </c>
      <c r="AD46" s="13">
        <f>('TUSD BE'!$AH$46+'TUSD BF'!$AH$46+'TUSD CVA'!$AH$46)*1</f>
        <v>33.33163130138675</v>
      </c>
      <c r="AE46" s="13">
        <f>('TUSD BE'!$AI$46+'TUSD BF'!$AI$46+'TUSD CVA'!$AI$46)*1</f>
        <v>0</v>
      </c>
      <c r="AF46" s="13">
        <f ca="1">('TUSD BE'!$AJ$46+'TUSD BF'!$AJ$46+'TUSD CVA'!$AJ$46)*1</f>
        <v>4.4087389419506833</v>
      </c>
      <c r="AG46" s="13">
        <f ca="1">('TUSD BE'!$AK$46+'TUSD BF'!$AK$46+'TUSD CVA'!$AK$46)*1</f>
        <v>0</v>
      </c>
      <c r="AI46" s="13">
        <v>0</v>
      </c>
      <c r="AJ46" s="13">
        <v>1.1519306008466901</v>
      </c>
      <c r="AK46" s="13">
        <v>0</v>
      </c>
      <c r="AL46" s="13">
        <v>0</v>
      </c>
      <c r="AM46" s="13">
        <v>0</v>
      </c>
      <c r="AN46" s="13">
        <v>56.707112218595398</v>
      </c>
      <c r="AO46" s="13">
        <v>8.8581279991634503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129.544678281475</v>
      </c>
      <c r="AV46" s="13">
        <v>0</v>
      </c>
      <c r="AW46" s="13">
        <v>0</v>
      </c>
      <c r="AX46" s="13">
        <v>387.534949912201</v>
      </c>
      <c r="AY46" s="13">
        <v>0</v>
      </c>
      <c r="AZ46" s="13">
        <v>0</v>
      </c>
      <c r="BA46" s="13">
        <v>50.9087876233571</v>
      </c>
      <c r="BB46" s="13">
        <v>0</v>
      </c>
      <c r="BC46" s="13">
        <v>3.2808986802992401</v>
      </c>
      <c r="BD46" s="13">
        <v>0</v>
      </c>
    </row>
    <row r="47" spans="1:56" ht="11.25" customHeight="1" x14ac:dyDescent="0.3">
      <c r="A47" s="95"/>
      <c r="B47" s="95"/>
      <c r="C47" s="95"/>
      <c r="D47" s="95"/>
      <c r="E47" s="95"/>
      <c r="F47" s="95"/>
      <c r="G47" s="18" t="s">
        <v>81</v>
      </c>
      <c r="H47" s="18" t="s">
        <v>79</v>
      </c>
      <c r="I47" s="18">
        <f>'MERCADO TUSD'!$U$44</f>
        <v>0</v>
      </c>
      <c r="J47" s="15"/>
      <c r="L47" s="13">
        <f>('TUSD BE'!$L$47+'TUSD BF'!$L$47+'TUSD CVA'!$L$47)*1</f>
        <v>0</v>
      </c>
      <c r="M47" s="13">
        <f>('TUSD BE'!$M$47+'TUSD BF'!$M$47+'TUSD CVA'!$M$47)*1</f>
        <v>1.4500379767861136</v>
      </c>
      <c r="N47" s="13">
        <f ca="1">('TUSD BE'!$N$47+'TUSD BF'!$N$47+'TUSD CVA'!$N$47)*1</f>
        <v>0</v>
      </c>
      <c r="O47" s="13">
        <f>('TUSD BE'!$O$47+'TUSD BF'!$O$47+'TUSD CVA'!$O$47)*1</f>
        <v>0</v>
      </c>
      <c r="P47" s="13">
        <f>('TUSD BE'!$P$47+'TUSD BF'!$P$47+'TUSD CVA'!$P$47)*1</f>
        <v>0</v>
      </c>
      <c r="Q47" s="13">
        <f>('TUSD BE'!$Q$47+'TUSD BF'!$Q$47+'TUSD CVA'!$Q$47)*1</f>
        <v>91.374426270766165</v>
      </c>
      <c r="R47" s="13">
        <f>('TUSD BE'!$R$47+'TUSD BF'!$R$47+'TUSD CVA'!$R$47)*1</f>
        <v>14.417590692611538</v>
      </c>
      <c r="S47" s="13">
        <f>('TUSD BE'!$S$47+'TUSD BF'!$S$47+'TUSD CVA'!$S$47)*1</f>
        <v>0</v>
      </c>
      <c r="T47" s="13">
        <f>('TUSD BE'!$U$47+'TUSD BF'!$U$47+'TUSD CVA'!$U$47)*1</f>
        <v>0</v>
      </c>
      <c r="U47" s="13">
        <f>('TUSD BE'!$V$47+'TUSD BF'!$V$47+'TUSD CVA'!$V$47)*1</f>
        <v>0</v>
      </c>
      <c r="V47" s="13">
        <f>('TUSD BE'!$W$47+'TUSD BF'!$W$47+'TUSD CVA'!$W$47)*1</f>
        <v>0</v>
      </c>
      <c r="W47" s="13">
        <f>('TUSD BE'!$X$47+'TUSD BF'!$X$47+'TUSD CVA'!$X$47)*1</f>
        <v>0</v>
      </c>
      <c r="X47" s="13">
        <f>('TUSD BE'!$Y$47+'TUSD BF'!$Y$47+'TUSD CVA'!$Y$47)*1</f>
        <v>45.525009347698763</v>
      </c>
      <c r="Y47" s="13">
        <f>('TUSD BE'!$Z$47+'TUSD BF'!$Z$47+'TUSD CVA'!$Z$47)*1</f>
        <v>0</v>
      </c>
      <c r="Z47" s="13">
        <f>('TUSD BE'!$AA$47+'TUSD BF'!$AA$47+'TUSD CVA'!$AA$47)*1</f>
        <v>0</v>
      </c>
      <c r="AA47" s="13">
        <f>('TUSD BE'!$AC$47+'TUSD BF'!$AC$47+'TUSD CVA'!$AC$47)*1</f>
        <v>147.75722911125288</v>
      </c>
      <c r="AB47" s="13">
        <f ca="1">('TUSD BE'!$AE$47+'TUSD BF'!$AE$47+'TUSD CVA'!$AE$47)*1</f>
        <v>0</v>
      </c>
      <c r="AC47" s="13">
        <f ca="1">('TUSD BE'!$AF$47+'TUSD BF'!$AF$47+'TUSD CVA'!$AF$47)*1</f>
        <v>0</v>
      </c>
      <c r="AD47" s="13">
        <f>('TUSD BE'!$AH$47+'TUSD BF'!$AH$47+'TUSD CVA'!$AH$47)*1</f>
        <v>33.33163130138675</v>
      </c>
      <c r="AE47" s="13">
        <f>('TUSD BE'!$AI$47+'TUSD BF'!$AI$47+'TUSD CVA'!$AI$47)*1</f>
        <v>0</v>
      </c>
      <c r="AF47" s="13">
        <f ca="1">('TUSD BE'!$AJ$47+'TUSD BF'!$AJ$47+'TUSD CVA'!$AJ$47)*1</f>
        <v>4.4087389419506833</v>
      </c>
      <c r="AG47" s="13">
        <f ca="1">('TUSD BE'!$AK$47+'TUSD BF'!$AK$47+'TUSD CVA'!$AK$47)*1</f>
        <v>0</v>
      </c>
      <c r="AI47" s="13">
        <v>0</v>
      </c>
      <c r="AJ47" s="13">
        <v>1.1519306008466901</v>
      </c>
      <c r="AK47" s="13">
        <v>0</v>
      </c>
      <c r="AL47" s="13">
        <v>0</v>
      </c>
      <c r="AM47" s="13">
        <v>0</v>
      </c>
      <c r="AN47" s="13">
        <v>56.707112218595398</v>
      </c>
      <c r="AO47" s="13">
        <v>8.8581279991634503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43.161033736961102</v>
      </c>
      <c r="AV47" s="13">
        <v>0</v>
      </c>
      <c r="AW47" s="13">
        <v>0</v>
      </c>
      <c r="AX47" s="13">
        <v>129.178360380448</v>
      </c>
      <c r="AY47" s="13">
        <v>0</v>
      </c>
      <c r="AZ47" s="13">
        <v>0</v>
      </c>
      <c r="BA47" s="13">
        <v>50.9087876233571</v>
      </c>
      <c r="BB47" s="13">
        <v>0</v>
      </c>
      <c r="BC47" s="13">
        <v>3.2808986802992401</v>
      </c>
      <c r="BD47" s="13">
        <v>0</v>
      </c>
    </row>
    <row r="48" spans="1:56" ht="11.25" customHeight="1" x14ac:dyDescent="0.3">
      <c r="A48" s="95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83</v>
      </c>
      <c r="H48" s="18" t="s">
        <v>79</v>
      </c>
      <c r="I48" s="18">
        <f>'MERCADO TUSD'!$U$45</f>
        <v>7750.1880000000001</v>
      </c>
      <c r="J48" s="15"/>
      <c r="L48" s="13">
        <f>('TUSD BE'!$L$48+'TUSD BF'!$L$48+'TUSD CVA'!$L$48)*1</f>
        <v>0</v>
      </c>
      <c r="M48" s="13">
        <f>('TUSD BE'!$M$48+'TUSD BF'!$M$48+'TUSD CVA'!$M$48)*1</f>
        <v>1.4500379767861136</v>
      </c>
      <c r="N48" s="13">
        <f ca="1">('TUSD BE'!$N$48+'TUSD BF'!$N$48+'TUSD CVA'!$N$48)*1</f>
        <v>0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91.374426270766165</v>
      </c>
      <c r="R48" s="13">
        <f>('TUSD BE'!$R$48+'TUSD BF'!$R$48+'TUSD CVA'!$R$48)*1</f>
        <v>14.417590692611538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66.938519670945723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217.28991254671337</v>
      </c>
      <c r="AB48" s="13">
        <f ca="1">('TUSD BE'!$AE$48+'TUSD BF'!$AE$48+'TUSD CVA'!$AE$48)*1</f>
        <v>0</v>
      </c>
      <c r="AC48" s="13">
        <f ca="1">('TUSD BE'!$AF$48+'TUSD BF'!$AF$48+'TUSD CVA'!$AF$48)*1</f>
        <v>0</v>
      </c>
      <c r="AD48" s="13">
        <f>('TUSD BE'!$AH$48+'TUSD BF'!$AH$48+'TUSD CVA'!$AH$48)*1</f>
        <v>33.33163130138675</v>
      </c>
      <c r="AE48" s="13">
        <f>('TUSD BE'!$AI$48+'TUSD BF'!$AI$48+'TUSD CVA'!$AI$48)*1</f>
        <v>0</v>
      </c>
      <c r="AF48" s="13">
        <f ca="1">('TUSD BE'!$AJ$48+'TUSD BF'!$AJ$48+'TUSD CVA'!$AJ$48)*1</f>
        <v>4.4087389419506833</v>
      </c>
      <c r="AG48" s="13">
        <f ca="1">('TUSD BE'!$AK$48+'TUSD BF'!$AK$48+'TUSD CVA'!$AK$48)*1</f>
        <v>0</v>
      </c>
      <c r="AI48" s="13">
        <v>0</v>
      </c>
      <c r="AJ48" s="13">
        <v>1.1519306008466901</v>
      </c>
      <c r="AK48" s="13">
        <v>0</v>
      </c>
      <c r="AL48" s="13">
        <v>0</v>
      </c>
      <c r="AM48" s="13">
        <v>0</v>
      </c>
      <c r="AN48" s="13">
        <v>56.707112218595398</v>
      </c>
      <c r="AO48" s="13">
        <v>8.8581279991634503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62.543099427072598</v>
      </c>
      <c r="AV48" s="13">
        <v>0</v>
      </c>
      <c r="AW48" s="13">
        <v>0</v>
      </c>
      <c r="AX48" s="13">
        <v>187.21503976845901</v>
      </c>
      <c r="AY48" s="13">
        <v>0</v>
      </c>
      <c r="AZ48" s="13">
        <v>0</v>
      </c>
      <c r="BA48" s="13">
        <v>50.9087876233571</v>
      </c>
      <c r="BB48" s="13">
        <v>0</v>
      </c>
      <c r="BC48" s="13">
        <v>3.2808986802992401</v>
      </c>
      <c r="BD48" s="13">
        <v>0</v>
      </c>
    </row>
    <row r="49" spans="1:56" ht="11.25" customHeight="1" x14ac:dyDescent="0.3">
      <c r="A49" s="95"/>
      <c r="B49" s="17" t="s">
        <v>94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83</v>
      </c>
      <c r="H49" s="18" t="s">
        <v>79</v>
      </c>
      <c r="I49" s="18">
        <f>'MERCADO TUSD'!$U$46</f>
        <v>0</v>
      </c>
      <c r="J49" s="15"/>
      <c r="L49" s="13">
        <f>('TUSD BE'!$L$49+'TUSD BF'!$L$49+'TUSD CVA'!$L$49)*1</f>
        <v>0</v>
      </c>
      <c r="M49" s="13">
        <f>('TUSD BE'!$M$49+'TUSD BF'!$M$49+'TUSD CVA'!$M$49)*1</f>
        <v>1.4500379767861136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91.374426270766165</v>
      </c>
      <c r="R49" s="13">
        <f>('TUSD BE'!$R$49+'TUSD BF'!$R$49+'TUSD CVA'!$R$49)*1</f>
        <v>14.417590692611538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66.938519670945723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217.28991254671337</v>
      </c>
      <c r="AB49" s="13">
        <f ca="1">('TUSD BE'!$AE$49+'TUSD BF'!$AE$49+'TUSD CVA'!$AE$49)*1</f>
        <v>0</v>
      </c>
      <c r="AC49" s="13">
        <f ca="1">('TUSD BE'!$AF$49+'TUSD BF'!$AF$49+'TUSD CVA'!$AF$49)*1</f>
        <v>0</v>
      </c>
      <c r="AD49" s="13">
        <f>('TUSD BE'!$AH$49+'TUSD BF'!$AH$49+'TUSD CVA'!$AH$49)*1</f>
        <v>33.33163130138675</v>
      </c>
      <c r="AE49" s="13">
        <f>('TUSD BE'!$AI$49+'TUSD BF'!$AI$49+'TUSD CVA'!$AI$49)*1</f>
        <v>0</v>
      </c>
      <c r="AF49" s="13">
        <f ca="1">('TUSD BE'!$AJ$49+'TUSD BF'!$AJ$49+'TUSD CVA'!$AJ$49)*1</f>
        <v>4.4087389419506833</v>
      </c>
      <c r="AG49" s="13">
        <f ca="1">('TUSD BE'!$AK$49+'TUSD BF'!$AK$49+'TUSD CVA'!$AK$49)*1</f>
        <v>0</v>
      </c>
      <c r="AI49" s="13">
        <v>0</v>
      </c>
      <c r="AJ49" s="13">
        <v>1.1519306008466901</v>
      </c>
      <c r="AK49" s="13">
        <v>0</v>
      </c>
      <c r="AL49" s="13">
        <v>0</v>
      </c>
      <c r="AM49" s="13">
        <v>0</v>
      </c>
      <c r="AN49" s="13">
        <v>56.707112218595398</v>
      </c>
      <c r="AO49" s="13">
        <v>8.8581279991634503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62.543099427072598</v>
      </c>
      <c r="AV49" s="13">
        <v>0</v>
      </c>
      <c r="AW49" s="13">
        <v>0</v>
      </c>
      <c r="AX49" s="13">
        <v>187.21503976845901</v>
      </c>
      <c r="AY49" s="13">
        <v>0</v>
      </c>
      <c r="AZ49" s="13">
        <v>0</v>
      </c>
      <c r="BA49" s="13">
        <v>50.9087876233571</v>
      </c>
      <c r="BB49" s="13">
        <v>0</v>
      </c>
      <c r="BC49" s="13">
        <v>3.2808986802992401</v>
      </c>
      <c r="BD49" s="13">
        <v>0</v>
      </c>
    </row>
    <row r="50" spans="1:56" ht="11.25" customHeight="1" x14ac:dyDescent="0.3">
      <c r="A50" s="95" t="s">
        <v>43</v>
      </c>
      <c r="B50" s="95" t="s">
        <v>23</v>
      </c>
      <c r="C50" s="95" t="s">
        <v>44</v>
      </c>
      <c r="D50" s="17" t="s">
        <v>97</v>
      </c>
      <c r="E50" s="17" t="s">
        <v>25</v>
      </c>
      <c r="F50" s="17" t="s">
        <v>25</v>
      </c>
      <c r="G50" s="18" t="s">
        <v>83</v>
      </c>
      <c r="H50" s="18" t="s">
        <v>79</v>
      </c>
      <c r="I50" s="18">
        <f>'MERCADO TUSD'!$U$47</f>
        <v>0</v>
      </c>
      <c r="J50" s="15"/>
      <c r="L50" s="13">
        <f>('TUSD BE'!$L$50+'TUSD BF'!$L$50+'TUSD CVA'!$L$50)*1</f>
        <v>0</v>
      </c>
      <c r="M50" s="13">
        <f>('TUSD BE'!$M$50+'TUSD BF'!$M$50+'TUSD CVA'!$M$50)*1</f>
        <v>0.79752088723236259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50.255934448921394</v>
      </c>
      <c r="R50" s="13">
        <f>('TUSD BE'!$R$50+'TUSD BF'!$R$50+'TUSD CVA'!$R$50)*1</f>
        <v>7.9296748809363464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36.816185819020149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119.50945190069234</v>
      </c>
      <c r="AB50" s="13">
        <f ca="1">('TUSD BE'!$AE$50+'TUSD BF'!$AE$50+'TUSD CVA'!$AE$50)*1</f>
        <v>0</v>
      </c>
      <c r="AC50" s="13">
        <f ca="1">('TUSD BE'!$AF$50+'TUSD BF'!$AF$50+'TUSD CVA'!$AF$50)*1</f>
        <v>0</v>
      </c>
      <c r="AD50" s="13">
        <f>('TUSD BE'!$AH$50+'TUSD BF'!$AH$50+'TUSD CVA'!$AH$50)*1</f>
        <v>18.332397215762711</v>
      </c>
      <c r="AE50" s="13">
        <f>('TUSD BE'!$AI$50+'TUSD BF'!$AI$50+'TUSD CVA'!$AI$50)*1</f>
        <v>0</v>
      </c>
      <c r="AF50" s="13">
        <f ca="1">('TUSD BE'!$AJ$50+'TUSD BF'!$AJ$50+'TUSD CVA'!$AJ$50)*1</f>
        <v>2.4248064180728761</v>
      </c>
      <c r="AG50" s="13">
        <f ca="1">('TUSD BE'!$AK$50+'TUSD BF'!$AK$50+'TUSD CVA'!$AK$50)*1</f>
        <v>0</v>
      </c>
      <c r="AI50" s="13">
        <v>0</v>
      </c>
      <c r="AJ50" s="13">
        <v>0.63356183046567904</v>
      </c>
      <c r="AK50" s="13">
        <v>0</v>
      </c>
      <c r="AL50" s="13">
        <v>0</v>
      </c>
      <c r="AM50" s="13">
        <v>0</v>
      </c>
      <c r="AN50" s="13">
        <v>31.188911720227502</v>
      </c>
      <c r="AO50" s="13">
        <v>4.8719703995399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34.3987046848899</v>
      </c>
      <c r="AV50" s="13">
        <v>0</v>
      </c>
      <c r="AW50" s="13">
        <v>0</v>
      </c>
      <c r="AX50" s="13">
        <v>102.96827187265301</v>
      </c>
      <c r="AY50" s="13">
        <v>0</v>
      </c>
      <c r="AZ50" s="13">
        <v>0</v>
      </c>
      <c r="BA50" s="13">
        <v>27.999833192846399</v>
      </c>
      <c r="BB50" s="13">
        <v>0</v>
      </c>
      <c r="BC50" s="13">
        <v>1.80449427416458</v>
      </c>
      <c r="BD50" s="13">
        <v>0</v>
      </c>
    </row>
    <row r="51" spans="1:56" ht="11.25" customHeight="1" x14ac:dyDescent="0.3">
      <c r="A51" s="95"/>
      <c r="B51" s="95"/>
      <c r="C51" s="95"/>
      <c r="D51" s="18" t="s">
        <v>45</v>
      </c>
      <c r="E51" s="18" t="s">
        <v>25</v>
      </c>
      <c r="F51" s="18" t="s">
        <v>25</v>
      </c>
      <c r="G51" s="18" t="s">
        <v>83</v>
      </c>
      <c r="H51" s="18" t="s">
        <v>79</v>
      </c>
      <c r="I51" s="18">
        <f>'MERCADO TUSD'!$U$48</f>
        <v>1776.7269999999999</v>
      </c>
      <c r="J51" s="15"/>
      <c r="L51" s="13">
        <f>('TUSD BE'!$L$51+'TUSD BF'!$L$51+'TUSD CVA'!$L$51)*1</f>
        <v>0</v>
      </c>
      <c r="M51" s="13">
        <f>('TUSD BE'!$M$51+'TUSD BF'!$M$51+'TUSD CVA'!$M$51)*1</f>
        <v>0.87002278607166816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54.824655762459706</v>
      </c>
      <c r="R51" s="13">
        <f>('TUSD BE'!$R$51+'TUSD BF'!$R$51+'TUSD CVA'!$R$51)*1</f>
        <v>8.6505544155669227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40.163111802567428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130.373947528028</v>
      </c>
      <c r="AB51" s="13">
        <f ca="1">('TUSD BE'!$AE$51+'TUSD BF'!$AE$51+'TUSD CVA'!$AE$51)*1</f>
        <v>0</v>
      </c>
      <c r="AC51" s="13">
        <f ca="1">('TUSD BE'!$AF$51+'TUSD BF'!$AF$51+'TUSD CVA'!$AF$51)*1</f>
        <v>0</v>
      </c>
      <c r="AD51" s="13">
        <f>('TUSD BE'!$AH$51+'TUSD BF'!$AH$51+'TUSD CVA'!$AH$51)*1</f>
        <v>19.998978780832047</v>
      </c>
      <c r="AE51" s="13">
        <f>('TUSD BE'!$AI$51+'TUSD BF'!$AI$51+'TUSD CVA'!$AI$51)*1</f>
        <v>0</v>
      </c>
      <c r="AF51" s="13">
        <f ca="1">('TUSD BE'!$AJ$51+'TUSD BF'!$AJ$51+'TUSD CVA'!$AJ$51)*1</f>
        <v>2.6452433651704101</v>
      </c>
      <c r="AG51" s="13">
        <f ca="1">('TUSD BE'!$AK$51+'TUSD BF'!$AK$51+'TUSD CVA'!$AK$51)*1</f>
        <v>0</v>
      </c>
      <c r="AI51" s="13">
        <v>0</v>
      </c>
      <c r="AJ51" s="13">
        <v>0.69115836050801305</v>
      </c>
      <c r="AK51" s="13">
        <v>0</v>
      </c>
      <c r="AL51" s="13">
        <v>0</v>
      </c>
      <c r="AM51" s="13">
        <v>0</v>
      </c>
      <c r="AN51" s="13">
        <v>34.024267331157198</v>
      </c>
      <c r="AO51" s="13">
        <v>5.3148767994980703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37.525859656243497</v>
      </c>
      <c r="AV51" s="13">
        <v>0</v>
      </c>
      <c r="AW51" s="13">
        <v>0</v>
      </c>
      <c r="AX51" s="13">
        <v>112.329023861076</v>
      </c>
      <c r="AY51" s="13">
        <v>0</v>
      </c>
      <c r="AZ51" s="13">
        <v>0</v>
      </c>
      <c r="BA51" s="13">
        <v>30.545272574014302</v>
      </c>
      <c r="BB51" s="13">
        <v>0</v>
      </c>
      <c r="BC51" s="13">
        <v>1.9685392081795401</v>
      </c>
      <c r="BD51" s="13">
        <v>0</v>
      </c>
    </row>
    <row r="53" spans="1:56" ht="11.25" customHeight="1" x14ac:dyDescent="0.3">
      <c r="L53" s="92" t="s">
        <v>695</v>
      </c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I53" s="92" t="s">
        <v>696</v>
      </c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</row>
    <row r="54" spans="1:56" ht="11.25" customHeight="1" x14ac:dyDescent="0.3">
      <c r="L54" s="92" t="s">
        <v>393</v>
      </c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I54" s="92" t="s">
        <v>393</v>
      </c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</row>
    <row r="55" spans="1:56" ht="11.25" customHeight="1" x14ac:dyDescent="0.3">
      <c r="L55" s="92" t="s">
        <v>394</v>
      </c>
      <c r="M55" s="92"/>
      <c r="N55" s="92"/>
      <c r="O55" s="92"/>
      <c r="P55" s="92"/>
      <c r="Q55" s="92"/>
      <c r="R55" s="92"/>
      <c r="S55" s="92"/>
      <c r="T55" s="92" t="s">
        <v>403</v>
      </c>
      <c r="U55" s="92"/>
      <c r="V55" s="92"/>
      <c r="W55" s="92"/>
      <c r="X55" s="92"/>
      <c r="Y55" s="92"/>
      <c r="Z55" s="92"/>
      <c r="AA55" s="10" t="s">
        <v>411</v>
      </c>
      <c r="AB55" s="92" t="s">
        <v>413</v>
      </c>
      <c r="AC55" s="92"/>
      <c r="AD55" s="92" t="s">
        <v>416</v>
      </c>
      <c r="AE55" s="92"/>
      <c r="AF55" s="92"/>
      <c r="AG55" s="92"/>
      <c r="AI55" s="92" t="s">
        <v>394</v>
      </c>
      <c r="AJ55" s="92"/>
      <c r="AK55" s="92"/>
      <c r="AL55" s="92"/>
      <c r="AM55" s="92"/>
      <c r="AN55" s="92"/>
      <c r="AO55" s="92"/>
      <c r="AP55" s="92"/>
      <c r="AQ55" s="92" t="s">
        <v>403</v>
      </c>
      <c r="AR55" s="92"/>
      <c r="AS55" s="92"/>
      <c r="AT55" s="92"/>
      <c r="AU55" s="92"/>
      <c r="AV55" s="92"/>
      <c r="AW55" s="92"/>
      <c r="AX55" s="10" t="s">
        <v>411</v>
      </c>
      <c r="AY55" s="92" t="s">
        <v>413</v>
      </c>
      <c r="AZ55" s="92"/>
      <c r="BA55" s="92" t="s">
        <v>416</v>
      </c>
      <c r="BB55" s="92"/>
      <c r="BC55" s="92"/>
      <c r="BD55" s="92"/>
    </row>
    <row r="56" spans="1:56" ht="11.25" customHeight="1" x14ac:dyDescent="0.3">
      <c r="L56" s="10" t="s">
        <v>479</v>
      </c>
      <c r="M56" s="10" t="s">
        <v>395</v>
      </c>
      <c r="N56" s="10" t="s">
        <v>396</v>
      </c>
      <c r="O56" s="10" t="s">
        <v>397</v>
      </c>
      <c r="P56" s="10" t="s">
        <v>398</v>
      </c>
      <c r="Q56" s="10" t="s">
        <v>399</v>
      </c>
      <c r="R56" s="10" t="s">
        <v>400</v>
      </c>
      <c r="S56" s="10" t="s">
        <v>401</v>
      </c>
      <c r="T56" s="10" t="s">
        <v>404</v>
      </c>
      <c r="U56" s="10" t="s">
        <v>405</v>
      </c>
      <c r="V56" s="10" t="s">
        <v>406</v>
      </c>
      <c r="W56" s="10" t="s">
        <v>407</v>
      </c>
      <c r="X56" s="10" t="s">
        <v>408</v>
      </c>
      <c r="Y56" s="10" t="s">
        <v>409</v>
      </c>
      <c r="Z56" s="10" t="s">
        <v>410</v>
      </c>
      <c r="AA56" s="10" t="s">
        <v>412</v>
      </c>
      <c r="AB56" s="10" t="s">
        <v>414</v>
      </c>
      <c r="AC56" s="10" t="s">
        <v>415</v>
      </c>
      <c r="AD56" s="10" t="s">
        <v>417</v>
      </c>
      <c r="AE56" s="10" t="s">
        <v>418</v>
      </c>
      <c r="AF56" s="10" t="s">
        <v>419</v>
      </c>
      <c r="AG56" s="10" t="s">
        <v>420</v>
      </c>
      <c r="AI56" s="10" t="s">
        <v>479</v>
      </c>
      <c r="AJ56" s="10" t="s">
        <v>395</v>
      </c>
      <c r="AK56" s="10" t="s">
        <v>396</v>
      </c>
      <c r="AL56" s="10" t="s">
        <v>397</v>
      </c>
      <c r="AM56" s="10" t="s">
        <v>398</v>
      </c>
      <c r="AN56" s="10" t="s">
        <v>399</v>
      </c>
      <c r="AO56" s="10" t="s">
        <v>400</v>
      </c>
      <c r="AP56" s="10" t="s">
        <v>401</v>
      </c>
      <c r="AQ56" s="10" t="s">
        <v>404</v>
      </c>
      <c r="AR56" s="10" t="s">
        <v>405</v>
      </c>
      <c r="AS56" s="10" t="s">
        <v>406</v>
      </c>
      <c r="AT56" s="10" t="s">
        <v>407</v>
      </c>
      <c r="AU56" s="10" t="s">
        <v>408</v>
      </c>
      <c r="AV56" s="10" t="s">
        <v>409</v>
      </c>
      <c r="AW56" s="10" t="s">
        <v>410</v>
      </c>
      <c r="AX56" s="10" t="s">
        <v>412</v>
      </c>
      <c r="AY56" s="10" t="s">
        <v>414</v>
      </c>
      <c r="AZ56" s="10" t="s">
        <v>415</v>
      </c>
      <c r="BA56" s="10" t="s">
        <v>417</v>
      </c>
      <c r="BB56" s="10" t="s">
        <v>418</v>
      </c>
      <c r="BC56" s="10" t="s">
        <v>419</v>
      </c>
      <c r="BD56" s="10" t="s">
        <v>420</v>
      </c>
    </row>
    <row r="57" spans="1:56" ht="11.25" customHeight="1" x14ac:dyDescent="0.3">
      <c r="A57" s="9" t="s">
        <v>34</v>
      </c>
      <c r="B57" s="9" t="s">
        <v>697</v>
      </c>
      <c r="C57" s="9" t="s">
        <v>698</v>
      </c>
      <c r="D57" s="9" t="s">
        <v>699</v>
      </c>
      <c r="E57" s="9" t="s">
        <v>700</v>
      </c>
      <c r="F57" s="9" t="s">
        <v>701</v>
      </c>
      <c r="G57" s="9" t="s">
        <v>702</v>
      </c>
      <c r="L57" s="13">
        <f>$I$5*$L$5</f>
        <v>0</v>
      </c>
      <c r="M57" s="13">
        <f>$I$5*$M$5</f>
        <v>0</v>
      </c>
      <c r="N57" s="13">
        <f ca="1">$I$5*$N$5</f>
        <v>0</v>
      </c>
      <c r="O57" s="13">
        <f>$I$5*$O$5</f>
        <v>0</v>
      </c>
      <c r="P57" s="13">
        <f>$I$5*$P$5</f>
        <v>0</v>
      </c>
      <c r="Q57" s="13">
        <f>$I$5*$Q$5</f>
        <v>0</v>
      </c>
      <c r="R57" s="13">
        <f>$I$5*$R$5</f>
        <v>0</v>
      </c>
      <c r="S57" s="13">
        <f>$I$5*$S$5</f>
        <v>0</v>
      </c>
      <c r="T57" s="13">
        <f>$I$5*$T$5</f>
        <v>0</v>
      </c>
      <c r="U57" s="13">
        <f>$I$5*$U$5</f>
        <v>0</v>
      </c>
      <c r="V57" s="13">
        <f>$I$5*$V$5</f>
        <v>0</v>
      </c>
      <c r="W57" s="13">
        <f>$I$5*$W$5</f>
        <v>0</v>
      </c>
      <c r="X57" s="13">
        <f>$I$5*$X$5</f>
        <v>7194.5986700381927</v>
      </c>
      <c r="Y57" s="13">
        <f>$I$5*$Y$5</f>
        <v>0</v>
      </c>
      <c r="Z57" s="13">
        <f>$I$5*$Z$5</f>
        <v>0</v>
      </c>
      <c r="AA57" s="13">
        <f>$I$5*$AA$5</f>
        <v>16451.139702725333</v>
      </c>
      <c r="AB57" s="13">
        <f ca="1">$I$5*$AB$5</f>
        <v>0</v>
      </c>
      <c r="AC57" s="13">
        <f ca="1">$I$5*$AC$5</f>
        <v>0</v>
      </c>
      <c r="AD57" s="13">
        <f>$I$5*$AD$5</f>
        <v>0</v>
      </c>
      <c r="AE57" s="13">
        <f>$I$5*$AE$5</f>
        <v>0</v>
      </c>
      <c r="AF57" s="13">
        <f ca="1">$I$5*$AF$5</f>
        <v>0</v>
      </c>
      <c r="AG57" s="13">
        <f ca="1">$I$5*$AG$5</f>
        <v>0</v>
      </c>
      <c r="AI57" s="13">
        <f>$I$5*$AI$5</f>
        <v>0</v>
      </c>
      <c r="AJ57" s="13">
        <f>$I$5*$AJ$5</f>
        <v>0</v>
      </c>
      <c r="AK57" s="13">
        <f>$I$5*$AK$5</f>
        <v>0</v>
      </c>
      <c r="AL57" s="13">
        <f>$I$5*$AL$5</f>
        <v>0</v>
      </c>
      <c r="AM57" s="13">
        <f>$I$5*$AM$5</f>
        <v>0</v>
      </c>
      <c r="AN57" s="13">
        <f>$I$5*$AN$5</f>
        <v>0</v>
      </c>
      <c r="AO57" s="13">
        <f>$I$5*$AO$5</f>
        <v>0</v>
      </c>
      <c r="AP57" s="13">
        <f>$I$5*$AP$5</f>
        <v>0</v>
      </c>
      <c r="AQ57" s="13">
        <f>$I$5*$AQ$5</f>
        <v>0</v>
      </c>
      <c r="AR57" s="13">
        <f>$I$5*$AR$5</f>
        <v>0</v>
      </c>
      <c r="AS57" s="13">
        <f>$I$5*$AS$5</f>
        <v>0</v>
      </c>
      <c r="AT57" s="13">
        <f>$I$5*$AT$5</f>
        <v>0</v>
      </c>
      <c r="AU57" s="13">
        <f>$I$5*$AU$5</f>
        <v>7129.5126873085101</v>
      </c>
      <c r="AV57" s="13">
        <f>$I$5*$AV$5</f>
        <v>0</v>
      </c>
      <c r="AW57" s="13">
        <f>$I$5*$AW$5</f>
        <v>0</v>
      </c>
      <c r="AX57" s="13">
        <f>$I$5*$AX$5</f>
        <v>16734.13544071564</v>
      </c>
      <c r="AY57" s="13">
        <f>$I$5*$AY$5</f>
        <v>0</v>
      </c>
      <c r="AZ57" s="13">
        <f>$I$5*$AZ$5</f>
        <v>0</v>
      </c>
      <c r="BA57" s="13">
        <f>$I$5*$BA$5</f>
        <v>0</v>
      </c>
      <c r="BB57" s="13">
        <f>$I$5*$BB$5</f>
        <v>0</v>
      </c>
      <c r="BC57" s="13">
        <f>$I$5*$BC$5</f>
        <v>0</v>
      </c>
      <c r="BD57" s="13">
        <f>$I$5*$BD$5</f>
        <v>0</v>
      </c>
    </row>
    <row r="58" spans="1:56" ht="11.25" customHeight="1" x14ac:dyDescent="0.3">
      <c r="A58" s="9" t="s">
        <v>34</v>
      </c>
      <c r="B58" s="9" t="s">
        <v>697</v>
      </c>
      <c r="C58" s="9" t="s">
        <v>698</v>
      </c>
      <c r="D58" s="9" t="s">
        <v>699</v>
      </c>
      <c r="E58" s="9" t="s">
        <v>700</v>
      </c>
      <c r="F58" s="9" t="s">
        <v>701</v>
      </c>
      <c r="G58" s="9" t="s">
        <v>703</v>
      </c>
      <c r="L58" s="13">
        <f>$I$6*$L$6</f>
        <v>0</v>
      </c>
      <c r="M58" s="13">
        <f>$I$6*$M$6</f>
        <v>0</v>
      </c>
      <c r="N58" s="13">
        <f ca="1">$I$6*$N$6</f>
        <v>0</v>
      </c>
      <c r="O58" s="13">
        <f>$I$6*$O$6</f>
        <v>0</v>
      </c>
      <c r="P58" s="13">
        <f>$I$6*$P$6</f>
        <v>0</v>
      </c>
      <c r="Q58" s="13">
        <f>$I$6*$Q$6</f>
        <v>0</v>
      </c>
      <c r="R58" s="13">
        <f>$I$6*$R$6</f>
        <v>0</v>
      </c>
      <c r="S58" s="13">
        <f>$I$6*$S$6</f>
        <v>0</v>
      </c>
      <c r="T58" s="13">
        <f>$I$6*$T$6</f>
        <v>0</v>
      </c>
      <c r="U58" s="13">
        <f>$I$6*$U$6</f>
        <v>0</v>
      </c>
      <c r="V58" s="13">
        <f>$I$6*$V$6</f>
        <v>0</v>
      </c>
      <c r="W58" s="13">
        <f>$I$6*$W$6</f>
        <v>0</v>
      </c>
      <c r="X58" s="13">
        <f>$I$6*$X$6</f>
        <v>5087.6682935646577</v>
      </c>
      <c r="Y58" s="13">
        <f>$I$6*$Y$6</f>
        <v>0</v>
      </c>
      <c r="Z58" s="13">
        <f>$I$6*$Z$6</f>
        <v>0</v>
      </c>
      <c r="AA58" s="13">
        <f>$I$6*$AA$6</f>
        <v>5531.4518574071544</v>
      </c>
      <c r="AB58" s="13">
        <f ca="1">$I$6*$AB$6</f>
        <v>0</v>
      </c>
      <c r="AC58" s="13">
        <f ca="1">$I$6*$AC$6</f>
        <v>0</v>
      </c>
      <c r="AD58" s="13">
        <f>$I$6*$AD$6</f>
        <v>0</v>
      </c>
      <c r="AE58" s="13">
        <f>$I$6*$AE$6</f>
        <v>0</v>
      </c>
      <c r="AF58" s="13">
        <f ca="1">$I$6*$AF$6</f>
        <v>0</v>
      </c>
      <c r="AG58" s="13">
        <f ca="1">$I$6*$AG$6</f>
        <v>0</v>
      </c>
      <c r="AI58" s="13">
        <f>$I$6*$AI$6</f>
        <v>0</v>
      </c>
      <c r="AJ58" s="13">
        <f>$I$6*$AJ$6</f>
        <v>0</v>
      </c>
      <c r="AK58" s="13">
        <f>$I$6*$AK$6</f>
        <v>0</v>
      </c>
      <c r="AL58" s="13">
        <f>$I$6*$AL$6</f>
        <v>0</v>
      </c>
      <c r="AM58" s="13">
        <f>$I$6*$AM$6</f>
        <v>0</v>
      </c>
      <c r="AN58" s="13">
        <f>$I$6*$AN$6</f>
        <v>0</v>
      </c>
      <c r="AO58" s="13">
        <f>$I$6*$AO$6</f>
        <v>0</v>
      </c>
      <c r="AP58" s="13">
        <f>$I$6*$AP$6</f>
        <v>0</v>
      </c>
      <c r="AQ58" s="13">
        <f>$I$6*$AQ$6</f>
        <v>0</v>
      </c>
      <c r="AR58" s="13">
        <f>$I$6*$AR$6</f>
        <v>0</v>
      </c>
      <c r="AS58" s="13">
        <f>$I$6*$AS$6</f>
        <v>0</v>
      </c>
      <c r="AT58" s="13">
        <f>$I$6*$AT$6</f>
        <v>0</v>
      </c>
      <c r="AU58" s="13">
        <f>$I$6*$AU$6</f>
        <v>3551.6086260124416</v>
      </c>
      <c r="AV58" s="13">
        <f>$I$6*$AV$6</f>
        <v>0</v>
      </c>
      <c r="AW58" s="13">
        <f>$I$6*$AW$6</f>
        <v>0</v>
      </c>
      <c r="AX58" s="13">
        <f>$I$6*$AX$6</f>
        <v>5744.4510501080804</v>
      </c>
      <c r="AY58" s="13">
        <f>$I$6*$AY$6</f>
        <v>0</v>
      </c>
      <c r="AZ58" s="13">
        <f>$I$6*$AZ$6</f>
        <v>0</v>
      </c>
      <c r="BA58" s="13">
        <f>$I$6*$BA$6</f>
        <v>0</v>
      </c>
      <c r="BB58" s="13">
        <f>$I$6*$BB$6</f>
        <v>0</v>
      </c>
      <c r="BC58" s="13">
        <f>$I$6*$BC$6</f>
        <v>0</v>
      </c>
      <c r="BD58" s="13">
        <f>$I$6*$BD$6</f>
        <v>0</v>
      </c>
    </row>
    <row r="59" spans="1:56" ht="11.25" customHeight="1" x14ac:dyDescent="0.3">
      <c r="A59" s="9" t="s">
        <v>34</v>
      </c>
      <c r="B59" s="9" t="s">
        <v>697</v>
      </c>
      <c r="C59" s="9" t="s">
        <v>698</v>
      </c>
      <c r="D59" s="9" t="s">
        <v>699</v>
      </c>
      <c r="E59" s="9" t="s">
        <v>700</v>
      </c>
      <c r="F59" s="9" t="s">
        <v>701</v>
      </c>
      <c r="G59" s="9" t="s">
        <v>704</v>
      </c>
      <c r="L59" s="13">
        <f>$I$7*$L$7</f>
        <v>0</v>
      </c>
      <c r="M59" s="13">
        <f>$I$7*$M$7</f>
        <v>132.2206150529689</v>
      </c>
      <c r="N59" s="13">
        <f ca="1">$I$7*$N$7</f>
        <v>0</v>
      </c>
      <c r="O59" s="13">
        <f>$I$7*$O$7</f>
        <v>0</v>
      </c>
      <c r="P59" s="13">
        <f>$I$7*$P$7</f>
        <v>0</v>
      </c>
      <c r="Q59" s="13">
        <f>$I$7*$Q$7</f>
        <v>12805.109758227747</v>
      </c>
      <c r="R59" s="13">
        <f>$I$7*$R$7</f>
        <v>2405.315490429768</v>
      </c>
      <c r="S59" s="13">
        <f>$I$7*$S$7</f>
        <v>0</v>
      </c>
      <c r="T59" s="13">
        <f>$I$7*$T$7</f>
        <v>0</v>
      </c>
      <c r="U59" s="13">
        <f>$I$7*$U$7</f>
        <v>0</v>
      </c>
      <c r="V59" s="13">
        <f>$I$7*$V$7</f>
        <v>0</v>
      </c>
      <c r="W59" s="13">
        <f>$I$7*$W$7</f>
        <v>0</v>
      </c>
      <c r="X59" s="13">
        <f>$I$7*$X$7</f>
        <v>0</v>
      </c>
      <c r="Y59" s="13">
        <f>$I$7*$Y$7</f>
        <v>0</v>
      </c>
      <c r="Z59" s="13">
        <f>$I$7*$Z$7</f>
        <v>0</v>
      </c>
      <c r="AA59" s="13">
        <f>$I$7*$AA$7</f>
        <v>0</v>
      </c>
      <c r="AB59" s="13">
        <f ca="1">$I$7*$AB$7</f>
        <v>0</v>
      </c>
      <c r="AC59" s="13">
        <f ca="1">$I$7*$AC$7</f>
        <v>0</v>
      </c>
      <c r="AD59" s="13">
        <f>$I$7*$AD$7</f>
        <v>2785.8975533602247</v>
      </c>
      <c r="AE59" s="13">
        <f>$I$7*$AE$7</f>
        <v>0</v>
      </c>
      <c r="AF59" s="13">
        <f ca="1">$I$7*$AF$7</f>
        <v>514.19325474846312</v>
      </c>
      <c r="AG59" s="13">
        <f ca="1">$I$7*$AG$7</f>
        <v>0</v>
      </c>
      <c r="AI59" s="13">
        <f>$I$7*$AI$7</f>
        <v>0</v>
      </c>
      <c r="AJ59" s="13">
        <f>$I$7*$AJ$7</f>
        <v>113.53862263382754</v>
      </c>
      <c r="AK59" s="13">
        <f>$I$7*$AK$7</f>
        <v>0</v>
      </c>
      <c r="AL59" s="13">
        <f>$I$7*$AL$7</f>
        <v>0</v>
      </c>
      <c r="AM59" s="13">
        <f>$I$7*$AM$7</f>
        <v>0</v>
      </c>
      <c r="AN59" s="13">
        <f>$I$7*$AN$7</f>
        <v>8230.6880227178553</v>
      </c>
      <c r="AO59" s="13">
        <f>$I$7*$AO$7</f>
        <v>1477.8192103564368</v>
      </c>
      <c r="AP59" s="13">
        <f>$I$7*$AP$7</f>
        <v>0</v>
      </c>
      <c r="AQ59" s="13">
        <f>$I$7*$AQ$7</f>
        <v>0</v>
      </c>
      <c r="AR59" s="13">
        <f>$I$7*$AR$7</f>
        <v>0</v>
      </c>
      <c r="AS59" s="13">
        <f>$I$7*$AS$7</f>
        <v>0</v>
      </c>
      <c r="AT59" s="13">
        <f>$I$7*$AT$7</f>
        <v>0</v>
      </c>
      <c r="AU59" s="13">
        <f>$I$7*$AU$7</f>
        <v>0</v>
      </c>
      <c r="AV59" s="13">
        <f>$I$7*$AV$7</f>
        <v>0</v>
      </c>
      <c r="AW59" s="13">
        <f>$I$7*$AW$7</f>
        <v>0</v>
      </c>
      <c r="AX59" s="13">
        <f>$I$7*$AX$7</f>
        <v>0</v>
      </c>
      <c r="AY59" s="13">
        <f>$I$7*$AY$7</f>
        <v>0</v>
      </c>
      <c r="AZ59" s="13">
        <f>$I$7*$AZ$7</f>
        <v>0</v>
      </c>
      <c r="BA59" s="13">
        <f>$I$7*$BA$7</f>
        <v>3279.1720213528565</v>
      </c>
      <c r="BB59" s="13">
        <f>$I$7*$BB$7</f>
        <v>0</v>
      </c>
      <c r="BC59" s="13">
        <f>$I$7*$BC$7</f>
        <v>367.25615120995514</v>
      </c>
      <c r="BD59" s="13">
        <f>$I$7*$BD$7</f>
        <v>0</v>
      </c>
    </row>
    <row r="60" spans="1:56" ht="11.25" customHeight="1" x14ac:dyDescent="0.3">
      <c r="A60" s="9" t="s">
        <v>34</v>
      </c>
      <c r="B60" s="9" t="s">
        <v>697</v>
      </c>
      <c r="C60" s="9" t="s">
        <v>698</v>
      </c>
      <c r="D60" s="9" t="s">
        <v>699</v>
      </c>
      <c r="E60" s="9" t="s">
        <v>705</v>
      </c>
      <c r="F60" s="9" t="s">
        <v>706</v>
      </c>
      <c r="G60" s="9" t="s">
        <v>707</v>
      </c>
      <c r="L60" s="13">
        <f>$I$8*$L$8</f>
        <v>0</v>
      </c>
      <c r="M60" s="13">
        <f>$I$8*$M$8</f>
        <v>0</v>
      </c>
      <c r="N60" s="13">
        <f ca="1">$I$8*$N$8</f>
        <v>0</v>
      </c>
      <c r="O60" s="13">
        <f>$I$8*$O$8</f>
        <v>0</v>
      </c>
      <c r="P60" s="13">
        <f>$I$8*$P$8</f>
        <v>0</v>
      </c>
      <c r="Q60" s="13">
        <f>$I$8*$Q$8</f>
        <v>0</v>
      </c>
      <c r="R60" s="13">
        <f>$I$8*$R$8</f>
        <v>0</v>
      </c>
      <c r="S60" s="13">
        <f>$I$8*$S$8</f>
        <v>0</v>
      </c>
      <c r="T60" s="13">
        <f>$I$8*$T$8</f>
        <v>0</v>
      </c>
      <c r="U60" s="13">
        <f>$I$8*$U$8</f>
        <v>0</v>
      </c>
      <c r="V60" s="13">
        <f>$I$8*$V$8</f>
        <v>0</v>
      </c>
      <c r="W60" s="13">
        <f>$I$8*$W$8</f>
        <v>0</v>
      </c>
      <c r="X60" s="13">
        <f>$I$8*$X$8</f>
        <v>0</v>
      </c>
      <c r="Y60" s="13">
        <f>$I$8*$Y$8</f>
        <v>0</v>
      </c>
      <c r="Z60" s="13">
        <f>$I$8*$Z$8</f>
        <v>0</v>
      </c>
      <c r="AA60" s="13">
        <f>$I$8*$AA$8</f>
        <v>0</v>
      </c>
      <c r="AB60" s="13">
        <f ca="1">$I$8*$AB$8</f>
        <v>0</v>
      </c>
      <c r="AC60" s="13">
        <f ca="1">$I$8*$AC$8</f>
        <v>0</v>
      </c>
      <c r="AD60" s="13">
        <f>$I$8*$AD$8</f>
        <v>0</v>
      </c>
      <c r="AE60" s="13">
        <f>$I$8*$AE$8</f>
        <v>0</v>
      </c>
      <c r="AF60" s="13">
        <f ca="1">$I$8*$AF$8</f>
        <v>0</v>
      </c>
      <c r="AG60" s="13">
        <f ca="1">$I$8*$AG$8</f>
        <v>0</v>
      </c>
      <c r="AI60" s="13">
        <f>$I$8*$AI$8</f>
        <v>0</v>
      </c>
      <c r="AJ60" s="13">
        <f>$I$8*$AJ$8</f>
        <v>0</v>
      </c>
      <c r="AK60" s="13">
        <f>$I$8*$AK$8</f>
        <v>0</v>
      </c>
      <c r="AL60" s="13">
        <f>$I$8*$AL$8</f>
        <v>0</v>
      </c>
      <c r="AM60" s="13">
        <f>$I$8*$AM$8</f>
        <v>0</v>
      </c>
      <c r="AN60" s="13">
        <f>$I$8*$AN$8</f>
        <v>0</v>
      </c>
      <c r="AO60" s="13">
        <f>$I$8*$AO$8</f>
        <v>0</v>
      </c>
      <c r="AP60" s="13">
        <f>$I$8*$AP$8</f>
        <v>0</v>
      </c>
      <c r="AQ60" s="13">
        <f>$I$8*$AQ$8</f>
        <v>0</v>
      </c>
      <c r="AR60" s="13">
        <f>$I$8*$AR$8</f>
        <v>0</v>
      </c>
      <c r="AS60" s="13">
        <f>$I$8*$AS$8</f>
        <v>0</v>
      </c>
      <c r="AT60" s="13">
        <f>$I$8*$AT$8</f>
        <v>0</v>
      </c>
      <c r="AU60" s="13">
        <f>$I$8*$AU$8</f>
        <v>0</v>
      </c>
      <c r="AV60" s="13">
        <f>$I$8*$AV$8</f>
        <v>0</v>
      </c>
      <c r="AW60" s="13">
        <f>$I$8*$AW$8</f>
        <v>0</v>
      </c>
      <c r="AX60" s="13">
        <f>$I$8*$AX$8</f>
        <v>0</v>
      </c>
      <c r="AY60" s="13">
        <f>$I$8*$AY$8</f>
        <v>0</v>
      </c>
      <c r="AZ60" s="13">
        <f>$I$8*$AZ$8</f>
        <v>0</v>
      </c>
      <c r="BA60" s="13">
        <f>$I$8*$BA$8</f>
        <v>0</v>
      </c>
      <c r="BB60" s="13">
        <f>$I$8*$BB$8</f>
        <v>0</v>
      </c>
      <c r="BC60" s="13">
        <f>$I$8*$BC$8</f>
        <v>0</v>
      </c>
      <c r="BD60" s="13">
        <f>$I$8*$BD$8</f>
        <v>0</v>
      </c>
    </row>
    <row r="61" spans="1:56" ht="11.25" customHeight="1" x14ac:dyDescent="0.3">
      <c r="A61" s="9" t="s">
        <v>34</v>
      </c>
      <c r="B61" s="9" t="s">
        <v>708</v>
      </c>
      <c r="C61" s="9" t="s">
        <v>709</v>
      </c>
      <c r="D61" s="9" t="s">
        <v>710</v>
      </c>
      <c r="E61" s="9" t="s">
        <v>711</v>
      </c>
      <c r="F61" s="9" t="s">
        <v>712</v>
      </c>
      <c r="G61" s="9" t="s">
        <v>713</v>
      </c>
      <c r="L61" s="13">
        <f>$I$9*$L$9</f>
        <v>0</v>
      </c>
      <c r="M61" s="13">
        <f>$I$9*$M$9</f>
        <v>1611.0929358617784</v>
      </c>
      <c r="N61" s="13">
        <f ca="1">$I$9*$N$9</f>
        <v>0</v>
      </c>
      <c r="O61" s="13">
        <f>$I$9*$O$9</f>
        <v>0</v>
      </c>
      <c r="P61" s="13">
        <f>$I$9*$P$9</f>
        <v>0</v>
      </c>
      <c r="Q61" s="13">
        <f>$I$9*$Q$9</f>
        <v>0</v>
      </c>
      <c r="R61" s="13">
        <f>$I$9*$R$9</f>
        <v>0</v>
      </c>
      <c r="S61" s="13">
        <f>$I$9*$S$9</f>
        <v>0</v>
      </c>
      <c r="T61" s="13">
        <f>$I$9*$T$9</f>
        <v>0</v>
      </c>
      <c r="U61" s="13">
        <f>$I$9*$U$9</f>
        <v>0</v>
      </c>
      <c r="V61" s="13">
        <f>$I$9*$V$9</f>
        <v>0</v>
      </c>
      <c r="W61" s="13">
        <f>$I$9*$W$9</f>
        <v>0</v>
      </c>
      <c r="X61" s="13">
        <f>$I$9*$X$9</f>
        <v>0</v>
      </c>
      <c r="Y61" s="13">
        <f>$I$9*$Y$9</f>
        <v>0</v>
      </c>
      <c r="Z61" s="13">
        <f>$I$9*$Z$9</f>
        <v>0</v>
      </c>
      <c r="AA61" s="13">
        <f>$I$9*$AA$9</f>
        <v>929256.49447844061</v>
      </c>
      <c r="AB61" s="13">
        <f ca="1">$I$9*$AB$9</f>
        <v>0</v>
      </c>
      <c r="AC61" s="13">
        <f ca="1">$I$9*$AC$9</f>
        <v>0</v>
      </c>
      <c r="AD61" s="13">
        <f>$I$9*$AD$9</f>
        <v>107.03242609323416</v>
      </c>
      <c r="AE61" s="13">
        <f>$I$9*$AE$9</f>
        <v>0</v>
      </c>
      <c r="AF61" s="13">
        <f ca="1">$I$9*$AF$9</f>
        <v>0</v>
      </c>
      <c r="AG61" s="13">
        <f ca="1">$I$9*$AG$9</f>
        <v>0</v>
      </c>
      <c r="AI61" s="13">
        <f>$I$9*$AI$9</f>
        <v>0</v>
      </c>
      <c r="AJ61" s="13">
        <f>$I$9*$AJ$9</f>
        <v>1283.6375535695852</v>
      </c>
      <c r="AK61" s="13">
        <f>$I$9*$AK$9</f>
        <v>0</v>
      </c>
      <c r="AL61" s="13">
        <f>$I$9*$AL$9</f>
        <v>0</v>
      </c>
      <c r="AM61" s="13">
        <f>$I$9*$AM$9</f>
        <v>0</v>
      </c>
      <c r="AN61" s="13">
        <f>$I$9*$AN$9</f>
        <v>0</v>
      </c>
      <c r="AO61" s="13">
        <f>$I$9*$AO$9</f>
        <v>0</v>
      </c>
      <c r="AP61" s="13">
        <f>$I$9*$AP$9</f>
        <v>0</v>
      </c>
      <c r="AQ61" s="13">
        <f>$I$9*$AQ$9</f>
        <v>0</v>
      </c>
      <c r="AR61" s="13">
        <f>$I$9*$AR$9</f>
        <v>0</v>
      </c>
      <c r="AS61" s="13">
        <f>$I$9*$AS$9</f>
        <v>0</v>
      </c>
      <c r="AT61" s="13">
        <f>$I$9*$AT$9</f>
        <v>0</v>
      </c>
      <c r="AU61" s="13">
        <f>$I$9*$AU$9</f>
        <v>0</v>
      </c>
      <c r="AV61" s="13">
        <f>$I$9*$AV$9</f>
        <v>0</v>
      </c>
      <c r="AW61" s="13">
        <f>$I$9*$AW$9</f>
        <v>0</v>
      </c>
      <c r="AX61" s="13">
        <f>$I$9*$AX$9</f>
        <v>782246.49126523931</v>
      </c>
      <c r="AY61" s="13">
        <f>$I$9*$AY$9</f>
        <v>0</v>
      </c>
      <c r="AZ61" s="13">
        <f>$I$9*$AZ$9</f>
        <v>0</v>
      </c>
      <c r="BA61" s="13">
        <f>$I$9*$BA$9</f>
        <v>0</v>
      </c>
      <c r="BB61" s="13">
        <f>$I$9*$BB$9</f>
        <v>0</v>
      </c>
      <c r="BC61" s="13">
        <f>$I$9*$BC$9</f>
        <v>0</v>
      </c>
      <c r="BD61" s="13">
        <f>$I$9*$BD$9</f>
        <v>0</v>
      </c>
    </row>
    <row r="62" spans="1:56" ht="11.25" customHeight="1" x14ac:dyDescent="0.3">
      <c r="A62" s="9" t="s">
        <v>34</v>
      </c>
      <c r="B62" s="9" t="s">
        <v>714</v>
      </c>
      <c r="C62" s="9" t="s">
        <v>715</v>
      </c>
      <c r="D62" s="9" t="s">
        <v>716</v>
      </c>
      <c r="E62" s="9" t="s">
        <v>717</v>
      </c>
      <c r="F62" s="9" t="s">
        <v>718</v>
      </c>
      <c r="G62" s="9" t="s">
        <v>719</v>
      </c>
      <c r="L62" s="13">
        <f>$I$10*$L$10</f>
        <v>0</v>
      </c>
      <c r="M62" s="13">
        <f>$I$10*$M$10</f>
        <v>0</v>
      </c>
      <c r="N62" s="13">
        <f ca="1">$I$10*$N$10</f>
        <v>0</v>
      </c>
      <c r="O62" s="13">
        <f>$I$10*$O$10</f>
        <v>0</v>
      </c>
      <c r="P62" s="13">
        <f>$I$10*$P$10</f>
        <v>0</v>
      </c>
      <c r="Q62" s="13">
        <f>$I$10*$Q$10</f>
        <v>0</v>
      </c>
      <c r="R62" s="13">
        <f>$I$10*$R$10</f>
        <v>0</v>
      </c>
      <c r="S62" s="13">
        <f>$I$10*$S$10</f>
        <v>0</v>
      </c>
      <c r="T62" s="13">
        <f>$I$10*$T$10</f>
        <v>0</v>
      </c>
      <c r="U62" s="13">
        <f>$I$10*$U$10</f>
        <v>0</v>
      </c>
      <c r="V62" s="13">
        <f>$I$10*$V$10</f>
        <v>0</v>
      </c>
      <c r="W62" s="13">
        <f>$I$10*$W$10</f>
        <v>0</v>
      </c>
      <c r="X62" s="13">
        <f>$I$10*$X$10</f>
        <v>703111.30506928475</v>
      </c>
      <c r="Y62" s="13">
        <f>$I$10*$Y$10</f>
        <v>0</v>
      </c>
      <c r="Z62" s="13">
        <f>$I$10*$Z$10</f>
        <v>0</v>
      </c>
      <c r="AA62" s="13">
        <f>$I$10*$AA$10</f>
        <v>764441.80516031431</v>
      </c>
      <c r="AB62" s="13">
        <f ca="1">$I$10*$AB$10</f>
        <v>0</v>
      </c>
      <c r="AC62" s="13">
        <f ca="1">$I$10*$AC$10</f>
        <v>0</v>
      </c>
      <c r="AD62" s="13">
        <f>$I$10*$AD$10</f>
        <v>0</v>
      </c>
      <c r="AE62" s="13">
        <f>$I$10*$AE$10</f>
        <v>0</v>
      </c>
      <c r="AF62" s="13">
        <f ca="1">$I$10*$AF$10</f>
        <v>0</v>
      </c>
      <c r="AG62" s="13">
        <f ca="1">$I$10*$AG$10</f>
        <v>0</v>
      </c>
      <c r="AI62" s="13">
        <f>$I$10*$AI$10</f>
        <v>0</v>
      </c>
      <c r="AJ62" s="13">
        <f>$I$10*$AJ$10</f>
        <v>0</v>
      </c>
      <c r="AK62" s="13">
        <f>$I$10*$AK$10</f>
        <v>0</v>
      </c>
      <c r="AL62" s="13">
        <f>$I$10*$AL$10</f>
        <v>0</v>
      </c>
      <c r="AM62" s="13">
        <f>$I$10*$AM$10</f>
        <v>0</v>
      </c>
      <c r="AN62" s="13">
        <f>$I$10*$AN$10</f>
        <v>0</v>
      </c>
      <c r="AO62" s="13">
        <f>$I$10*$AO$10</f>
        <v>0</v>
      </c>
      <c r="AP62" s="13">
        <f>$I$10*$AP$10</f>
        <v>0</v>
      </c>
      <c r="AQ62" s="13">
        <f>$I$10*$AQ$10</f>
        <v>0</v>
      </c>
      <c r="AR62" s="13">
        <f>$I$10*$AR$10</f>
        <v>0</v>
      </c>
      <c r="AS62" s="13">
        <f>$I$10*$AS$10</f>
        <v>0</v>
      </c>
      <c r="AT62" s="13">
        <f>$I$10*$AT$10</f>
        <v>0</v>
      </c>
      <c r="AU62" s="13">
        <f>$I$10*$AU$10</f>
        <v>490829.2034859251</v>
      </c>
      <c r="AV62" s="13">
        <f>$I$10*$AV$10</f>
        <v>0</v>
      </c>
      <c r="AW62" s="13">
        <f>$I$10*$AW$10</f>
        <v>0</v>
      </c>
      <c r="AX62" s="13">
        <f>$I$10*$AX$10</f>
        <v>793878.10715902841</v>
      </c>
      <c r="AY62" s="13">
        <f>$I$10*$AY$10</f>
        <v>0</v>
      </c>
      <c r="AZ62" s="13">
        <f>$I$10*$AZ$10</f>
        <v>0</v>
      </c>
      <c r="BA62" s="13">
        <f>$I$10*$BA$10</f>
        <v>0</v>
      </c>
      <c r="BB62" s="13">
        <f>$I$10*$BB$10</f>
        <v>0</v>
      </c>
      <c r="BC62" s="13">
        <f>$I$10*$BC$10</f>
        <v>0</v>
      </c>
      <c r="BD62" s="13">
        <f>$I$10*$BD$10</f>
        <v>0</v>
      </c>
    </row>
    <row r="63" spans="1:56" ht="11.25" customHeight="1" x14ac:dyDescent="0.3">
      <c r="A63" s="9" t="s">
        <v>34</v>
      </c>
      <c r="B63" s="9" t="s">
        <v>714</v>
      </c>
      <c r="C63" s="9" t="s">
        <v>715</v>
      </c>
      <c r="D63" s="9" t="s">
        <v>716</v>
      </c>
      <c r="E63" s="9" t="s">
        <v>717</v>
      </c>
      <c r="F63" s="9" t="s">
        <v>718</v>
      </c>
      <c r="G63" s="9" t="s">
        <v>720</v>
      </c>
      <c r="L63" s="13">
        <f>$I$11*$L$11</f>
        <v>0</v>
      </c>
      <c r="M63" s="13">
        <f>$I$11*$M$11</f>
        <v>620.57191532895763</v>
      </c>
      <c r="N63" s="13">
        <f ca="1">$I$11*$N$11</f>
        <v>0</v>
      </c>
      <c r="O63" s="13">
        <f>$I$11*$O$11</f>
        <v>0</v>
      </c>
      <c r="P63" s="13">
        <f>$I$11*$P$11</f>
        <v>0</v>
      </c>
      <c r="Q63" s="13">
        <f>$I$11*$Q$11</f>
        <v>60100.245982651606</v>
      </c>
      <c r="R63" s="13">
        <f>$I$11*$R$11</f>
        <v>11289.247446537995</v>
      </c>
      <c r="S63" s="13">
        <f>$I$11*$S$11</f>
        <v>0</v>
      </c>
      <c r="T63" s="13">
        <f>$I$11*$T$11</f>
        <v>0</v>
      </c>
      <c r="U63" s="13">
        <f>$I$11*$U$11</f>
        <v>0</v>
      </c>
      <c r="V63" s="13">
        <f>$I$11*$V$11</f>
        <v>0</v>
      </c>
      <c r="W63" s="13">
        <f>$I$11*$W$11</f>
        <v>0</v>
      </c>
      <c r="X63" s="13">
        <f>$I$11*$X$11</f>
        <v>364408.31273471907</v>
      </c>
      <c r="Y63" s="13">
        <f>$I$11*$Y$11</f>
        <v>0</v>
      </c>
      <c r="Z63" s="13">
        <f>$I$11*$Z$11</f>
        <v>0</v>
      </c>
      <c r="AA63" s="13">
        <f>$I$11*$AA$11</f>
        <v>832798.86843918706</v>
      </c>
      <c r="AB63" s="13">
        <f ca="1">$I$11*$AB$11</f>
        <v>0</v>
      </c>
      <c r="AC63" s="13">
        <f ca="1">$I$11*$AC$11</f>
        <v>0</v>
      </c>
      <c r="AD63" s="13">
        <f>$I$11*$AD$11</f>
        <v>13075.493408546143</v>
      </c>
      <c r="AE63" s="13">
        <f>$I$11*$AE$11</f>
        <v>0</v>
      </c>
      <c r="AF63" s="13">
        <f ca="1">$I$11*$AF$11</f>
        <v>2413.3444911041456</v>
      </c>
      <c r="AG63" s="13">
        <f ca="1">$I$11*$AG$11</f>
        <v>0</v>
      </c>
      <c r="AI63" s="13">
        <f>$I$11*$AI$11</f>
        <v>0</v>
      </c>
      <c r="AJ63" s="13">
        <f>$I$11*$AJ$11</f>
        <v>532.88876687995719</v>
      </c>
      <c r="AK63" s="13">
        <f>$I$11*$AK$11</f>
        <v>0</v>
      </c>
      <c r="AL63" s="13">
        <f>$I$11*$AL$11</f>
        <v>0</v>
      </c>
      <c r="AM63" s="13">
        <f>$I$11*$AM$11</f>
        <v>0</v>
      </c>
      <c r="AN63" s="13">
        <f>$I$11*$AN$11</f>
        <v>38630.389282994343</v>
      </c>
      <c r="AO63" s="13">
        <f>$I$11*$AO$11</f>
        <v>6936.0825277769654</v>
      </c>
      <c r="AP63" s="13">
        <f>$I$11*$AP$11</f>
        <v>0</v>
      </c>
      <c r="AQ63" s="13">
        <f>$I$11*$AQ$11</f>
        <v>0</v>
      </c>
      <c r="AR63" s="13">
        <f>$I$11*$AR$11</f>
        <v>0</v>
      </c>
      <c r="AS63" s="13">
        <f>$I$11*$AS$11</f>
        <v>0</v>
      </c>
      <c r="AT63" s="13">
        <f>$I$11*$AT$11</f>
        <v>0</v>
      </c>
      <c r="AU63" s="13">
        <f>$I$11*$AU$11</f>
        <v>361499.20235810679</v>
      </c>
      <c r="AV63" s="13">
        <f>$I$11*$AV$11</f>
        <v>0</v>
      </c>
      <c r="AW63" s="13">
        <f>$I$11*$AW$11</f>
        <v>0</v>
      </c>
      <c r="AX63" s="13">
        <f>$I$11*$AX$11</f>
        <v>847123.31933277601</v>
      </c>
      <c r="AY63" s="13">
        <f>$I$11*$AY$11</f>
        <v>0</v>
      </c>
      <c r="AZ63" s="13">
        <f>$I$11*$AZ$11</f>
        <v>0</v>
      </c>
      <c r="BA63" s="13">
        <f>$I$11*$BA$11</f>
        <v>15390.656450727034</v>
      </c>
      <c r="BB63" s="13">
        <f>$I$11*$BB$11</f>
        <v>0</v>
      </c>
      <c r="BC63" s="13">
        <f>$I$11*$BC$11</f>
        <v>1723.7013538425954</v>
      </c>
      <c r="BD63" s="13">
        <f>$I$11*$BD$11</f>
        <v>0</v>
      </c>
    </row>
    <row r="64" spans="1:56" ht="11.25" customHeight="1" x14ac:dyDescent="0.3">
      <c r="A64" s="9" t="s">
        <v>34</v>
      </c>
      <c r="B64" s="9" t="s">
        <v>714</v>
      </c>
      <c r="C64" s="9" t="s">
        <v>715</v>
      </c>
      <c r="D64" s="9" t="s">
        <v>716</v>
      </c>
      <c r="E64" s="9" t="s">
        <v>717</v>
      </c>
      <c r="F64" s="9" t="s">
        <v>718</v>
      </c>
      <c r="G64" s="9" t="s">
        <v>721</v>
      </c>
      <c r="L64" s="13">
        <f>$I$12*$L$12</f>
        <v>0</v>
      </c>
      <c r="M64" s="13">
        <f>$I$12*$M$12</f>
        <v>10052.749244928589</v>
      </c>
      <c r="N64" s="13">
        <f ca="1">$I$12*$N$12</f>
        <v>0</v>
      </c>
      <c r="O64" s="13">
        <f>$I$12*$O$12</f>
        <v>0</v>
      </c>
      <c r="P64" s="13">
        <f>$I$12*$P$12</f>
        <v>0</v>
      </c>
      <c r="Q64" s="13">
        <f>$I$12*$Q$12</f>
        <v>973574.03307859786</v>
      </c>
      <c r="R64" s="13">
        <f>$I$12*$R$12</f>
        <v>182876.42566589278</v>
      </c>
      <c r="S64" s="13">
        <f>$I$12*$S$12</f>
        <v>0</v>
      </c>
      <c r="T64" s="13">
        <f>$I$12*$T$12</f>
        <v>0</v>
      </c>
      <c r="U64" s="13">
        <f>$I$12*$U$12</f>
        <v>0</v>
      </c>
      <c r="V64" s="13">
        <f>$I$12*$V$12</f>
        <v>0</v>
      </c>
      <c r="W64" s="13">
        <f>$I$12*$W$12</f>
        <v>0</v>
      </c>
      <c r="X64" s="13">
        <f>$I$12*$X$12</f>
        <v>0</v>
      </c>
      <c r="Y64" s="13">
        <f>$I$12*$Y$12</f>
        <v>0</v>
      </c>
      <c r="Z64" s="13">
        <f>$I$12*$Z$12</f>
        <v>0</v>
      </c>
      <c r="AA64" s="13">
        <f>$I$12*$AA$12</f>
        <v>0</v>
      </c>
      <c r="AB64" s="13">
        <f ca="1">$I$12*$AB$12</f>
        <v>0</v>
      </c>
      <c r="AC64" s="13">
        <f ca="1">$I$12*$AC$12</f>
        <v>0</v>
      </c>
      <c r="AD64" s="13">
        <f>$I$12*$AD$12</f>
        <v>211812.12562633253</v>
      </c>
      <c r="AE64" s="13">
        <f>$I$12*$AE$12</f>
        <v>0</v>
      </c>
      <c r="AF64" s="13">
        <f ca="1">$I$12*$AF$12</f>
        <v>39094.174923851402</v>
      </c>
      <c r="AG64" s="13">
        <f ca="1">$I$12*$AG$12</f>
        <v>0</v>
      </c>
      <c r="AI64" s="13">
        <f>$I$12*$AI$12</f>
        <v>0</v>
      </c>
      <c r="AJ64" s="13">
        <f>$I$12*$AJ$12</f>
        <v>8632.3551172046482</v>
      </c>
      <c r="AK64" s="13">
        <f>$I$12*$AK$12</f>
        <v>0</v>
      </c>
      <c r="AL64" s="13">
        <f>$I$12*$AL$12</f>
        <v>0</v>
      </c>
      <c r="AM64" s="13">
        <f>$I$12*$AM$12</f>
        <v>0</v>
      </c>
      <c r="AN64" s="13">
        <f>$I$12*$AN$12</f>
        <v>625780.19904439873</v>
      </c>
      <c r="AO64" s="13">
        <f>$I$12*$AO$12</f>
        <v>112358.77208028499</v>
      </c>
      <c r="AP64" s="13">
        <f>$I$12*$AP$12</f>
        <v>0</v>
      </c>
      <c r="AQ64" s="13">
        <f>$I$12*$AQ$12</f>
        <v>0</v>
      </c>
      <c r="AR64" s="13">
        <f>$I$12*$AR$12</f>
        <v>0</v>
      </c>
      <c r="AS64" s="13">
        <f>$I$12*$AS$12</f>
        <v>0</v>
      </c>
      <c r="AT64" s="13">
        <f>$I$12*$AT$12</f>
        <v>0</v>
      </c>
      <c r="AU64" s="13">
        <f>$I$12*$AU$12</f>
        <v>0</v>
      </c>
      <c r="AV64" s="13">
        <f>$I$12*$AV$12</f>
        <v>0</v>
      </c>
      <c r="AW64" s="13">
        <f>$I$12*$AW$12</f>
        <v>0</v>
      </c>
      <c r="AX64" s="13">
        <f>$I$12*$AX$12</f>
        <v>0</v>
      </c>
      <c r="AY64" s="13">
        <f>$I$12*$AY$12</f>
        <v>0</v>
      </c>
      <c r="AZ64" s="13">
        <f>$I$12*$AZ$12</f>
        <v>0</v>
      </c>
      <c r="BA64" s="13">
        <f>$I$12*$BA$12</f>
        <v>249315.84268035585</v>
      </c>
      <c r="BB64" s="13">
        <f>$I$12*$BB$12</f>
        <v>0</v>
      </c>
      <c r="BC64" s="13">
        <f>$I$12*$BC$12</f>
        <v>27922.529291610317</v>
      </c>
      <c r="BD64" s="13">
        <f>$I$12*$BD$12</f>
        <v>0</v>
      </c>
    </row>
    <row r="65" spans="1:56" ht="11.25" customHeight="1" x14ac:dyDescent="0.3">
      <c r="A65" s="9" t="s">
        <v>34</v>
      </c>
      <c r="B65" s="9" t="s">
        <v>714</v>
      </c>
      <c r="C65" s="9" t="s">
        <v>715</v>
      </c>
      <c r="D65" s="9" t="s">
        <v>716</v>
      </c>
      <c r="E65" s="9" t="s">
        <v>722</v>
      </c>
      <c r="F65" s="9" t="s">
        <v>723</v>
      </c>
      <c r="G65" s="9" t="s">
        <v>724</v>
      </c>
      <c r="L65" s="13">
        <f>$I$13*$L$13</f>
        <v>0</v>
      </c>
      <c r="M65" s="13">
        <f>$I$13*$M$13</f>
        <v>0</v>
      </c>
      <c r="N65" s="13">
        <f ca="1">$I$13*$N$13</f>
        <v>0</v>
      </c>
      <c r="O65" s="13">
        <f>$I$13*$O$13</f>
        <v>0</v>
      </c>
      <c r="P65" s="13">
        <f>$I$13*$P$13</f>
        <v>0</v>
      </c>
      <c r="Q65" s="13">
        <f>$I$13*$Q$13</f>
        <v>0</v>
      </c>
      <c r="R65" s="13">
        <f>$I$13*$R$13</f>
        <v>0</v>
      </c>
      <c r="S65" s="13">
        <f>$I$13*$S$13</f>
        <v>0</v>
      </c>
      <c r="T65" s="13">
        <f>$I$13*$T$13</f>
        <v>0</v>
      </c>
      <c r="U65" s="13">
        <f>$I$13*$U$13</f>
        <v>0</v>
      </c>
      <c r="V65" s="13">
        <f>$I$13*$V$13</f>
        <v>0</v>
      </c>
      <c r="W65" s="13">
        <f>$I$13*$W$13</f>
        <v>0</v>
      </c>
      <c r="X65" s="13">
        <f>$I$13*$X$13</f>
        <v>0</v>
      </c>
      <c r="Y65" s="13">
        <f>$I$13*$Y$13</f>
        <v>0</v>
      </c>
      <c r="Z65" s="13">
        <f>$I$13*$Z$13</f>
        <v>0</v>
      </c>
      <c r="AA65" s="13">
        <f>$I$13*$AA$13</f>
        <v>0</v>
      </c>
      <c r="AB65" s="13">
        <f ca="1">$I$13*$AB$13</f>
        <v>0</v>
      </c>
      <c r="AC65" s="13">
        <f ca="1">$I$13*$AC$13</f>
        <v>0</v>
      </c>
      <c r="AD65" s="13">
        <f>$I$13*$AD$13</f>
        <v>0</v>
      </c>
      <c r="AE65" s="13">
        <f>$I$13*$AE$13</f>
        <v>0</v>
      </c>
      <c r="AF65" s="13">
        <f ca="1">$I$13*$AF$13</f>
        <v>0</v>
      </c>
      <c r="AG65" s="13">
        <f ca="1">$I$13*$AG$13</f>
        <v>0</v>
      </c>
      <c r="AI65" s="13">
        <f>$I$13*$AI$13</f>
        <v>0</v>
      </c>
      <c r="AJ65" s="13">
        <f>$I$13*$AJ$13</f>
        <v>0</v>
      </c>
      <c r="AK65" s="13">
        <f>$I$13*$AK$13</f>
        <v>0</v>
      </c>
      <c r="AL65" s="13">
        <f>$I$13*$AL$13</f>
        <v>0</v>
      </c>
      <c r="AM65" s="13">
        <f>$I$13*$AM$13</f>
        <v>0</v>
      </c>
      <c r="AN65" s="13">
        <f>$I$13*$AN$13</f>
        <v>0</v>
      </c>
      <c r="AO65" s="13">
        <f>$I$13*$AO$13</f>
        <v>0</v>
      </c>
      <c r="AP65" s="13">
        <f>$I$13*$AP$13</f>
        <v>0</v>
      </c>
      <c r="AQ65" s="13">
        <f>$I$13*$AQ$13</f>
        <v>0</v>
      </c>
      <c r="AR65" s="13">
        <f>$I$13*$AR$13</f>
        <v>0</v>
      </c>
      <c r="AS65" s="13">
        <f>$I$13*$AS$13</f>
        <v>0</v>
      </c>
      <c r="AT65" s="13">
        <f>$I$13*$AT$13</f>
        <v>0</v>
      </c>
      <c r="AU65" s="13">
        <f>$I$13*$AU$13</f>
        <v>0</v>
      </c>
      <c r="AV65" s="13">
        <f>$I$13*$AV$13</f>
        <v>0</v>
      </c>
      <c r="AW65" s="13">
        <f>$I$13*$AW$13</f>
        <v>0</v>
      </c>
      <c r="AX65" s="13">
        <f>$I$13*$AX$13</f>
        <v>0</v>
      </c>
      <c r="AY65" s="13">
        <f>$I$13*$AY$13</f>
        <v>0</v>
      </c>
      <c r="AZ65" s="13">
        <f>$I$13*$AZ$13</f>
        <v>0</v>
      </c>
      <c r="BA65" s="13">
        <f>$I$13*$BA$13</f>
        <v>0</v>
      </c>
      <c r="BB65" s="13">
        <f>$I$13*$BB$13</f>
        <v>0</v>
      </c>
      <c r="BC65" s="13">
        <f>$I$13*$BC$13</f>
        <v>0</v>
      </c>
      <c r="BD65" s="13">
        <f>$I$13*$BD$13</f>
        <v>0</v>
      </c>
    </row>
    <row r="66" spans="1:56" ht="11.25" customHeight="1" x14ac:dyDescent="0.3">
      <c r="A66" s="9" t="s">
        <v>34</v>
      </c>
      <c r="B66" s="9" t="s">
        <v>714</v>
      </c>
      <c r="C66" s="9" t="s">
        <v>715</v>
      </c>
      <c r="D66" s="9" t="s">
        <v>716</v>
      </c>
      <c r="E66" s="9" t="s">
        <v>722</v>
      </c>
      <c r="F66" s="9" t="s">
        <v>723</v>
      </c>
      <c r="G66" s="9" t="s">
        <v>725</v>
      </c>
      <c r="L66" s="13">
        <f>$I$14*$L$14</f>
        <v>0</v>
      </c>
      <c r="M66" s="13">
        <f>$I$14*$M$14</f>
        <v>0</v>
      </c>
      <c r="N66" s="13">
        <f ca="1">$I$14*$N$14</f>
        <v>0</v>
      </c>
      <c r="O66" s="13">
        <f>$I$14*$O$14</f>
        <v>0</v>
      </c>
      <c r="P66" s="13">
        <f>$I$14*$P$14</f>
        <v>0</v>
      </c>
      <c r="Q66" s="13">
        <f>$I$14*$Q$14</f>
        <v>0</v>
      </c>
      <c r="R66" s="13">
        <f>$I$14*$R$14</f>
        <v>0</v>
      </c>
      <c r="S66" s="13">
        <f>$I$14*$S$14</f>
        <v>0</v>
      </c>
      <c r="T66" s="13">
        <f>$I$14*$T$14</f>
        <v>0</v>
      </c>
      <c r="U66" s="13">
        <f>$I$14*$U$14</f>
        <v>0</v>
      </c>
      <c r="V66" s="13">
        <f>$I$14*$V$14</f>
        <v>0</v>
      </c>
      <c r="W66" s="13">
        <f>$I$14*$W$14</f>
        <v>0</v>
      </c>
      <c r="X66" s="13">
        <f>$I$14*$X$14</f>
        <v>0</v>
      </c>
      <c r="Y66" s="13">
        <f>$I$14*$Y$14</f>
        <v>0</v>
      </c>
      <c r="Z66" s="13">
        <f>$I$14*$Z$14</f>
        <v>0</v>
      </c>
      <c r="AA66" s="13">
        <f>$I$14*$AA$14</f>
        <v>0</v>
      </c>
      <c r="AB66" s="13">
        <f ca="1">$I$14*$AB$14</f>
        <v>0</v>
      </c>
      <c r="AC66" s="13">
        <f ca="1">$I$14*$AC$14</f>
        <v>0</v>
      </c>
      <c r="AD66" s="13">
        <f>$I$14*$AD$14</f>
        <v>0</v>
      </c>
      <c r="AE66" s="13">
        <f>$I$14*$AE$14</f>
        <v>0</v>
      </c>
      <c r="AF66" s="13">
        <f ca="1">$I$14*$AF$14</f>
        <v>0</v>
      </c>
      <c r="AG66" s="13">
        <f ca="1">$I$14*$AG$14</f>
        <v>0</v>
      </c>
      <c r="AI66" s="13">
        <f>$I$14*$AI$14</f>
        <v>0</v>
      </c>
      <c r="AJ66" s="13">
        <f>$I$14*$AJ$14</f>
        <v>0</v>
      </c>
      <c r="AK66" s="13">
        <f>$I$14*$AK$14</f>
        <v>0</v>
      </c>
      <c r="AL66" s="13">
        <f>$I$14*$AL$14</f>
        <v>0</v>
      </c>
      <c r="AM66" s="13">
        <f>$I$14*$AM$14</f>
        <v>0</v>
      </c>
      <c r="AN66" s="13">
        <f>$I$14*$AN$14</f>
        <v>0</v>
      </c>
      <c r="AO66" s="13">
        <f>$I$14*$AO$14</f>
        <v>0</v>
      </c>
      <c r="AP66" s="13">
        <f>$I$14*$AP$14</f>
        <v>0</v>
      </c>
      <c r="AQ66" s="13">
        <f>$I$14*$AQ$14</f>
        <v>0</v>
      </c>
      <c r="AR66" s="13">
        <f>$I$14*$AR$14</f>
        <v>0</v>
      </c>
      <c r="AS66" s="13">
        <f>$I$14*$AS$14</f>
        <v>0</v>
      </c>
      <c r="AT66" s="13">
        <f>$I$14*$AT$14</f>
        <v>0</v>
      </c>
      <c r="AU66" s="13">
        <f>$I$14*$AU$14</f>
        <v>0</v>
      </c>
      <c r="AV66" s="13">
        <f>$I$14*$AV$14</f>
        <v>0</v>
      </c>
      <c r="AW66" s="13">
        <f>$I$14*$AW$14</f>
        <v>0</v>
      </c>
      <c r="AX66" s="13">
        <f>$I$14*$AX$14</f>
        <v>0</v>
      </c>
      <c r="AY66" s="13">
        <f>$I$14*$AY$14</f>
        <v>0</v>
      </c>
      <c r="AZ66" s="13">
        <f>$I$14*$AZ$14</f>
        <v>0</v>
      </c>
      <c r="BA66" s="13">
        <f>$I$14*$BA$14</f>
        <v>0</v>
      </c>
      <c r="BB66" s="13">
        <f>$I$14*$BB$14</f>
        <v>0</v>
      </c>
      <c r="BC66" s="13">
        <f>$I$14*$BC$14</f>
        <v>0</v>
      </c>
      <c r="BD66" s="13">
        <f>$I$14*$BD$14</f>
        <v>0</v>
      </c>
    </row>
    <row r="67" spans="1:56" ht="11.25" customHeight="1" x14ac:dyDescent="0.3">
      <c r="A67" s="9" t="s">
        <v>88</v>
      </c>
      <c r="B67" s="9" t="s">
        <v>726</v>
      </c>
      <c r="C67" s="9" t="s">
        <v>727</v>
      </c>
      <c r="D67" s="9" t="s">
        <v>728</v>
      </c>
      <c r="E67" s="9" t="s">
        <v>729</v>
      </c>
      <c r="F67" s="9" t="s">
        <v>730</v>
      </c>
      <c r="G67" s="9" t="s">
        <v>731</v>
      </c>
      <c r="L67" s="13">
        <f>$I$15*$L$15</f>
        <v>0</v>
      </c>
      <c r="M67" s="13">
        <f>$I$15*$M$15</f>
        <v>6.7070260927912473E-11</v>
      </c>
      <c r="N67" s="13">
        <f ca="1">$I$15*$N$15</f>
        <v>0</v>
      </c>
      <c r="O67" s="13">
        <f>$I$15*$O$15</f>
        <v>0</v>
      </c>
      <c r="P67" s="13">
        <f>$I$15*$P$15</f>
        <v>0</v>
      </c>
      <c r="Q67" s="13">
        <f>$I$15*$Q$15</f>
        <v>0</v>
      </c>
      <c r="R67" s="13">
        <f>$I$15*$R$15</f>
        <v>0</v>
      </c>
      <c r="S67" s="13">
        <f>$I$15*$S$15</f>
        <v>0</v>
      </c>
      <c r="T67" s="13">
        <f>$I$15*$T$15</f>
        <v>0</v>
      </c>
      <c r="U67" s="13">
        <f>$I$15*$U$15</f>
        <v>0</v>
      </c>
      <c r="V67" s="13">
        <f>$I$15*$V$15</f>
        <v>0</v>
      </c>
      <c r="W67" s="13">
        <f>$I$15*$W$15</f>
        <v>0</v>
      </c>
      <c r="X67" s="13">
        <f>$I$15*$X$15</f>
        <v>0</v>
      </c>
      <c r="Y67" s="13">
        <f>$I$15*$Y$15</f>
        <v>0</v>
      </c>
      <c r="Z67" s="13">
        <f>$I$15*$Z$15</f>
        <v>0</v>
      </c>
      <c r="AA67" s="13">
        <f>$I$15*$AA$15</f>
        <v>3.8805197280191057E-8</v>
      </c>
      <c r="AB67" s="13">
        <f ca="1">$I$15*$AB$15</f>
        <v>0</v>
      </c>
      <c r="AC67" s="13">
        <f ca="1">$I$15*$AC$15</f>
        <v>0</v>
      </c>
      <c r="AD67" s="13">
        <f>$I$15*$AD$15</f>
        <v>0</v>
      </c>
      <c r="AE67" s="13">
        <f>$I$15*$AE$15</f>
        <v>0</v>
      </c>
      <c r="AF67" s="13">
        <f ca="1">$I$15*$AF$15</f>
        <v>0</v>
      </c>
      <c r="AG67" s="13">
        <f ca="1">$I$15*$AG$15</f>
        <v>0</v>
      </c>
      <c r="AI67" s="13">
        <f>$I$15*$AI$15</f>
        <v>0</v>
      </c>
      <c r="AJ67" s="13">
        <f>$I$15*$AJ$15</f>
        <v>9.6089258316279499E-11</v>
      </c>
      <c r="AK67" s="13">
        <f>$I$15*$AK$15</f>
        <v>0</v>
      </c>
      <c r="AL67" s="13">
        <f>$I$15*$AL$15</f>
        <v>0</v>
      </c>
      <c r="AM67" s="13">
        <f>$I$15*$AM$15</f>
        <v>0</v>
      </c>
      <c r="AN67" s="13">
        <f>$I$15*$AN$15</f>
        <v>0</v>
      </c>
      <c r="AO67" s="13">
        <f>$I$15*$AO$15</f>
        <v>0</v>
      </c>
      <c r="AP67" s="13">
        <f>$I$15*$AP$15</f>
        <v>0</v>
      </c>
      <c r="AQ67" s="13">
        <f>$I$15*$AQ$15</f>
        <v>0</v>
      </c>
      <c r="AR67" s="13">
        <f>$I$15*$AR$15</f>
        <v>0</v>
      </c>
      <c r="AS67" s="13">
        <f>$I$15*$AS$15</f>
        <v>0</v>
      </c>
      <c r="AT67" s="13">
        <f>$I$15*$AT$15</f>
        <v>0</v>
      </c>
      <c r="AU67" s="13">
        <f>$I$15*$AU$15</f>
        <v>0</v>
      </c>
      <c r="AV67" s="13">
        <f>$I$15*$AV$15</f>
        <v>0</v>
      </c>
      <c r="AW67" s="13">
        <f>$I$15*$AW$15</f>
        <v>0</v>
      </c>
      <c r="AX67" s="13">
        <f>$I$15*$AX$15</f>
        <v>5.8656146561439702E-8</v>
      </c>
      <c r="AY67" s="13">
        <f>$I$15*$AY$15</f>
        <v>0</v>
      </c>
      <c r="AZ67" s="13">
        <f>$I$15*$AZ$15</f>
        <v>0</v>
      </c>
      <c r="BA67" s="13">
        <f>$I$15*$BA$15</f>
        <v>0</v>
      </c>
      <c r="BB67" s="13">
        <f>$I$15*$BB$15</f>
        <v>0</v>
      </c>
      <c r="BC67" s="13">
        <f>$I$15*$BC$15</f>
        <v>0</v>
      </c>
      <c r="BD67" s="13">
        <f>$I$15*$BD$15</f>
        <v>0</v>
      </c>
    </row>
    <row r="68" spans="1:56" ht="11.25" customHeight="1" x14ac:dyDescent="0.3">
      <c r="A68" s="9" t="s">
        <v>88</v>
      </c>
      <c r="B68" s="9" t="s">
        <v>726</v>
      </c>
      <c r="C68" s="9" t="s">
        <v>727</v>
      </c>
      <c r="D68" s="9" t="s">
        <v>728</v>
      </c>
      <c r="E68" s="9" t="s">
        <v>732</v>
      </c>
      <c r="F68" s="9" t="s">
        <v>733</v>
      </c>
      <c r="G68" s="9" t="s">
        <v>734</v>
      </c>
      <c r="L68" s="13">
        <f>$I$16*$L$16</f>
        <v>0</v>
      </c>
      <c r="M68" s="13">
        <f>$I$16*$M$16</f>
        <v>6.7070260927912473E-11</v>
      </c>
      <c r="N68" s="13">
        <f ca="1">$I$16*$N$16</f>
        <v>0</v>
      </c>
      <c r="O68" s="13">
        <f>$I$16*$O$16</f>
        <v>0</v>
      </c>
      <c r="P68" s="13">
        <f>$I$16*$P$16</f>
        <v>0</v>
      </c>
      <c r="Q68" s="13">
        <f>$I$16*$Q$16</f>
        <v>0</v>
      </c>
      <c r="R68" s="13">
        <f>$I$16*$R$16</f>
        <v>0</v>
      </c>
      <c r="S68" s="13">
        <f>$I$16*$S$16</f>
        <v>0</v>
      </c>
      <c r="T68" s="13">
        <f>$I$16*$T$16</f>
        <v>0</v>
      </c>
      <c r="U68" s="13">
        <f>$I$16*$U$16</f>
        <v>0</v>
      </c>
      <c r="V68" s="13">
        <f>$I$16*$V$16</f>
        <v>0</v>
      </c>
      <c r="W68" s="13">
        <f>$I$16*$W$16</f>
        <v>0</v>
      </c>
      <c r="X68" s="13">
        <f>$I$16*$X$16</f>
        <v>0</v>
      </c>
      <c r="Y68" s="13">
        <f>$I$16*$Y$16</f>
        <v>0</v>
      </c>
      <c r="Z68" s="13">
        <f>$I$16*$Z$16</f>
        <v>0</v>
      </c>
      <c r="AA68" s="13">
        <f>$I$16*$AA$16</f>
        <v>1.1550396127863603E-7</v>
      </c>
      <c r="AB68" s="13">
        <f ca="1">$I$16*$AB$16</f>
        <v>0</v>
      </c>
      <c r="AC68" s="13">
        <f ca="1">$I$16*$AC$16</f>
        <v>0</v>
      </c>
      <c r="AD68" s="13">
        <f>$I$16*$AD$16</f>
        <v>0</v>
      </c>
      <c r="AE68" s="13">
        <f>$I$16*$AE$16</f>
        <v>0</v>
      </c>
      <c r="AF68" s="13">
        <f ca="1">$I$16*$AF$16</f>
        <v>0</v>
      </c>
      <c r="AG68" s="13">
        <f ca="1">$I$16*$AG$16</f>
        <v>0</v>
      </c>
      <c r="AI68" s="13">
        <f>$I$16*$AI$16</f>
        <v>0</v>
      </c>
      <c r="AJ68" s="13">
        <f>$I$16*$AJ$16</f>
        <v>9.6089258316279499E-11</v>
      </c>
      <c r="AK68" s="13">
        <f>$I$16*$AK$16</f>
        <v>0</v>
      </c>
      <c r="AL68" s="13">
        <f>$I$16*$AL$16</f>
        <v>0</v>
      </c>
      <c r="AM68" s="13">
        <f>$I$16*$AM$16</f>
        <v>0</v>
      </c>
      <c r="AN68" s="13">
        <f>$I$16*$AN$16</f>
        <v>0</v>
      </c>
      <c r="AO68" s="13">
        <f>$I$16*$AO$16</f>
        <v>0</v>
      </c>
      <c r="AP68" s="13">
        <f>$I$16*$AP$16</f>
        <v>0</v>
      </c>
      <c r="AQ68" s="13">
        <f>$I$16*$AQ$16</f>
        <v>0</v>
      </c>
      <c r="AR68" s="13">
        <f>$I$16*$AR$16</f>
        <v>0</v>
      </c>
      <c r="AS68" s="13">
        <f>$I$16*$AS$16</f>
        <v>0</v>
      </c>
      <c r="AT68" s="13">
        <f>$I$16*$AT$16</f>
        <v>0</v>
      </c>
      <c r="AU68" s="13">
        <f>$I$16*$AU$16</f>
        <v>0</v>
      </c>
      <c r="AV68" s="13">
        <f>$I$16*$AV$16</f>
        <v>0</v>
      </c>
      <c r="AW68" s="13">
        <f>$I$16*$AW$16</f>
        <v>0</v>
      </c>
      <c r="AX68" s="13">
        <f>$I$16*$AX$16</f>
        <v>1.19342407977861E-7</v>
      </c>
      <c r="AY68" s="13">
        <f>$I$16*$AY$16</f>
        <v>0</v>
      </c>
      <c r="AZ68" s="13">
        <f>$I$16*$AZ$16</f>
        <v>0</v>
      </c>
      <c r="BA68" s="13">
        <f>$I$16*$BA$16</f>
        <v>0</v>
      </c>
      <c r="BB68" s="13">
        <f>$I$16*$BB$16</f>
        <v>0</v>
      </c>
      <c r="BC68" s="13">
        <f>$I$16*$BC$16</f>
        <v>0</v>
      </c>
      <c r="BD68" s="13">
        <f>$I$16*$BD$16</f>
        <v>0</v>
      </c>
    </row>
    <row r="69" spans="1:56" ht="11.25" customHeight="1" x14ac:dyDescent="0.3">
      <c r="A69" s="9" t="s">
        <v>22</v>
      </c>
      <c r="B69" s="9" t="s">
        <v>735</v>
      </c>
      <c r="C69" s="9" t="s">
        <v>736</v>
      </c>
      <c r="D69" s="9" t="s">
        <v>737</v>
      </c>
      <c r="E69" s="9" t="s">
        <v>738</v>
      </c>
      <c r="F69" s="9" t="s">
        <v>739</v>
      </c>
      <c r="G69" s="9" t="s">
        <v>740</v>
      </c>
      <c r="L69" s="13">
        <f>$I$17*$L$17</f>
        <v>0</v>
      </c>
      <c r="M69" s="13">
        <f>$I$17*$M$17</f>
        <v>0</v>
      </c>
      <c r="N69" s="13">
        <f ca="1">$I$17*$N$17</f>
        <v>0</v>
      </c>
      <c r="O69" s="13">
        <f>$I$17*$O$17</f>
        <v>0</v>
      </c>
      <c r="P69" s="13">
        <f>$I$17*$P$17</f>
        <v>0</v>
      </c>
      <c r="Q69" s="13">
        <f>$I$17*$Q$17</f>
        <v>0</v>
      </c>
      <c r="R69" s="13">
        <f>$I$17*$R$17</f>
        <v>0</v>
      </c>
      <c r="S69" s="13">
        <f>$I$17*$S$17</f>
        <v>0</v>
      </c>
      <c r="T69" s="13">
        <f>$I$17*$T$17</f>
        <v>0</v>
      </c>
      <c r="U69" s="13">
        <f>$I$17*$U$17</f>
        <v>0</v>
      </c>
      <c r="V69" s="13">
        <f>$I$17*$V$17</f>
        <v>0</v>
      </c>
      <c r="W69" s="13">
        <f>$I$17*$W$17</f>
        <v>0</v>
      </c>
      <c r="X69" s="13">
        <f>$I$17*$X$17</f>
        <v>0</v>
      </c>
      <c r="Y69" s="13">
        <f>$I$17*$Y$17</f>
        <v>0</v>
      </c>
      <c r="Z69" s="13">
        <f>$I$17*$Z$17</f>
        <v>0</v>
      </c>
      <c r="AA69" s="13">
        <f>$I$17*$AA$17</f>
        <v>0</v>
      </c>
      <c r="AB69" s="13">
        <f ca="1">$I$17*$AB$17</f>
        <v>0</v>
      </c>
      <c r="AC69" s="13">
        <f ca="1">$I$17*$AC$17</f>
        <v>0</v>
      </c>
      <c r="AD69" s="13">
        <f>$I$17*$AD$17</f>
        <v>0</v>
      </c>
      <c r="AE69" s="13">
        <f>$I$17*$AE$17</f>
        <v>0</v>
      </c>
      <c r="AF69" s="13">
        <f ca="1">$I$17*$AF$17</f>
        <v>0</v>
      </c>
      <c r="AG69" s="13">
        <f ca="1">$I$17*$AG$17</f>
        <v>0</v>
      </c>
      <c r="AI69" s="13">
        <f>$I$17*$AI$17</f>
        <v>0</v>
      </c>
      <c r="AJ69" s="13">
        <f>$I$17*$AJ$17</f>
        <v>0</v>
      </c>
      <c r="AK69" s="13">
        <f>$I$17*$AK$17</f>
        <v>0</v>
      </c>
      <c r="AL69" s="13">
        <f>$I$17*$AL$17</f>
        <v>0</v>
      </c>
      <c r="AM69" s="13">
        <f>$I$17*$AM$17</f>
        <v>0</v>
      </c>
      <c r="AN69" s="13">
        <f>$I$17*$AN$17</f>
        <v>0</v>
      </c>
      <c r="AO69" s="13">
        <f>$I$17*$AO$17</f>
        <v>0</v>
      </c>
      <c r="AP69" s="13">
        <f>$I$17*$AP$17</f>
        <v>0</v>
      </c>
      <c r="AQ69" s="13">
        <f>$I$17*$AQ$17</f>
        <v>0</v>
      </c>
      <c r="AR69" s="13">
        <f>$I$17*$AR$17</f>
        <v>0</v>
      </c>
      <c r="AS69" s="13">
        <f>$I$17*$AS$17</f>
        <v>0</v>
      </c>
      <c r="AT69" s="13">
        <f>$I$17*$AT$17</f>
        <v>0</v>
      </c>
      <c r="AU69" s="13">
        <f>$I$17*$AU$17</f>
        <v>0</v>
      </c>
      <c r="AV69" s="13">
        <f>$I$17*$AV$17</f>
        <v>0</v>
      </c>
      <c r="AW69" s="13">
        <f>$I$17*$AW$17</f>
        <v>0</v>
      </c>
      <c r="AX69" s="13">
        <f>$I$17*$AX$17</f>
        <v>0</v>
      </c>
      <c r="AY69" s="13">
        <f>$I$17*$AY$17</f>
        <v>0</v>
      </c>
      <c r="AZ69" s="13">
        <f>$I$17*$AZ$17</f>
        <v>0</v>
      </c>
      <c r="BA69" s="13">
        <f>$I$17*$BA$17</f>
        <v>0</v>
      </c>
      <c r="BB69" s="13">
        <f>$I$17*$BB$17</f>
        <v>0</v>
      </c>
      <c r="BC69" s="13">
        <f>$I$17*$BC$17</f>
        <v>0</v>
      </c>
      <c r="BD69" s="13">
        <f>$I$17*$BD$17</f>
        <v>0</v>
      </c>
    </row>
    <row r="70" spans="1:56" ht="11.25" customHeight="1" x14ac:dyDescent="0.3">
      <c r="A70" s="9" t="s">
        <v>22</v>
      </c>
      <c r="B70" s="9" t="s">
        <v>735</v>
      </c>
      <c r="C70" s="9" t="s">
        <v>736</v>
      </c>
      <c r="D70" s="9" t="s">
        <v>737</v>
      </c>
      <c r="E70" s="9" t="s">
        <v>738</v>
      </c>
      <c r="F70" s="9" t="s">
        <v>739</v>
      </c>
      <c r="G70" s="9" t="s">
        <v>741</v>
      </c>
      <c r="L70" s="13">
        <f>$I$18*$L$18</f>
        <v>0</v>
      </c>
      <c r="M70" s="13">
        <f>$I$18*$M$18</f>
        <v>0</v>
      </c>
      <c r="N70" s="13">
        <f ca="1">$I$18*$N$18</f>
        <v>0</v>
      </c>
      <c r="O70" s="13">
        <f>$I$18*$O$18</f>
        <v>0</v>
      </c>
      <c r="P70" s="13">
        <f>$I$18*$P$18</f>
        <v>0</v>
      </c>
      <c r="Q70" s="13">
        <f>$I$18*$Q$18</f>
        <v>0</v>
      </c>
      <c r="R70" s="13">
        <f>$I$18*$R$18</f>
        <v>0</v>
      </c>
      <c r="S70" s="13">
        <f>$I$18*$S$18</f>
        <v>0</v>
      </c>
      <c r="T70" s="13">
        <f>$I$18*$T$18</f>
        <v>0</v>
      </c>
      <c r="U70" s="13">
        <f>$I$18*$U$18</f>
        <v>0</v>
      </c>
      <c r="V70" s="13">
        <f>$I$18*$V$18</f>
        <v>0</v>
      </c>
      <c r="W70" s="13">
        <f>$I$18*$W$18</f>
        <v>0</v>
      </c>
      <c r="X70" s="13">
        <f>$I$18*$X$18</f>
        <v>0</v>
      </c>
      <c r="Y70" s="13">
        <f>$I$18*$Y$18</f>
        <v>0</v>
      </c>
      <c r="Z70" s="13">
        <f>$I$18*$Z$18</f>
        <v>0</v>
      </c>
      <c r="AA70" s="13">
        <f>$I$18*$AA$18</f>
        <v>0</v>
      </c>
      <c r="AB70" s="13">
        <f ca="1">$I$18*$AB$18</f>
        <v>0</v>
      </c>
      <c r="AC70" s="13">
        <f ca="1">$I$18*$AC$18</f>
        <v>0</v>
      </c>
      <c r="AD70" s="13">
        <f>$I$18*$AD$18</f>
        <v>0</v>
      </c>
      <c r="AE70" s="13">
        <f>$I$18*$AE$18</f>
        <v>0</v>
      </c>
      <c r="AF70" s="13">
        <f ca="1">$I$18*$AF$18</f>
        <v>0</v>
      </c>
      <c r="AG70" s="13">
        <f ca="1">$I$18*$AG$18</f>
        <v>0</v>
      </c>
      <c r="AI70" s="13">
        <f>$I$18*$AI$18</f>
        <v>0</v>
      </c>
      <c r="AJ70" s="13">
        <f>$I$18*$AJ$18</f>
        <v>0</v>
      </c>
      <c r="AK70" s="13">
        <f>$I$18*$AK$18</f>
        <v>0</v>
      </c>
      <c r="AL70" s="13">
        <f>$I$18*$AL$18</f>
        <v>0</v>
      </c>
      <c r="AM70" s="13">
        <f>$I$18*$AM$18</f>
        <v>0</v>
      </c>
      <c r="AN70" s="13">
        <f>$I$18*$AN$18</f>
        <v>0</v>
      </c>
      <c r="AO70" s="13">
        <f>$I$18*$AO$18</f>
        <v>0</v>
      </c>
      <c r="AP70" s="13">
        <f>$I$18*$AP$18</f>
        <v>0</v>
      </c>
      <c r="AQ70" s="13">
        <f>$I$18*$AQ$18</f>
        <v>0</v>
      </c>
      <c r="AR70" s="13">
        <f>$I$18*$AR$18</f>
        <v>0</v>
      </c>
      <c r="AS70" s="13">
        <f>$I$18*$AS$18</f>
        <v>0</v>
      </c>
      <c r="AT70" s="13">
        <f>$I$18*$AT$18</f>
        <v>0</v>
      </c>
      <c r="AU70" s="13">
        <f>$I$18*$AU$18</f>
        <v>0</v>
      </c>
      <c r="AV70" s="13">
        <f>$I$18*$AV$18</f>
        <v>0</v>
      </c>
      <c r="AW70" s="13">
        <f>$I$18*$AW$18</f>
        <v>0</v>
      </c>
      <c r="AX70" s="13">
        <f>$I$18*$AX$18</f>
        <v>0</v>
      </c>
      <c r="AY70" s="13">
        <f>$I$18*$AY$18</f>
        <v>0</v>
      </c>
      <c r="AZ70" s="13">
        <f>$I$18*$AZ$18</f>
        <v>0</v>
      </c>
      <c r="BA70" s="13">
        <f>$I$18*$BA$18</f>
        <v>0</v>
      </c>
      <c r="BB70" s="13">
        <f>$I$18*$BB$18</f>
        <v>0</v>
      </c>
      <c r="BC70" s="13">
        <f>$I$18*$BC$18</f>
        <v>0</v>
      </c>
      <c r="BD70" s="13">
        <f>$I$18*$BD$18</f>
        <v>0</v>
      </c>
    </row>
    <row r="71" spans="1:56" ht="11.25" customHeight="1" x14ac:dyDescent="0.3">
      <c r="A71" s="9" t="s">
        <v>22</v>
      </c>
      <c r="B71" s="9" t="s">
        <v>735</v>
      </c>
      <c r="C71" s="9" t="s">
        <v>736</v>
      </c>
      <c r="D71" s="9" t="s">
        <v>737</v>
      </c>
      <c r="E71" s="9" t="s">
        <v>738</v>
      </c>
      <c r="F71" s="9" t="s">
        <v>739</v>
      </c>
      <c r="G71" s="9" t="s">
        <v>742</v>
      </c>
      <c r="L71" s="13">
        <f>$I$19*$L$19</f>
        <v>0</v>
      </c>
      <c r="M71" s="13">
        <f>$I$19*$M$19</f>
        <v>0</v>
      </c>
      <c r="N71" s="13">
        <f ca="1">$I$19*$N$19</f>
        <v>0</v>
      </c>
      <c r="O71" s="13">
        <f>$I$19*$O$19</f>
        <v>0</v>
      </c>
      <c r="P71" s="13">
        <f>$I$19*$P$19</f>
        <v>0</v>
      </c>
      <c r="Q71" s="13">
        <f>$I$19*$Q$19</f>
        <v>0</v>
      </c>
      <c r="R71" s="13">
        <f>$I$19*$R$19</f>
        <v>0</v>
      </c>
      <c r="S71" s="13">
        <f>$I$19*$S$19</f>
        <v>0</v>
      </c>
      <c r="T71" s="13">
        <f>$I$19*$T$19</f>
        <v>0</v>
      </c>
      <c r="U71" s="13">
        <f>$I$19*$U$19</f>
        <v>0</v>
      </c>
      <c r="V71" s="13">
        <f>$I$19*$V$19</f>
        <v>0</v>
      </c>
      <c r="W71" s="13">
        <f>$I$19*$W$19</f>
        <v>0</v>
      </c>
      <c r="X71" s="13">
        <f>$I$19*$X$19</f>
        <v>0</v>
      </c>
      <c r="Y71" s="13">
        <f>$I$19*$Y$19</f>
        <v>0</v>
      </c>
      <c r="Z71" s="13">
        <f>$I$19*$Z$19</f>
        <v>0</v>
      </c>
      <c r="AA71" s="13">
        <f>$I$19*$AA$19</f>
        <v>0</v>
      </c>
      <c r="AB71" s="13">
        <f ca="1">$I$19*$AB$19</f>
        <v>0</v>
      </c>
      <c r="AC71" s="13">
        <f ca="1">$I$19*$AC$19</f>
        <v>0</v>
      </c>
      <c r="AD71" s="13">
        <f>$I$19*$AD$19</f>
        <v>0</v>
      </c>
      <c r="AE71" s="13">
        <f>$I$19*$AE$19</f>
        <v>0</v>
      </c>
      <c r="AF71" s="13">
        <f ca="1">$I$19*$AF$19</f>
        <v>0</v>
      </c>
      <c r="AG71" s="13">
        <f ca="1">$I$19*$AG$19</f>
        <v>0</v>
      </c>
      <c r="AI71" s="13">
        <f>$I$19*$AI$19</f>
        <v>0</v>
      </c>
      <c r="AJ71" s="13">
        <f>$I$19*$AJ$19</f>
        <v>0</v>
      </c>
      <c r="AK71" s="13">
        <f>$I$19*$AK$19</f>
        <v>0</v>
      </c>
      <c r="AL71" s="13">
        <f>$I$19*$AL$19</f>
        <v>0</v>
      </c>
      <c r="AM71" s="13">
        <f>$I$19*$AM$19</f>
        <v>0</v>
      </c>
      <c r="AN71" s="13">
        <f>$I$19*$AN$19</f>
        <v>0</v>
      </c>
      <c r="AO71" s="13">
        <f>$I$19*$AO$19</f>
        <v>0</v>
      </c>
      <c r="AP71" s="13">
        <f>$I$19*$AP$19</f>
        <v>0</v>
      </c>
      <c r="AQ71" s="13">
        <f>$I$19*$AQ$19</f>
        <v>0</v>
      </c>
      <c r="AR71" s="13">
        <f>$I$19*$AR$19</f>
        <v>0</v>
      </c>
      <c r="AS71" s="13">
        <f>$I$19*$AS$19</f>
        <v>0</v>
      </c>
      <c r="AT71" s="13">
        <f>$I$19*$AT$19</f>
        <v>0</v>
      </c>
      <c r="AU71" s="13">
        <f>$I$19*$AU$19</f>
        <v>0</v>
      </c>
      <c r="AV71" s="13">
        <f>$I$19*$AV$19</f>
        <v>0</v>
      </c>
      <c r="AW71" s="13">
        <f>$I$19*$AW$19</f>
        <v>0</v>
      </c>
      <c r="AX71" s="13">
        <f>$I$19*$AX$19</f>
        <v>0</v>
      </c>
      <c r="AY71" s="13">
        <f>$I$19*$AY$19</f>
        <v>0</v>
      </c>
      <c r="AZ71" s="13">
        <f>$I$19*$AZ$19</f>
        <v>0</v>
      </c>
      <c r="BA71" s="13">
        <f>$I$19*$BA$19</f>
        <v>0</v>
      </c>
      <c r="BB71" s="13">
        <f>$I$19*$BB$19</f>
        <v>0</v>
      </c>
      <c r="BC71" s="13">
        <f>$I$19*$BC$19</f>
        <v>0</v>
      </c>
      <c r="BD71" s="13">
        <f>$I$19*$BD$19</f>
        <v>0</v>
      </c>
    </row>
    <row r="72" spans="1:56" ht="11.25" customHeight="1" x14ac:dyDescent="0.3">
      <c r="A72" s="9" t="s">
        <v>22</v>
      </c>
      <c r="B72" s="9" t="s">
        <v>743</v>
      </c>
      <c r="C72" s="9" t="s">
        <v>744</v>
      </c>
      <c r="D72" s="9" t="s">
        <v>745</v>
      </c>
      <c r="E72" s="9" t="s">
        <v>746</v>
      </c>
      <c r="F72" s="9" t="s">
        <v>747</v>
      </c>
      <c r="G72" s="9" t="s">
        <v>748</v>
      </c>
      <c r="L72" s="13">
        <f>$I$20*$L$20</f>
        <v>0</v>
      </c>
      <c r="M72" s="13">
        <f>$I$20*$M$20</f>
        <v>15906.889054622106</v>
      </c>
      <c r="N72" s="13">
        <f ca="1">$I$20*$N$20</f>
        <v>0</v>
      </c>
      <c r="O72" s="13">
        <f>$I$20*$O$20</f>
        <v>0</v>
      </c>
      <c r="P72" s="13">
        <f>$I$20*$P$20</f>
        <v>0</v>
      </c>
      <c r="Q72" s="13">
        <f>$I$20*$Q$20</f>
        <v>1002375.7200762057</v>
      </c>
      <c r="R72" s="13">
        <f>$I$20*$R$20</f>
        <v>158160.69596372542</v>
      </c>
      <c r="S72" s="13">
        <f>$I$20*$S$20</f>
        <v>0</v>
      </c>
      <c r="T72" s="13">
        <f>$I$20*$T$20</f>
        <v>0</v>
      </c>
      <c r="U72" s="13">
        <f>$I$20*$U$20</f>
        <v>0</v>
      </c>
      <c r="V72" s="13">
        <f>$I$20*$V$20</f>
        <v>0</v>
      </c>
      <c r="W72" s="13">
        <f>$I$20*$W$20</f>
        <v>0</v>
      </c>
      <c r="X72" s="13">
        <f>$I$20*$X$20</f>
        <v>734314.28895840084</v>
      </c>
      <c r="Y72" s="13">
        <f>$I$20*$Y$20</f>
        <v>0</v>
      </c>
      <c r="Z72" s="13">
        <f>$I$20*$Z$20</f>
        <v>0</v>
      </c>
      <c r="AA72" s="13">
        <f>$I$20*$AA$20</f>
        <v>2383666.2121291072</v>
      </c>
      <c r="AB72" s="13">
        <f ca="1">$I$20*$AB$20</f>
        <v>0</v>
      </c>
      <c r="AC72" s="13">
        <f ca="1">$I$20*$AC$20</f>
        <v>0</v>
      </c>
      <c r="AD72" s="13">
        <f>$I$20*$AD$20</f>
        <v>365647.36207521794</v>
      </c>
      <c r="AE72" s="13">
        <f>$I$20*$AE$20</f>
        <v>0</v>
      </c>
      <c r="AF72" s="13">
        <f ca="1">$I$20*$AF$20</f>
        <v>48363.782427159094</v>
      </c>
      <c r="AG72" s="13">
        <f ca="1">$I$20*$AG$20</f>
        <v>0</v>
      </c>
      <c r="AI72" s="13">
        <f>$I$20*$AI$20</f>
        <v>0</v>
      </c>
      <c r="AJ72" s="13">
        <f>$I$20*$AJ$20</f>
        <v>12636.656804606773</v>
      </c>
      <c r="AK72" s="13">
        <f>$I$20*$AK$20</f>
        <v>0</v>
      </c>
      <c r="AL72" s="13">
        <f>$I$20*$AL$20</f>
        <v>0</v>
      </c>
      <c r="AM72" s="13">
        <f>$I$20*$AM$20</f>
        <v>0</v>
      </c>
      <c r="AN72" s="13">
        <f>$I$20*$AN$20</f>
        <v>622075.94360285939</v>
      </c>
      <c r="AO72" s="13">
        <f>$I$20*$AO$20</f>
        <v>97173.495846391059</v>
      </c>
      <c r="AP72" s="13">
        <f>$I$20*$AP$20</f>
        <v>0</v>
      </c>
      <c r="AQ72" s="13">
        <f>$I$20*$AQ$20</f>
        <v>0</v>
      </c>
      <c r="AR72" s="13">
        <f>$I$20*$AR$20</f>
        <v>0</v>
      </c>
      <c r="AS72" s="13">
        <f>$I$20*$AS$20</f>
        <v>0</v>
      </c>
      <c r="AT72" s="13">
        <f>$I$20*$AT$20</f>
        <v>0</v>
      </c>
      <c r="AU72" s="13">
        <f>$I$20*$AU$20</f>
        <v>686096.61239609728</v>
      </c>
      <c r="AV72" s="13">
        <f>$I$20*$AV$20</f>
        <v>0</v>
      </c>
      <c r="AW72" s="13">
        <f>$I$20*$AW$20</f>
        <v>0</v>
      </c>
      <c r="AX72" s="13">
        <f>$I$20*$AX$20</f>
        <v>2053745.4291742397</v>
      </c>
      <c r="AY72" s="13">
        <f>$I$20*$AY$20</f>
        <v>0</v>
      </c>
      <c r="AZ72" s="13">
        <f>$I$20*$AZ$20</f>
        <v>0</v>
      </c>
      <c r="BA72" s="13">
        <f>$I$20*$BA$20</f>
        <v>558468.43296126253</v>
      </c>
      <c r="BB72" s="13">
        <f>$I$20*$BB$20</f>
        <v>0</v>
      </c>
      <c r="BC72" s="13">
        <f>$I$20*$BC$20</f>
        <v>35991.396185807738</v>
      </c>
      <c r="BD72" s="13">
        <f>$I$20*$BD$20</f>
        <v>0</v>
      </c>
    </row>
    <row r="73" spans="1:56" ht="11.25" customHeight="1" x14ac:dyDescent="0.3">
      <c r="A73" s="9" t="s">
        <v>22</v>
      </c>
      <c r="B73" s="9" t="s">
        <v>743</v>
      </c>
      <c r="C73" s="9" t="s">
        <v>744</v>
      </c>
      <c r="D73" s="9" t="s">
        <v>749</v>
      </c>
      <c r="E73" s="9" t="s">
        <v>750</v>
      </c>
      <c r="F73" s="9" t="s">
        <v>751</v>
      </c>
      <c r="G73" s="9" t="s">
        <v>752</v>
      </c>
      <c r="L73" s="13">
        <f>$I$21*$L$21</f>
        <v>0</v>
      </c>
      <c r="M73" s="13">
        <f>$I$21*$M$21</f>
        <v>44.298297681321571</v>
      </c>
      <c r="N73" s="13">
        <f ca="1">$I$21*$N$21</f>
        <v>0</v>
      </c>
      <c r="O73" s="13">
        <f>$I$21*$O$21</f>
        <v>0</v>
      </c>
      <c r="P73" s="13">
        <f>$I$21*$P$21</f>
        <v>0</v>
      </c>
      <c r="Q73" s="13">
        <f>$I$21*$Q$21</f>
        <v>0</v>
      </c>
      <c r="R73" s="13">
        <f>$I$21*$R$21</f>
        <v>0</v>
      </c>
      <c r="S73" s="13">
        <f>$I$21*$S$21</f>
        <v>0</v>
      </c>
      <c r="T73" s="13">
        <f>$I$21*$T$21</f>
        <v>0</v>
      </c>
      <c r="U73" s="13">
        <f>$I$21*$U$21</f>
        <v>0</v>
      </c>
      <c r="V73" s="13">
        <f>$I$21*$V$21</f>
        <v>0</v>
      </c>
      <c r="W73" s="13">
        <f>$I$21*$W$21</f>
        <v>0</v>
      </c>
      <c r="X73" s="13">
        <f>$I$21*$X$21</f>
        <v>2044.9550413174738</v>
      </c>
      <c r="Y73" s="13">
        <f>$I$21*$Y$21</f>
        <v>0</v>
      </c>
      <c r="Z73" s="13">
        <f>$I$21*$Z$21</f>
        <v>0</v>
      </c>
      <c r="AA73" s="13">
        <f>$I$21*$AA$21</f>
        <v>6638.1525058239558</v>
      </c>
      <c r="AB73" s="13">
        <f ca="1">$I$21*$AB$21</f>
        <v>0</v>
      </c>
      <c r="AC73" s="13">
        <f ca="1">$I$21*$AC$21</f>
        <v>0</v>
      </c>
      <c r="AD73" s="13">
        <f>$I$21*$AD$21</f>
        <v>1018.2730033495397</v>
      </c>
      <c r="AE73" s="13">
        <f>$I$21*$AE$21</f>
        <v>0</v>
      </c>
      <c r="AF73" s="13">
        <f ca="1">$I$21*$AF$21</f>
        <v>134.68587249185788</v>
      </c>
      <c r="AG73" s="13">
        <f ca="1">$I$21*$AG$21</f>
        <v>0</v>
      </c>
      <c r="AI73" s="13">
        <f>$I$21*$AI$21</f>
        <v>0</v>
      </c>
      <c r="AJ73" s="13">
        <f>$I$21*$AJ$21</f>
        <v>35.191191873216127</v>
      </c>
      <c r="AK73" s="13">
        <f>$I$21*$AK$21</f>
        <v>0</v>
      </c>
      <c r="AL73" s="13">
        <f>$I$21*$AL$21</f>
        <v>0</v>
      </c>
      <c r="AM73" s="13">
        <f>$I$21*$AM$21</f>
        <v>0</v>
      </c>
      <c r="AN73" s="13">
        <f>$I$21*$AN$21</f>
        <v>0</v>
      </c>
      <c r="AO73" s="13">
        <f>$I$21*$AO$21</f>
        <v>0</v>
      </c>
      <c r="AP73" s="13">
        <f>$I$21*$AP$21</f>
        <v>0</v>
      </c>
      <c r="AQ73" s="13">
        <f>$I$21*$AQ$21</f>
        <v>0</v>
      </c>
      <c r="AR73" s="13">
        <f>$I$21*$AR$21</f>
        <v>0</v>
      </c>
      <c r="AS73" s="13">
        <f>$I$21*$AS$21</f>
        <v>0</v>
      </c>
      <c r="AT73" s="13">
        <f>$I$21*$AT$21</f>
        <v>0</v>
      </c>
      <c r="AU73" s="13">
        <f>$I$21*$AU$21</f>
        <v>1910.6760517222101</v>
      </c>
      <c r="AV73" s="13">
        <f>$I$21*$AV$21</f>
        <v>0</v>
      </c>
      <c r="AW73" s="13">
        <f>$I$21*$AW$21</f>
        <v>0</v>
      </c>
      <c r="AX73" s="13">
        <f>$I$21*$AX$21</f>
        <v>5719.3726611664852</v>
      </c>
      <c r="AY73" s="13">
        <f>$I$21*$AY$21</f>
        <v>0</v>
      </c>
      <c r="AZ73" s="13">
        <f>$I$21*$AZ$21</f>
        <v>0</v>
      </c>
      <c r="BA73" s="13">
        <f>$I$21*$BA$21</f>
        <v>1555.2507346966547</v>
      </c>
      <c r="BB73" s="13">
        <f>$I$21*$BB$21</f>
        <v>0</v>
      </c>
      <c r="BC73" s="13">
        <f>$I$21*$BC$21</f>
        <v>100.23063445847134</v>
      </c>
      <c r="BD73" s="13">
        <f>$I$21*$BD$21</f>
        <v>0</v>
      </c>
    </row>
    <row r="74" spans="1:56" ht="11.25" customHeight="1" x14ac:dyDescent="0.3">
      <c r="A74" s="9" t="s">
        <v>22</v>
      </c>
      <c r="B74" s="9" t="s">
        <v>743</v>
      </c>
      <c r="C74" s="9" t="s">
        <v>744</v>
      </c>
      <c r="D74" s="9" t="s">
        <v>753</v>
      </c>
      <c r="E74" s="9" t="s">
        <v>754</v>
      </c>
      <c r="F74" s="9" t="s">
        <v>755</v>
      </c>
      <c r="G74" s="9" t="s">
        <v>756</v>
      </c>
      <c r="L74" s="13">
        <f>$I$22*$L$22</f>
        <v>0</v>
      </c>
      <c r="M74" s="13">
        <f>$I$22*$M$22</f>
        <v>159.35946365638921</v>
      </c>
      <c r="N74" s="13">
        <f ca="1">$I$22*$N$22</f>
        <v>0</v>
      </c>
      <c r="O74" s="13">
        <f>$I$22*$O$22</f>
        <v>0</v>
      </c>
      <c r="P74" s="13">
        <f>$I$22*$P$22</f>
        <v>0</v>
      </c>
      <c r="Q74" s="13">
        <f>$I$22*$Q$22</f>
        <v>0</v>
      </c>
      <c r="R74" s="13">
        <f>$I$22*$R$22</f>
        <v>0</v>
      </c>
      <c r="S74" s="13">
        <f>$I$22*$S$22</f>
        <v>0</v>
      </c>
      <c r="T74" s="13">
        <f>$I$22*$T$22</f>
        <v>0</v>
      </c>
      <c r="U74" s="13">
        <f>$I$22*$U$22</f>
        <v>0</v>
      </c>
      <c r="V74" s="13">
        <f>$I$22*$V$22</f>
        <v>0</v>
      </c>
      <c r="W74" s="13">
        <f>$I$22*$W$22</f>
        <v>0</v>
      </c>
      <c r="X74" s="13">
        <f>$I$22*$X$22</f>
        <v>7356.5566995408681</v>
      </c>
      <c r="Y74" s="13">
        <f>$I$22*$Y$22</f>
        <v>0</v>
      </c>
      <c r="Z74" s="13">
        <f>$I$22*$Z$22</f>
        <v>0</v>
      </c>
      <c r="AA74" s="13">
        <f>$I$22*$AA$22</f>
        <v>23880.204846866305</v>
      </c>
      <c r="AB74" s="13">
        <f ca="1">$I$22*$AB$22</f>
        <v>0</v>
      </c>
      <c r="AC74" s="13">
        <f ca="1">$I$22*$AC$22</f>
        <v>0</v>
      </c>
      <c r="AD74" s="13">
        <f>$I$22*$AD$22</f>
        <v>3663.1529463486636</v>
      </c>
      <c r="AE74" s="13">
        <f>$I$22*$AE$22</f>
        <v>0</v>
      </c>
      <c r="AF74" s="13">
        <f ca="1">$I$22*$AF$22</f>
        <v>484.52129146816839</v>
      </c>
      <c r="AG74" s="13">
        <f ca="1">$I$22*$AG$22</f>
        <v>0</v>
      </c>
      <c r="AI74" s="13">
        <f>$I$22*$AI$22</f>
        <v>0</v>
      </c>
      <c r="AJ74" s="13">
        <f>$I$22*$AJ$22</f>
        <v>126.5974034191712</v>
      </c>
      <c r="AK74" s="13">
        <f>$I$22*$AK$22</f>
        <v>0</v>
      </c>
      <c r="AL74" s="13">
        <f>$I$22*$AL$22</f>
        <v>0</v>
      </c>
      <c r="AM74" s="13">
        <f>$I$22*$AM$22</f>
        <v>0</v>
      </c>
      <c r="AN74" s="13">
        <f>$I$22*$AN$22</f>
        <v>0</v>
      </c>
      <c r="AO74" s="13">
        <f>$I$22*$AO$22</f>
        <v>0</v>
      </c>
      <c r="AP74" s="13">
        <f>$I$22*$AP$22</f>
        <v>0</v>
      </c>
      <c r="AQ74" s="13">
        <f>$I$22*$AQ$22</f>
        <v>0</v>
      </c>
      <c r="AR74" s="13">
        <f>$I$22*$AR$22</f>
        <v>0</v>
      </c>
      <c r="AS74" s="13">
        <f>$I$22*$AS$22</f>
        <v>0</v>
      </c>
      <c r="AT74" s="13">
        <f>$I$22*$AT$22</f>
        <v>0</v>
      </c>
      <c r="AU74" s="13">
        <f>$I$22*$AU$22</f>
        <v>6873.4991356551518</v>
      </c>
      <c r="AV74" s="13">
        <f>$I$22*$AV$22</f>
        <v>0</v>
      </c>
      <c r="AW74" s="13">
        <f>$I$22*$AW$22</f>
        <v>0</v>
      </c>
      <c r="AX74" s="13">
        <f>$I$22*$AX$22</f>
        <v>20574.970313561706</v>
      </c>
      <c r="AY74" s="13">
        <f>$I$22*$AY$22</f>
        <v>0</v>
      </c>
      <c r="AZ74" s="13">
        <f>$I$22*$AZ$22</f>
        <v>0</v>
      </c>
      <c r="BA74" s="13">
        <f>$I$22*$BA$22</f>
        <v>5594.8859415644765</v>
      </c>
      <c r="BB74" s="13">
        <f>$I$22*$BB$22</f>
        <v>0</v>
      </c>
      <c r="BC74" s="13">
        <f>$I$22*$BC$22</f>
        <v>360.57142114462175</v>
      </c>
      <c r="BD74" s="13">
        <f>$I$22*$BD$22</f>
        <v>0</v>
      </c>
    </row>
    <row r="75" spans="1:56" ht="11.25" customHeight="1" x14ac:dyDescent="0.3">
      <c r="A75" s="9" t="s">
        <v>22</v>
      </c>
      <c r="B75" s="9" t="s">
        <v>743</v>
      </c>
      <c r="C75" s="9" t="s">
        <v>744</v>
      </c>
      <c r="D75" s="9" t="s">
        <v>757</v>
      </c>
      <c r="E75" s="9" t="s">
        <v>758</v>
      </c>
      <c r="F75" s="9" t="s">
        <v>759</v>
      </c>
      <c r="G75" s="9" t="s">
        <v>760</v>
      </c>
      <c r="L75" s="13">
        <f>$I$23*$L$23</f>
        <v>0</v>
      </c>
      <c r="M75" s="13">
        <f>$I$23*$M$23</f>
        <v>261.5027488095613</v>
      </c>
      <c r="N75" s="13">
        <f ca="1">$I$23*$N$23</f>
        <v>0</v>
      </c>
      <c r="O75" s="13">
        <f>$I$23*$O$23</f>
        <v>0</v>
      </c>
      <c r="P75" s="13">
        <f>$I$23*$P$23</f>
        <v>0</v>
      </c>
      <c r="Q75" s="13">
        <f>$I$23*$Q$23</f>
        <v>0</v>
      </c>
      <c r="R75" s="13">
        <f>$I$23*$R$23</f>
        <v>0</v>
      </c>
      <c r="S75" s="13">
        <f>$I$23*$S$23</f>
        <v>0</v>
      </c>
      <c r="T75" s="13">
        <f>$I$23*$T$23</f>
        <v>0</v>
      </c>
      <c r="U75" s="13">
        <f>$I$23*$U$23</f>
        <v>0</v>
      </c>
      <c r="V75" s="13">
        <f>$I$23*$V$23</f>
        <v>0</v>
      </c>
      <c r="W75" s="13">
        <f>$I$23*$W$23</f>
        <v>0</v>
      </c>
      <c r="X75" s="13">
        <f>$I$23*$X$23</f>
        <v>12071.826514497692</v>
      </c>
      <c r="Y75" s="13">
        <f>$I$23*$Y$23</f>
        <v>0</v>
      </c>
      <c r="Z75" s="13">
        <f>$I$23*$Z$23</f>
        <v>0</v>
      </c>
      <c r="AA75" s="13">
        <f>$I$23*$AA$23</f>
        <v>39186.497408499381</v>
      </c>
      <c r="AB75" s="13">
        <f ca="1">$I$23*$AB$23</f>
        <v>0</v>
      </c>
      <c r="AC75" s="13">
        <f ca="1">$I$23*$AC$23</f>
        <v>0</v>
      </c>
      <c r="AD75" s="13">
        <f>$I$23*$AD$23</f>
        <v>6011.0930521546888</v>
      </c>
      <c r="AE75" s="13">
        <f>$I$23*$AE$23</f>
        <v>0</v>
      </c>
      <c r="AF75" s="13">
        <f ca="1">$I$23*$AF$23</f>
        <v>795.08079826927019</v>
      </c>
      <c r="AG75" s="13">
        <f ca="1">$I$23*$AG$23</f>
        <v>0</v>
      </c>
      <c r="AI75" s="13">
        <f>$I$23*$AI$23</f>
        <v>0</v>
      </c>
      <c r="AJ75" s="13">
        <f>$I$23*$AJ$23</f>
        <v>207.74146841789357</v>
      </c>
      <c r="AK75" s="13">
        <f>$I$23*$AK$23</f>
        <v>0</v>
      </c>
      <c r="AL75" s="13">
        <f>$I$23*$AL$23</f>
        <v>0</v>
      </c>
      <c r="AM75" s="13">
        <f>$I$23*$AM$23</f>
        <v>0</v>
      </c>
      <c r="AN75" s="13">
        <f>$I$23*$AN$23</f>
        <v>0</v>
      </c>
      <c r="AO75" s="13">
        <f>$I$23*$AO$23</f>
        <v>0</v>
      </c>
      <c r="AP75" s="13">
        <f>$I$23*$AP$23</f>
        <v>0</v>
      </c>
      <c r="AQ75" s="13">
        <f>$I$23*$AQ$23</f>
        <v>0</v>
      </c>
      <c r="AR75" s="13">
        <f>$I$23*$AR$23</f>
        <v>0</v>
      </c>
      <c r="AS75" s="13">
        <f>$I$23*$AS$23</f>
        <v>0</v>
      </c>
      <c r="AT75" s="13">
        <f>$I$23*$AT$23</f>
        <v>0</v>
      </c>
      <c r="AU75" s="13">
        <f>$I$23*$AU$23</f>
        <v>11279.14763687712</v>
      </c>
      <c r="AV75" s="13">
        <f>$I$23*$AV$23</f>
        <v>0</v>
      </c>
      <c r="AW75" s="13">
        <f>$I$23*$AW$23</f>
        <v>0</v>
      </c>
      <c r="AX75" s="13">
        <f>$I$23*$AX$23</f>
        <v>33762.734701923415</v>
      </c>
      <c r="AY75" s="13">
        <f>$I$23*$AY$23</f>
        <v>0</v>
      </c>
      <c r="AZ75" s="13">
        <f>$I$23*$AZ$23</f>
        <v>0</v>
      </c>
      <c r="BA75" s="13">
        <f>$I$23*$BA$23</f>
        <v>9180.9925775714673</v>
      </c>
      <c r="BB75" s="13">
        <f>$I$23*$BB$23</f>
        <v>0</v>
      </c>
      <c r="BC75" s="13">
        <f>$I$23*$BC$23</f>
        <v>591.68382980252431</v>
      </c>
      <c r="BD75" s="13">
        <f>$I$23*$BD$23</f>
        <v>0</v>
      </c>
    </row>
    <row r="76" spans="1:56" ht="11.25" customHeight="1" x14ac:dyDescent="0.3">
      <c r="A76" s="9" t="s">
        <v>22</v>
      </c>
      <c r="B76" s="9" t="s">
        <v>743</v>
      </c>
      <c r="C76" s="9" t="s">
        <v>744</v>
      </c>
      <c r="D76" s="9" t="s">
        <v>761</v>
      </c>
      <c r="E76" s="9" t="s">
        <v>762</v>
      </c>
      <c r="F76" s="9" t="s">
        <v>763</v>
      </c>
      <c r="G76" s="9" t="s">
        <v>764</v>
      </c>
      <c r="L76" s="13">
        <f>$I$24*$L$24</f>
        <v>0</v>
      </c>
      <c r="M76" s="13">
        <f>$I$24*$M$24</f>
        <v>117.3892744486966</v>
      </c>
      <c r="N76" s="13">
        <f ca="1">$I$24*$N$24</f>
        <v>0</v>
      </c>
      <c r="O76" s="13">
        <f>$I$24*$O$24</f>
        <v>0</v>
      </c>
      <c r="P76" s="13">
        <f>$I$24*$P$24</f>
        <v>0</v>
      </c>
      <c r="Q76" s="13">
        <f>$I$24*$Q$24</f>
        <v>0</v>
      </c>
      <c r="R76" s="13">
        <f>$I$24*$R$24</f>
        <v>0</v>
      </c>
      <c r="S76" s="13">
        <f>$I$24*$S$24</f>
        <v>0</v>
      </c>
      <c r="T76" s="13">
        <f>$I$24*$T$24</f>
        <v>0</v>
      </c>
      <c r="U76" s="13">
        <f>$I$24*$U$24</f>
        <v>0</v>
      </c>
      <c r="V76" s="13">
        <f>$I$24*$V$24</f>
        <v>0</v>
      </c>
      <c r="W76" s="13">
        <f>$I$24*$W$24</f>
        <v>0</v>
      </c>
      <c r="X76" s="13">
        <f>$I$24*$X$24</f>
        <v>5419.0747984810814</v>
      </c>
      <c r="Y76" s="13">
        <f>$I$24*$Y$24</f>
        <v>0</v>
      </c>
      <c r="Z76" s="13">
        <f>$I$24*$Z$24</f>
        <v>0</v>
      </c>
      <c r="AA76" s="13">
        <f>$I$24*$AA$24</f>
        <v>17590.922160131726</v>
      </c>
      <c r="AB76" s="13">
        <f ca="1">$I$24*$AB$24</f>
        <v>0</v>
      </c>
      <c r="AC76" s="13">
        <f ca="1">$I$24*$AC$24</f>
        <v>0</v>
      </c>
      <c r="AD76" s="13">
        <f>$I$24*$AD$24</f>
        <v>2698.3955436350652</v>
      </c>
      <c r="AE76" s="13">
        <f>$I$24*$AE$24</f>
        <v>0</v>
      </c>
      <c r="AF76" s="13">
        <f ca="1">$I$24*$AF$24</f>
        <v>356.91386978455944</v>
      </c>
      <c r="AG76" s="13">
        <f ca="1">$I$24*$AG$24</f>
        <v>0</v>
      </c>
      <c r="AI76" s="13">
        <f>$I$24*$AI$24</f>
        <v>0</v>
      </c>
      <c r="AJ76" s="13">
        <f>$I$24*$AJ$24</f>
        <v>93.255693722144628</v>
      </c>
      <c r="AK76" s="13">
        <f>$I$24*$AK$24</f>
        <v>0</v>
      </c>
      <c r="AL76" s="13">
        <f>$I$24*$AL$24</f>
        <v>0</v>
      </c>
      <c r="AM76" s="13">
        <f>$I$24*$AM$24</f>
        <v>0</v>
      </c>
      <c r="AN76" s="13">
        <f>$I$24*$AN$24</f>
        <v>0</v>
      </c>
      <c r="AO76" s="13">
        <f>$I$24*$AO$24</f>
        <v>0</v>
      </c>
      <c r="AP76" s="13">
        <f>$I$24*$AP$24</f>
        <v>0</v>
      </c>
      <c r="AQ76" s="13">
        <f>$I$24*$AQ$24</f>
        <v>0</v>
      </c>
      <c r="AR76" s="13">
        <f>$I$24*$AR$24</f>
        <v>0</v>
      </c>
      <c r="AS76" s="13">
        <f>$I$24*$AS$24</f>
        <v>0</v>
      </c>
      <c r="AT76" s="13">
        <f>$I$24*$AT$24</f>
        <v>0</v>
      </c>
      <c r="AU76" s="13">
        <f>$I$24*$AU$24</f>
        <v>5063.2391572180886</v>
      </c>
      <c r="AV76" s="13">
        <f>$I$24*$AV$24</f>
        <v>0</v>
      </c>
      <c r="AW76" s="13">
        <f>$I$24*$AW$24</f>
        <v>0</v>
      </c>
      <c r="AX76" s="13">
        <f>$I$24*$AX$24</f>
        <v>15156.180759495366</v>
      </c>
      <c r="AY76" s="13">
        <f>$I$24*$AY$24</f>
        <v>0</v>
      </c>
      <c r="AZ76" s="13">
        <f>$I$24*$AZ$24</f>
        <v>0</v>
      </c>
      <c r="BA76" s="13">
        <f>$I$24*$BA$24</f>
        <v>4121.3718108364965</v>
      </c>
      <c r="BB76" s="13">
        <f>$I$24*$BB$24</f>
        <v>0</v>
      </c>
      <c r="BC76" s="13">
        <f>$I$24*$BC$24</f>
        <v>265.60843356230527</v>
      </c>
      <c r="BD76" s="13">
        <f>$I$24*$BD$24</f>
        <v>0</v>
      </c>
    </row>
    <row r="77" spans="1:56" ht="11.25" customHeight="1" x14ac:dyDescent="0.3">
      <c r="A77" s="9" t="s">
        <v>22</v>
      </c>
      <c r="B77" s="9" t="s">
        <v>765</v>
      </c>
      <c r="C77" s="9" t="s">
        <v>766</v>
      </c>
      <c r="D77" s="9" t="s">
        <v>767</v>
      </c>
      <c r="E77" s="9" t="s">
        <v>768</v>
      </c>
      <c r="F77" s="9" t="s">
        <v>769</v>
      </c>
      <c r="G77" s="9" t="s">
        <v>770</v>
      </c>
      <c r="L77" s="13">
        <f>$I$25*$L$25</f>
        <v>0</v>
      </c>
      <c r="M77" s="13">
        <f>$I$25*$M$25</f>
        <v>0</v>
      </c>
      <c r="N77" s="13">
        <f ca="1">$I$25*$N$25</f>
        <v>0</v>
      </c>
      <c r="O77" s="13">
        <f>$I$25*$O$25</f>
        <v>0</v>
      </c>
      <c r="P77" s="13">
        <f>$I$25*$P$25</f>
        <v>0</v>
      </c>
      <c r="Q77" s="13">
        <f>$I$25*$Q$25</f>
        <v>0</v>
      </c>
      <c r="R77" s="13">
        <f>$I$25*$R$25</f>
        <v>0</v>
      </c>
      <c r="S77" s="13">
        <f>$I$25*$S$25</f>
        <v>0</v>
      </c>
      <c r="T77" s="13">
        <f>$I$25*$T$25</f>
        <v>0</v>
      </c>
      <c r="U77" s="13">
        <f>$I$25*$U$25</f>
        <v>0</v>
      </c>
      <c r="V77" s="13">
        <f>$I$25*$V$25</f>
        <v>0</v>
      </c>
      <c r="W77" s="13">
        <f>$I$25*$W$25</f>
        <v>0</v>
      </c>
      <c r="X77" s="13">
        <f>$I$25*$X$25</f>
        <v>0</v>
      </c>
      <c r="Y77" s="13">
        <f>$I$25*$Y$25</f>
        <v>0</v>
      </c>
      <c r="Z77" s="13">
        <f>$I$25*$Z$25</f>
        <v>0</v>
      </c>
      <c r="AA77" s="13">
        <f>$I$25*$AA$25</f>
        <v>0</v>
      </c>
      <c r="AB77" s="13">
        <f ca="1">$I$25*$AB$25</f>
        <v>0</v>
      </c>
      <c r="AC77" s="13">
        <f ca="1">$I$25*$AC$25</f>
        <v>0</v>
      </c>
      <c r="AD77" s="13">
        <f>$I$25*$AD$25</f>
        <v>0</v>
      </c>
      <c r="AE77" s="13">
        <f>$I$25*$AE$25</f>
        <v>0</v>
      </c>
      <c r="AF77" s="13">
        <f ca="1">$I$25*$AF$25</f>
        <v>0</v>
      </c>
      <c r="AG77" s="13">
        <f ca="1">$I$25*$AG$25</f>
        <v>0</v>
      </c>
      <c r="AI77" s="13">
        <f>$I$25*$AI$25</f>
        <v>0</v>
      </c>
      <c r="AJ77" s="13">
        <f>$I$25*$AJ$25</f>
        <v>0</v>
      </c>
      <c r="AK77" s="13">
        <f>$I$25*$AK$25</f>
        <v>0</v>
      </c>
      <c r="AL77" s="13">
        <f>$I$25*$AL$25</f>
        <v>0</v>
      </c>
      <c r="AM77" s="13">
        <f>$I$25*$AM$25</f>
        <v>0</v>
      </c>
      <c r="AN77" s="13">
        <f>$I$25*$AN$25</f>
        <v>0</v>
      </c>
      <c r="AO77" s="13">
        <f>$I$25*$AO$25</f>
        <v>0</v>
      </c>
      <c r="AP77" s="13">
        <f>$I$25*$AP$25</f>
        <v>0</v>
      </c>
      <c r="AQ77" s="13">
        <f>$I$25*$AQ$25</f>
        <v>0</v>
      </c>
      <c r="AR77" s="13">
        <f>$I$25*$AR$25</f>
        <v>0</v>
      </c>
      <c r="AS77" s="13">
        <f>$I$25*$AS$25</f>
        <v>0</v>
      </c>
      <c r="AT77" s="13">
        <f>$I$25*$AT$25</f>
        <v>0</v>
      </c>
      <c r="AU77" s="13">
        <f>$I$25*$AU$25</f>
        <v>0</v>
      </c>
      <c r="AV77" s="13">
        <f>$I$25*$AV$25</f>
        <v>0</v>
      </c>
      <c r="AW77" s="13">
        <f>$I$25*$AW$25</f>
        <v>0</v>
      </c>
      <c r="AX77" s="13">
        <f>$I$25*$AX$25</f>
        <v>0</v>
      </c>
      <c r="AY77" s="13">
        <f>$I$25*$AY$25</f>
        <v>0</v>
      </c>
      <c r="AZ77" s="13">
        <f>$I$25*$AZ$25</f>
        <v>0</v>
      </c>
      <c r="BA77" s="13">
        <f>$I$25*$BA$25</f>
        <v>0</v>
      </c>
      <c r="BB77" s="13">
        <f>$I$25*$BB$25</f>
        <v>0</v>
      </c>
      <c r="BC77" s="13">
        <f>$I$25*$BC$25</f>
        <v>0</v>
      </c>
      <c r="BD77" s="13">
        <f>$I$25*$BD$25</f>
        <v>0</v>
      </c>
    </row>
    <row r="78" spans="1:56" ht="11.25" customHeight="1" x14ac:dyDescent="0.3">
      <c r="A78" s="9" t="s">
        <v>22</v>
      </c>
      <c r="B78" s="9" t="s">
        <v>765</v>
      </c>
      <c r="C78" s="9" t="s">
        <v>766</v>
      </c>
      <c r="D78" s="9" t="s">
        <v>771</v>
      </c>
      <c r="E78" s="9" t="s">
        <v>772</v>
      </c>
      <c r="F78" s="9" t="s">
        <v>773</v>
      </c>
      <c r="G78" s="9" t="s">
        <v>774</v>
      </c>
      <c r="L78" s="13">
        <f>$I$26*$L$26</f>
        <v>0</v>
      </c>
      <c r="M78" s="13">
        <f>$I$26*$M$26</f>
        <v>0</v>
      </c>
      <c r="N78" s="13">
        <f ca="1">$I$26*$N$26</f>
        <v>0</v>
      </c>
      <c r="O78" s="13">
        <f>$I$26*$O$26</f>
        <v>0</v>
      </c>
      <c r="P78" s="13">
        <f>$I$26*$P$26</f>
        <v>0</v>
      </c>
      <c r="Q78" s="13">
        <f>$I$26*$Q$26</f>
        <v>0</v>
      </c>
      <c r="R78" s="13">
        <f>$I$26*$R$26</f>
        <v>0</v>
      </c>
      <c r="S78" s="13">
        <f>$I$26*$S$26</f>
        <v>0</v>
      </c>
      <c r="T78" s="13">
        <f>$I$26*$T$26</f>
        <v>0</v>
      </c>
      <c r="U78" s="13">
        <f>$I$26*$U$26</f>
        <v>0</v>
      </c>
      <c r="V78" s="13">
        <f>$I$26*$V$26</f>
        <v>0</v>
      </c>
      <c r="W78" s="13">
        <f>$I$26*$W$26</f>
        <v>0</v>
      </c>
      <c r="X78" s="13">
        <f>$I$26*$X$26</f>
        <v>0</v>
      </c>
      <c r="Y78" s="13">
        <f>$I$26*$Y$26</f>
        <v>0</v>
      </c>
      <c r="Z78" s="13">
        <f>$I$26*$Z$26</f>
        <v>0</v>
      </c>
      <c r="AA78" s="13">
        <f>$I$26*$AA$26</f>
        <v>0</v>
      </c>
      <c r="AB78" s="13">
        <f ca="1">$I$26*$AB$26</f>
        <v>0</v>
      </c>
      <c r="AC78" s="13">
        <f ca="1">$I$26*$AC$26</f>
        <v>0</v>
      </c>
      <c r="AD78" s="13">
        <f>$I$26*$AD$26</f>
        <v>0</v>
      </c>
      <c r="AE78" s="13">
        <f>$I$26*$AE$26</f>
        <v>0</v>
      </c>
      <c r="AF78" s="13">
        <f ca="1">$I$26*$AF$26</f>
        <v>0</v>
      </c>
      <c r="AG78" s="13">
        <f ca="1">$I$26*$AG$26</f>
        <v>0</v>
      </c>
      <c r="AI78" s="13">
        <f>$I$26*$AI$26</f>
        <v>0</v>
      </c>
      <c r="AJ78" s="13">
        <f>$I$26*$AJ$26</f>
        <v>0</v>
      </c>
      <c r="AK78" s="13">
        <f>$I$26*$AK$26</f>
        <v>0</v>
      </c>
      <c r="AL78" s="13">
        <f>$I$26*$AL$26</f>
        <v>0</v>
      </c>
      <c r="AM78" s="13">
        <f>$I$26*$AM$26</f>
        <v>0</v>
      </c>
      <c r="AN78" s="13">
        <f>$I$26*$AN$26</f>
        <v>0</v>
      </c>
      <c r="AO78" s="13">
        <f>$I$26*$AO$26</f>
        <v>0</v>
      </c>
      <c r="AP78" s="13">
        <f>$I$26*$AP$26</f>
        <v>0</v>
      </c>
      <c r="AQ78" s="13">
        <f>$I$26*$AQ$26</f>
        <v>0</v>
      </c>
      <c r="AR78" s="13">
        <f>$I$26*$AR$26</f>
        <v>0</v>
      </c>
      <c r="AS78" s="13">
        <f>$I$26*$AS$26</f>
        <v>0</v>
      </c>
      <c r="AT78" s="13">
        <f>$I$26*$AT$26</f>
        <v>0</v>
      </c>
      <c r="AU78" s="13">
        <f>$I$26*$AU$26</f>
        <v>0</v>
      </c>
      <c r="AV78" s="13">
        <f>$I$26*$AV$26</f>
        <v>0</v>
      </c>
      <c r="AW78" s="13">
        <f>$I$26*$AW$26</f>
        <v>0</v>
      </c>
      <c r="AX78" s="13">
        <f>$I$26*$AX$26</f>
        <v>0</v>
      </c>
      <c r="AY78" s="13">
        <f>$I$26*$AY$26</f>
        <v>0</v>
      </c>
      <c r="AZ78" s="13">
        <f>$I$26*$AZ$26</f>
        <v>0</v>
      </c>
      <c r="BA78" s="13">
        <f>$I$26*$BA$26</f>
        <v>0</v>
      </c>
      <c r="BB78" s="13">
        <f>$I$26*$BB$26</f>
        <v>0</v>
      </c>
      <c r="BC78" s="13">
        <f>$I$26*$BC$26</f>
        <v>0</v>
      </c>
      <c r="BD78" s="13">
        <f>$I$26*$BD$26</f>
        <v>0</v>
      </c>
    </row>
    <row r="79" spans="1:56" ht="11.25" customHeight="1" x14ac:dyDescent="0.3">
      <c r="A79" s="9" t="s">
        <v>22</v>
      </c>
      <c r="B79" s="9" t="s">
        <v>765</v>
      </c>
      <c r="C79" s="9" t="s">
        <v>766</v>
      </c>
      <c r="D79" s="9" t="s">
        <v>775</v>
      </c>
      <c r="E79" s="9" t="s">
        <v>776</v>
      </c>
      <c r="F79" s="9" t="s">
        <v>777</v>
      </c>
      <c r="G79" s="9" t="s">
        <v>778</v>
      </c>
      <c r="L79" s="13">
        <f>$I$27*$L$27</f>
        <v>0</v>
      </c>
      <c r="M79" s="13">
        <f>$I$27*$M$27</f>
        <v>0</v>
      </c>
      <c r="N79" s="13">
        <f ca="1">$I$27*$N$27</f>
        <v>0</v>
      </c>
      <c r="O79" s="13">
        <f>$I$27*$O$27</f>
        <v>0</v>
      </c>
      <c r="P79" s="13">
        <f>$I$27*$P$27</f>
        <v>0</v>
      </c>
      <c r="Q79" s="13">
        <f>$I$27*$Q$27</f>
        <v>0</v>
      </c>
      <c r="R79" s="13">
        <f>$I$27*$R$27</f>
        <v>0</v>
      </c>
      <c r="S79" s="13">
        <f>$I$27*$S$27</f>
        <v>0</v>
      </c>
      <c r="T79" s="13">
        <f>$I$27*$T$27</f>
        <v>0</v>
      </c>
      <c r="U79" s="13">
        <f>$I$27*$U$27</f>
        <v>0</v>
      </c>
      <c r="V79" s="13">
        <f>$I$27*$V$27</f>
        <v>0</v>
      </c>
      <c r="W79" s="13">
        <f>$I$27*$W$27</f>
        <v>0</v>
      </c>
      <c r="X79" s="13">
        <f>$I$27*$X$27</f>
        <v>0</v>
      </c>
      <c r="Y79" s="13">
        <f>$I$27*$Y$27</f>
        <v>0</v>
      </c>
      <c r="Z79" s="13">
        <f>$I$27*$Z$27</f>
        <v>0</v>
      </c>
      <c r="AA79" s="13">
        <f>$I$27*$AA$27</f>
        <v>0</v>
      </c>
      <c r="AB79" s="13">
        <f ca="1">$I$27*$AB$27</f>
        <v>0</v>
      </c>
      <c r="AC79" s="13">
        <f ca="1">$I$27*$AC$27</f>
        <v>0</v>
      </c>
      <c r="AD79" s="13">
        <f>$I$27*$AD$27</f>
        <v>0</v>
      </c>
      <c r="AE79" s="13">
        <f>$I$27*$AE$27</f>
        <v>0</v>
      </c>
      <c r="AF79" s="13">
        <f ca="1">$I$27*$AF$27</f>
        <v>0</v>
      </c>
      <c r="AG79" s="13">
        <f ca="1">$I$27*$AG$27</f>
        <v>0</v>
      </c>
      <c r="AI79" s="13">
        <f>$I$27*$AI$27</f>
        <v>0</v>
      </c>
      <c r="AJ79" s="13">
        <f>$I$27*$AJ$27</f>
        <v>0</v>
      </c>
      <c r="AK79" s="13">
        <f>$I$27*$AK$27</f>
        <v>0</v>
      </c>
      <c r="AL79" s="13">
        <f>$I$27*$AL$27</f>
        <v>0</v>
      </c>
      <c r="AM79" s="13">
        <f>$I$27*$AM$27</f>
        <v>0</v>
      </c>
      <c r="AN79" s="13">
        <f>$I$27*$AN$27</f>
        <v>0</v>
      </c>
      <c r="AO79" s="13">
        <f>$I$27*$AO$27</f>
        <v>0</v>
      </c>
      <c r="AP79" s="13">
        <f>$I$27*$AP$27</f>
        <v>0</v>
      </c>
      <c r="AQ79" s="13">
        <f>$I$27*$AQ$27</f>
        <v>0</v>
      </c>
      <c r="AR79" s="13">
        <f>$I$27*$AR$27</f>
        <v>0</v>
      </c>
      <c r="AS79" s="13">
        <f>$I$27*$AS$27</f>
        <v>0</v>
      </c>
      <c r="AT79" s="13">
        <f>$I$27*$AT$27</f>
        <v>0</v>
      </c>
      <c r="AU79" s="13">
        <f>$I$27*$AU$27</f>
        <v>0</v>
      </c>
      <c r="AV79" s="13">
        <f>$I$27*$AV$27</f>
        <v>0</v>
      </c>
      <c r="AW79" s="13">
        <f>$I$27*$AW$27</f>
        <v>0</v>
      </c>
      <c r="AX79" s="13">
        <f>$I$27*$AX$27</f>
        <v>0</v>
      </c>
      <c r="AY79" s="13">
        <f>$I$27*$AY$27</f>
        <v>0</v>
      </c>
      <c r="AZ79" s="13">
        <f>$I$27*$AZ$27</f>
        <v>0</v>
      </c>
      <c r="BA79" s="13">
        <f>$I$27*$BA$27</f>
        <v>0</v>
      </c>
      <c r="BB79" s="13">
        <f>$I$27*$BB$27</f>
        <v>0</v>
      </c>
      <c r="BC79" s="13">
        <f>$I$27*$BC$27</f>
        <v>0</v>
      </c>
      <c r="BD79" s="13">
        <f>$I$27*$BD$27</f>
        <v>0</v>
      </c>
    </row>
    <row r="80" spans="1:56" ht="11.25" customHeight="1" x14ac:dyDescent="0.3">
      <c r="A80" s="9" t="s">
        <v>22</v>
      </c>
      <c r="B80" s="9" t="s">
        <v>765</v>
      </c>
      <c r="C80" s="9" t="s">
        <v>766</v>
      </c>
      <c r="D80" s="9" t="s">
        <v>779</v>
      </c>
      <c r="E80" s="9" t="s">
        <v>780</v>
      </c>
      <c r="F80" s="9" t="s">
        <v>781</v>
      </c>
      <c r="G80" s="9" t="s">
        <v>782</v>
      </c>
      <c r="L80" s="13">
        <f>$I$28*$L$28</f>
        <v>0</v>
      </c>
      <c r="M80" s="13">
        <f>$I$28*$M$28</f>
        <v>0</v>
      </c>
      <c r="N80" s="13">
        <f ca="1">$I$28*$N$28</f>
        <v>0</v>
      </c>
      <c r="O80" s="13">
        <f>$I$28*$O$28</f>
        <v>0</v>
      </c>
      <c r="P80" s="13">
        <f>$I$28*$P$28</f>
        <v>0</v>
      </c>
      <c r="Q80" s="13">
        <f>$I$28*$Q$28</f>
        <v>0</v>
      </c>
      <c r="R80" s="13">
        <f>$I$28*$R$28</f>
        <v>0</v>
      </c>
      <c r="S80" s="13">
        <f>$I$28*$S$28</f>
        <v>0</v>
      </c>
      <c r="T80" s="13">
        <f>$I$28*$T$28</f>
        <v>0</v>
      </c>
      <c r="U80" s="13">
        <f>$I$28*$U$28</f>
        <v>0</v>
      </c>
      <c r="V80" s="13">
        <f>$I$28*$V$28</f>
        <v>0</v>
      </c>
      <c r="W80" s="13">
        <f>$I$28*$W$28</f>
        <v>0</v>
      </c>
      <c r="X80" s="13">
        <f>$I$28*$X$28</f>
        <v>0</v>
      </c>
      <c r="Y80" s="13">
        <f>$I$28*$Y$28</f>
        <v>0</v>
      </c>
      <c r="Z80" s="13">
        <f>$I$28*$Z$28</f>
        <v>0</v>
      </c>
      <c r="AA80" s="13">
        <f>$I$28*$AA$28</f>
        <v>0</v>
      </c>
      <c r="AB80" s="13">
        <f ca="1">$I$28*$AB$28</f>
        <v>0</v>
      </c>
      <c r="AC80" s="13">
        <f ca="1">$I$28*$AC$28</f>
        <v>0</v>
      </c>
      <c r="AD80" s="13">
        <f>$I$28*$AD$28</f>
        <v>0</v>
      </c>
      <c r="AE80" s="13">
        <f>$I$28*$AE$28</f>
        <v>0</v>
      </c>
      <c r="AF80" s="13">
        <f ca="1">$I$28*$AF$28</f>
        <v>0</v>
      </c>
      <c r="AG80" s="13">
        <f ca="1">$I$28*$AG$28</f>
        <v>0</v>
      </c>
      <c r="AI80" s="13">
        <f>$I$28*$AI$28</f>
        <v>0</v>
      </c>
      <c r="AJ80" s="13">
        <f>$I$28*$AJ$28</f>
        <v>0</v>
      </c>
      <c r="AK80" s="13">
        <f>$I$28*$AK$28</f>
        <v>0</v>
      </c>
      <c r="AL80" s="13">
        <f>$I$28*$AL$28</f>
        <v>0</v>
      </c>
      <c r="AM80" s="13">
        <f>$I$28*$AM$28</f>
        <v>0</v>
      </c>
      <c r="AN80" s="13">
        <f>$I$28*$AN$28</f>
        <v>0</v>
      </c>
      <c r="AO80" s="13">
        <f>$I$28*$AO$28</f>
        <v>0</v>
      </c>
      <c r="AP80" s="13">
        <f>$I$28*$AP$28</f>
        <v>0</v>
      </c>
      <c r="AQ80" s="13">
        <f>$I$28*$AQ$28</f>
        <v>0</v>
      </c>
      <c r="AR80" s="13">
        <f>$I$28*$AR$28</f>
        <v>0</v>
      </c>
      <c r="AS80" s="13">
        <f>$I$28*$AS$28</f>
        <v>0</v>
      </c>
      <c r="AT80" s="13">
        <f>$I$28*$AT$28</f>
        <v>0</v>
      </c>
      <c r="AU80" s="13">
        <f>$I$28*$AU$28</f>
        <v>0</v>
      </c>
      <c r="AV80" s="13">
        <f>$I$28*$AV$28</f>
        <v>0</v>
      </c>
      <c r="AW80" s="13">
        <f>$I$28*$AW$28</f>
        <v>0</v>
      </c>
      <c r="AX80" s="13">
        <f>$I$28*$AX$28</f>
        <v>0</v>
      </c>
      <c r="AY80" s="13">
        <f>$I$28*$AY$28</f>
        <v>0</v>
      </c>
      <c r="AZ80" s="13">
        <f>$I$28*$AZ$28</f>
        <v>0</v>
      </c>
      <c r="BA80" s="13">
        <f>$I$28*$BA$28</f>
        <v>0</v>
      </c>
      <c r="BB80" s="13">
        <f>$I$28*$BB$28</f>
        <v>0</v>
      </c>
      <c r="BC80" s="13">
        <f>$I$28*$BC$28</f>
        <v>0</v>
      </c>
      <c r="BD80" s="13">
        <f>$I$28*$BD$28</f>
        <v>0</v>
      </c>
    </row>
    <row r="81" spans="1:56" ht="11.25" customHeight="1" x14ac:dyDescent="0.3">
      <c r="A81" s="9" t="s">
        <v>22</v>
      </c>
      <c r="B81" s="9" t="s">
        <v>765</v>
      </c>
      <c r="C81" s="9" t="s">
        <v>766</v>
      </c>
      <c r="D81" s="9" t="s">
        <v>783</v>
      </c>
      <c r="E81" s="9" t="s">
        <v>784</v>
      </c>
      <c r="F81" s="9" t="s">
        <v>785</v>
      </c>
      <c r="G81" s="9" t="s">
        <v>786</v>
      </c>
      <c r="L81" s="13">
        <f>$I$29*$L$29</f>
        <v>0</v>
      </c>
      <c r="M81" s="13">
        <f>$I$29*$M$29</f>
        <v>0</v>
      </c>
      <c r="N81" s="13">
        <f ca="1">$I$29*$N$29</f>
        <v>0</v>
      </c>
      <c r="O81" s="13">
        <f>$I$29*$O$29</f>
        <v>0</v>
      </c>
      <c r="P81" s="13">
        <f>$I$29*$P$29</f>
        <v>0</v>
      </c>
      <c r="Q81" s="13">
        <f>$I$29*$Q$29</f>
        <v>0</v>
      </c>
      <c r="R81" s="13">
        <f>$I$29*$R$29</f>
        <v>0</v>
      </c>
      <c r="S81" s="13">
        <f>$I$29*$S$29</f>
        <v>0</v>
      </c>
      <c r="T81" s="13">
        <f>$I$29*$T$29</f>
        <v>0</v>
      </c>
      <c r="U81" s="13">
        <f>$I$29*$U$29</f>
        <v>0</v>
      </c>
      <c r="V81" s="13">
        <f>$I$29*$V$29</f>
        <v>0</v>
      </c>
      <c r="W81" s="13">
        <f>$I$29*$W$29</f>
        <v>0</v>
      </c>
      <c r="X81" s="13">
        <f>$I$29*$X$29</f>
        <v>0</v>
      </c>
      <c r="Y81" s="13">
        <f>$I$29*$Y$29</f>
        <v>0</v>
      </c>
      <c r="Z81" s="13">
        <f>$I$29*$Z$29</f>
        <v>0</v>
      </c>
      <c r="AA81" s="13">
        <f>$I$29*$AA$29</f>
        <v>0</v>
      </c>
      <c r="AB81" s="13">
        <f ca="1">$I$29*$AB$29</f>
        <v>0</v>
      </c>
      <c r="AC81" s="13">
        <f ca="1">$I$29*$AC$29</f>
        <v>0</v>
      </c>
      <c r="AD81" s="13">
        <f>$I$29*$AD$29</f>
        <v>0</v>
      </c>
      <c r="AE81" s="13">
        <f>$I$29*$AE$29</f>
        <v>0</v>
      </c>
      <c r="AF81" s="13">
        <f ca="1">$I$29*$AF$29</f>
        <v>0</v>
      </c>
      <c r="AG81" s="13">
        <f ca="1">$I$29*$AG$29</f>
        <v>0</v>
      </c>
      <c r="AI81" s="13">
        <f>$I$29*$AI$29</f>
        <v>0</v>
      </c>
      <c r="AJ81" s="13">
        <f>$I$29*$AJ$29</f>
        <v>0</v>
      </c>
      <c r="AK81" s="13">
        <f>$I$29*$AK$29</f>
        <v>0</v>
      </c>
      <c r="AL81" s="13">
        <f>$I$29*$AL$29</f>
        <v>0</v>
      </c>
      <c r="AM81" s="13">
        <f>$I$29*$AM$29</f>
        <v>0</v>
      </c>
      <c r="AN81" s="13">
        <f>$I$29*$AN$29</f>
        <v>0</v>
      </c>
      <c r="AO81" s="13">
        <f>$I$29*$AO$29</f>
        <v>0</v>
      </c>
      <c r="AP81" s="13">
        <f>$I$29*$AP$29</f>
        <v>0</v>
      </c>
      <c r="AQ81" s="13">
        <f>$I$29*$AQ$29</f>
        <v>0</v>
      </c>
      <c r="AR81" s="13">
        <f>$I$29*$AR$29</f>
        <v>0</v>
      </c>
      <c r="AS81" s="13">
        <f>$I$29*$AS$29</f>
        <v>0</v>
      </c>
      <c r="AT81" s="13">
        <f>$I$29*$AT$29</f>
        <v>0</v>
      </c>
      <c r="AU81" s="13">
        <f>$I$29*$AU$29</f>
        <v>0</v>
      </c>
      <c r="AV81" s="13">
        <f>$I$29*$AV$29</f>
        <v>0</v>
      </c>
      <c r="AW81" s="13">
        <f>$I$29*$AW$29</f>
        <v>0</v>
      </c>
      <c r="AX81" s="13">
        <f>$I$29*$AX$29</f>
        <v>0</v>
      </c>
      <c r="AY81" s="13">
        <f>$I$29*$AY$29</f>
        <v>0</v>
      </c>
      <c r="AZ81" s="13">
        <f>$I$29*$AZ$29</f>
        <v>0</v>
      </c>
      <c r="BA81" s="13">
        <f>$I$29*$BA$29</f>
        <v>0</v>
      </c>
      <c r="BB81" s="13">
        <f>$I$29*$BB$29</f>
        <v>0</v>
      </c>
      <c r="BC81" s="13">
        <f>$I$29*$BC$29</f>
        <v>0</v>
      </c>
      <c r="BD81" s="13">
        <f>$I$29*$BD$29</f>
        <v>0</v>
      </c>
    </row>
    <row r="82" spans="1:56" ht="11.25" customHeight="1" x14ac:dyDescent="0.3">
      <c r="A82" s="9" t="s">
        <v>40</v>
      </c>
      <c r="B82" s="9" t="s">
        <v>787</v>
      </c>
      <c r="C82" s="9" t="s">
        <v>788</v>
      </c>
      <c r="D82" s="9" t="s">
        <v>789</v>
      </c>
      <c r="E82" s="9" t="s">
        <v>790</v>
      </c>
      <c r="F82" s="9" t="s">
        <v>791</v>
      </c>
      <c r="G82" s="9" t="s">
        <v>792</v>
      </c>
      <c r="L82" s="13">
        <f>$I$30*$L$30</f>
        <v>0</v>
      </c>
      <c r="M82" s="13">
        <f>$I$30*$M$30</f>
        <v>0</v>
      </c>
      <c r="N82" s="13">
        <f ca="1">$I$30*$N$30</f>
        <v>0</v>
      </c>
      <c r="O82" s="13">
        <f>$I$30*$O$30</f>
        <v>0</v>
      </c>
      <c r="P82" s="13">
        <f>$I$30*$P$30</f>
        <v>0</v>
      </c>
      <c r="Q82" s="13">
        <f>$I$30*$Q$30</f>
        <v>0</v>
      </c>
      <c r="R82" s="13">
        <f>$I$30*$R$30</f>
        <v>0</v>
      </c>
      <c r="S82" s="13">
        <f>$I$30*$S$30</f>
        <v>0</v>
      </c>
      <c r="T82" s="13">
        <f>$I$30*$T$30</f>
        <v>0</v>
      </c>
      <c r="U82" s="13">
        <f>$I$30*$U$30</f>
        <v>0</v>
      </c>
      <c r="V82" s="13">
        <f>$I$30*$V$30</f>
        <v>0</v>
      </c>
      <c r="W82" s="13">
        <f>$I$30*$W$30</f>
        <v>0</v>
      </c>
      <c r="X82" s="13">
        <f>$I$30*$X$30</f>
        <v>0</v>
      </c>
      <c r="Y82" s="13">
        <f>$I$30*$Y$30</f>
        <v>0</v>
      </c>
      <c r="Z82" s="13">
        <f>$I$30*$Z$30</f>
        <v>0</v>
      </c>
      <c r="AA82" s="13">
        <f>$I$30*$AA$30</f>
        <v>0</v>
      </c>
      <c r="AB82" s="13">
        <f ca="1">$I$30*$AB$30</f>
        <v>0</v>
      </c>
      <c r="AC82" s="13">
        <f ca="1">$I$30*$AC$30</f>
        <v>0</v>
      </c>
      <c r="AD82" s="13">
        <f>$I$30*$AD$30</f>
        <v>0</v>
      </c>
      <c r="AE82" s="13">
        <f>$I$30*$AE$30</f>
        <v>0</v>
      </c>
      <c r="AF82" s="13">
        <f ca="1">$I$30*$AF$30</f>
        <v>0</v>
      </c>
      <c r="AG82" s="13">
        <f ca="1">$I$30*$AG$30</f>
        <v>0</v>
      </c>
      <c r="AI82" s="13">
        <f>$I$30*$AI$30</f>
        <v>0</v>
      </c>
      <c r="AJ82" s="13">
        <f>$I$30*$AJ$30</f>
        <v>0</v>
      </c>
      <c r="AK82" s="13">
        <f>$I$30*$AK$30</f>
        <v>0</v>
      </c>
      <c r="AL82" s="13">
        <f>$I$30*$AL$30</f>
        <v>0</v>
      </c>
      <c r="AM82" s="13">
        <f>$I$30*$AM$30</f>
        <v>0</v>
      </c>
      <c r="AN82" s="13">
        <f>$I$30*$AN$30</f>
        <v>0</v>
      </c>
      <c r="AO82" s="13">
        <f>$I$30*$AO$30</f>
        <v>0</v>
      </c>
      <c r="AP82" s="13">
        <f>$I$30*$AP$30</f>
        <v>0</v>
      </c>
      <c r="AQ82" s="13">
        <f>$I$30*$AQ$30</f>
        <v>0</v>
      </c>
      <c r="AR82" s="13">
        <f>$I$30*$AR$30</f>
        <v>0</v>
      </c>
      <c r="AS82" s="13">
        <f>$I$30*$AS$30</f>
        <v>0</v>
      </c>
      <c r="AT82" s="13">
        <f>$I$30*$AT$30</f>
        <v>0</v>
      </c>
      <c r="AU82" s="13">
        <f>$I$30*$AU$30</f>
        <v>0</v>
      </c>
      <c r="AV82" s="13">
        <f>$I$30*$AV$30</f>
        <v>0</v>
      </c>
      <c r="AW82" s="13">
        <f>$I$30*$AW$30</f>
        <v>0</v>
      </c>
      <c r="AX82" s="13">
        <f>$I$30*$AX$30</f>
        <v>0</v>
      </c>
      <c r="AY82" s="13">
        <f>$I$30*$AY$30</f>
        <v>0</v>
      </c>
      <c r="AZ82" s="13">
        <f>$I$30*$AZ$30</f>
        <v>0</v>
      </c>
      <c r="BA82" s="13">
        <f>$I$30*$BA$30</f>
        <v>0</v>
      </c>
      <c r="BB82" s="13">
        <f>$I$30*$BB$30</f>
        <v>0</v>
      </c>
      <c r="BC82" s="13">
        <f>$I$30*$BC$30</f>
        <v>0</v>
      </c>
      <c r="BD82" s="13">
        <f>$I$30*$BD$30</f>
        <v>0</v>
      </c>
    </row>
    <row r="83" spans="1:56" ht="11.25" customHeight="1" x14ac:dyDescent="0.3">
      <c r="A83" s="9" t="s">
        <v>40</v>
      </c>
      <c r="B83" s="9" t="s">
        <v>787</v>
      </c>
      <c r="C83" s="9" t="s">
        <v>788</v>
      </c>
      <c r="D83" s="9" t="s">
        <v>789</v>
      </c>
      <c r="E83" s="9" t="s">
        <v>790</v>
      </c>
      <c r="F83" s="9" t="s">
        <v>791</v>
      </c>
      <c r="G83" s="9" t="s">
        <v>793</v>
      </c>
      <c r="L83" s="13">
        <f>$I$31*$L$31</f>
        <v>0</v>
      </c>
      <c r="M83" s="13">
        <f>$I$31*$M$31</f>
        <v>0</v>
      </c>
      <c r="N83" s="13">
        <f ca="1">$I$31*$N$31</f>
        <v>0</v>
      </c>
      <c r="O83" s="13">
        <f>$I$31*$O$31</f>
        <v>0</v>
      </c>
      <c r="P83" s="13">
        <f>$I$31*$P$31</f>
        <v>0</v>
      </c>
      <c r="Q83" s="13">
        <f>$I$31*$Q$31</f>
        <v>0</v>
      </c>
      <c r="R83" s="13">
        <f>$I$31*$R$31</f>
        <v>0</v>
      </c>
      <c r="S83" s="13">
        <f>$I$31*$S$31</f>
        <v>0</v>
      </c>
      <c r="T83" s="13">
        <f>$I$31*$T$31</f>
        <v>0</v>
      </c>
      <c r="U83" s="13">
        <f>$I$31*$U$31</f>
        <v>0</v>
      </c>
      <c r="V83" s="13">
        <f>$I$31*$V$31</f>
        <v>0</v>
      </c>
      <c r="W83" s="13">
        <f>$I$31*$W$31</f>
        <v>0</v>
      </c>
      <c r="X83" s="13">
        <f>$I$31*$X$31</f>
        <v>0</v>
      </c>
      <c r="Y83" s="13">
        <f>$I$31*$Y$31</f>
        <v>0</v>
      </c>
      <c r="Z83" s="13">
        <f>$I$31*$Z$31</f>
        <v>0</v>
      </c>
      <c r="AA83" s="13">
        <f>$I$31*$AA$31</f>
        <v>0</v>
      </c>
      <c r="AB83" s="13">
        <f ca="1">$I$31*$AB$31</f>
        <v>0</v>
      </c>
      <c r="AC83" s="13">
        <f ca="1">$I$31*$AC$31</f>
        <v>0</v>
      </c>
      <c r="AD83" s="13">
        <f>$I$31*$AD$31</f>
        <v>0</v>
      </c>
      <c r="AE83" s="13">
        <f>$I$31*$AE$31</f>
        <v>0</v>
      </c>
      <c r="AF83" s="13">
        <f ca="1">$I$31*$AF$31</f>
        <v>0</v>
      </c>
      <c r="AG83" s="13">
        <f ca="1">$I$31*$AG$31</f>
        <v>0</v>
      </c>
      <c r="AI83" s="13">
        <f>$I$31*$AI$31</f>
        <v>0</v>
      </c>
      <c r="AJ83" s="13">
        <f>$I$31*$AJ$31</f>
        <v>0</v>
      </c>
      <c r="AK83" s="13">
        <f>$I$31*$AK$31</f>
        <v>0</v>
      </c>
      <c r="AL83" s="13">
        <f>$I$31*$AL$31</f>
        <v>0</v>
      </c>
      <c r="AM83" s="13">
        <f>$I$31*$AM$31</f>
        <v>0</v>
      </c>
      <c r="AN83" s="13">
        <f>$I$31*$AN$31</f>
        <v>0</v>
      </c>
      <c r="AO83" s="13">
        <f>$I$31*$AO$31</f>
        <v>0</v>
      </c>
      <c r="AP83" s="13">
        <f>$I$31*$AP$31</f>
        <v>0</v>
      </c>
      <c r="AQ83" s="13">
        <f>$I$31*$AQ$31</f>
        <v>0</v>
      </c>
      <c r="AR83" s="13">
        <f>$I$31*$AR$31</f>
        <v>0</v>
      </c>
      <c r="AS83" s="13">
        <f>$I$31*$AS$31</f>
        <v>0</v>
      </c>
      <c r="AT83" s="13">
        <f>$I$31*$AT$31</f>
        <v>0</v>
      </c>
      <c r="AU83" s="13">
        <f>$I$31*$AU$31</f>
        <v>0</v>
      </c>
      <c r="AV83" s="13">
        <f>$I$31*$AV$31</f>
        <v>0</v>
      </c>
      <c r="AW83" s="13">
        <f>$I$31*$AW$31</f>
        <v>0</v>
      </c>
      <c r="AX83" s="13">
        <f>$I$31*$AX$31</f>
        <v>0</v>
      </c>
      <c r="AY83" s="13">
        <f>$I$31*$AY$31</f>
        <v>0</v>
      </c>
      <c r="AZ83" s="13">
        <f>$I$31*$AZ$31</f>
        <v>0</v>
      </c>
      <c r="BA83" s="13">
        <f>$I$31*$BA$31</f>
        <v>0</v>
      </c>
      <c r="BB83" s="13">
        <f>$I$31*$BB$31</f>
        <v>0</v>
      </c>
      <c r="BC83" s="13">
        <f>$I$31*$BC$31</f>
        <v>0</v>
      </c>
      <c r="BD83" s="13">
        <f>$I$31*$BD$31</f>
        <v>0</v>
      </c>
    </row>
    <row r="84" spans="1:56" ht="11.25" customHeight="1" x14ac:dyDescent="0.3">
      <c r="A84" s="9" t="s">
        <v>40</v>
      </c>
      <c r="B84" s="9" t="s">
        <v>787</v>
      </c>
      <c r="C84" s="9" t="s">
        <v>788</v>
      </c>
      <c r="D84" s="9" t="s">
        <v>789</v>
      </c>
      <c r="E84" s="9" t="s">
        <v>790</v>
      </c>
      <c r="F84" s="9" t="s">
        <v>791</v>
      </c>
      <c r="G84" s="9" t="s">
        <v>794</v>
      </c>
      <c r="L84" s="13">
        <f>$I$32*$L$32</f>
        <v>0</v>
      </c>
      <c r="M84" s="13">
        <f>$I$32*$M$32</f>
        <v>0</v>
      </c>
      <c r="N84" s="13">
        <f ca="1">$I$32*$N$32</f>
        <v>0</v>
      </c>
      <c r="O84" s="13">
        <f>$I$32*$O$32</f>
        <v>0</v>
      </c>
      <c r="P84" s="13">
        <f>$I$32*$P$32</f>
        <v>0</v>
      </c>
      <c r="Q84" s="13">
        <f>$I$32*$Q$32</f>
        <v>0</v>
      </c>
      <c r="R84" s="13">
        <f>$I$32*$R$32</f>
        <v>0</v>
      </c>
      <c r="S84" s="13">
        <f>$I$32*$S$32</f>
        <v>0</v>
      </c>
      <c r="T84" s="13">
        <f>$I$32*$T$32</f>
        <v>0</v>
      </c>
      <c r="U84" s="13">
        <f>$I$32*$U$32</f>
        <v>0</v>
      </c>
      <c r="V84" s="13">
        <f>$I$32*$V$32</f>
        <v>0</v>
      </c>
      <c r="W84" s="13">
        <f>$I$32*$W$32</f>
        <v>0</v>
      </c>
      <c r="X84" s="13">
        <f>$I$32*$X$32</f>
        <v>0</v>
      </c>
      <c r="Y84" s="13">
        <f>$I$32*$Y$32</f>
        <v>0</v>
      </c>
      <c r="Z84" s="13">
        <f>$I$32*$Z$32</f>
        <v>0</v>
      </c>
      <c r="AA84" s="13">
        <f>$I$32*$AA$32</f>
        <v>0</v>
      </c>
      <c r="AB84" s="13">
        <f ca="1">$I$32*$AB$32</f>
        <v>0</v>
      </c>
      <c r="AC84" s="13">
        <f ca="1">$I$32*$AC$32</f>
        <v>0</v>
      </c>
      <c r="AD84" s="13">
        <f>$I$32*$AD$32</f>
        <v>0</v>
      </c>
      <c r="AE84" s="13">
        <f>$I$32*$AE$32</f>
        <v>0</v>
      </c>
      <c r="AF84" s="13">
        <f ca="1">$I$32*$AF$32</f>
        <v>0</v>
      </c>
      <c r="AG84" s="13">
        <f ca="1">$I$32*$AG$32</f>
        <v>0</v>
      </c>
      <c r="AI84" s="13">
        <f>$I$32*$AI$32</f>
        <v>0</v>
      </c>
      <c r="AJ84" s="13">
        <f>$I$32*$AJ$32</f>
        <v>0</v>
      </c>
      <c r="AK84" s="13">
        <f>$I$32*$AK$32</f>
        <v>0</v>
      </c>
      <c r="AL84" s="13">
        <f>$I$32*$AL$32</f>
        <v>0</v>
      </c>
      <c r="AM84" s="13">
        <f>$I$32*$AM$32</f>
        <v>0</v>
      </c>
      <c r="AN84" s="13">
        <f>$I$32*$AN$32</f>
        <v>0</v>
      </c>
      <c r="AO84" s="13">
        <f>$I$32*$AO$32</f>
        <v>0</v>
      </c>
      <c r="AP84" s="13">
        <f>$I$32*$AP$32</f>
        <v>0</v>
      </c>
      <c r="AQ84" s="13">
        <f>$I$32*$AQ$32</f>
        <v>0</v>
      </c>
      <c r="AR84" s="13">
        <f>$I$32*$AR$32</f>
        <v>0</v>
      </c>
      <c r="AS84" s="13">
        <f>$I$32*$AS$32</f>
        <v>0</v>
      </c>
      <c r="AT84" s="13">
        <f>$I$32*$AT$32</f>
        <v>0</v>
      </c>
      <c r="AU84" s="13">
        <f>$I$32*$AU$32</f>
        <v>0</v>
      </c>
      <c r="AV84" s="13">
        <f>$I$32*$AV$32</f>
        <v>0</v>
      </c>
      <c r="AW84" s="13">
        <f>$I$32*$AW$32</f>
        <v>0</v>
      </c>
      <c r="AX84" s="13">
        <f>$I$32*$AX$32</f>
        <v>0</v>
      </c>
      <c r="AY84" s="13">
        <f>$I$32*$AY$32</f>
        <v>0</v>
      </c>
      <c r="AZ84" s="13">
        <f>$I$32*$AZ$32</f>
        <v>0</v>
      </c>
      <c r="BA84" s="13">
        <f>$I$32*$BA$32</f>
        <v>0</v>
      </c>
      <c r="BB84" s="13">
        <f>$I$32*$BB$32</f>
        <v>0</v>
      </c>
      <c r="BC84" s="13">
        <f>$I$32*$BC$32</f>
        <v>0</v>
      </c>
      <c r="BD84" s="13">
        <f>$I$32*$BD$32</f>
        <v>0</v>
      </c>
    </row>
    <row r="85" spans="1:56" ht="11.25" customHeight="1" x14ac:dyDescent="0.3">
      <c r="A85" s="9" t="s">
        <v>40</v>
      </c>
      <c r="B85" s="9" t="s">
        <v>795</v>
      </c>
      <c r="C85" s="9" t="s">
        <v>796</v>
      </c>
      <c r="D85" s="9" t="s">
        <v>797</v>
      </c>
      <c r="E85" s="9" t="s">
        <v>798</v>
      </c>
      <c r="F85" s="9" t="s">
        <v>799</v>
      </c>
      <c r="G85" s="9" t="s">
        <v>800</v>
      </c>
      <c r="L85" s="13">
        <f>$I$33*$L$33</f>
        <v>0</v>
      </c>
      <c r="M85" s="13">
        <f>$I$33*$M$33</f>
        <v>20607.882565587202</v>
      </c>
      <c r="N85" s="13">
        <f ca="1">$I$33*$N$33</f>
        <v>0</v>
      </c>
      <c r="O85" s="13">
        <f>$I$33*$O$33</f>
        <v>0</v>
      </c>
      <c r="P85" s="13">
        <f>$I$33*$P$33</f>
        <v>0</v>
      </c>
      <c r="Q85" s="13">
        <f>$I$33*$Q$33</f>
        <v>1298609.7441802453</v>
      </c>
      <c r="R85" s="13">
        <f>$I$33*$R$33</f>
        <v>204902.2305819701</v>
      </c>
      <c r="S85" s="13">
        <f>$I$33*$S$33</f>
        <v>0</v>
      </c>
      <c r="T85" s="13">
        <f>$I$33*$T$33</f>
        <v>0</v>
      </c>
      <c r="U85" s="13">
        <f>$I$33*$U$33</f>
        <v>0</v>
      </c>
      <c r="V85" s="13">
        <f>$I$33*$V$33</f>
        <v>0</v>
      </c>
      <c r="W85" s="13">
        <f>$I$33*$W$33</f>
        <v>0</v>
      </c>
      <c r="X85" s="13">
        <f>$I$33*$X$33</f>
        <v>951327.60284703516</v>
      </c>
      <c r="Y85" s="13">
        <f>$I$33*$Y$33</f>
        <v>0</v>
      </c>
      <c r="Z85" s="13">
        <f>$I$33*$Z$33</f>
        <v>0</v>
      </c>
      <c r="AA85" s="13">
        <f>$I$33*$AA$33</f>
        <v>3088115.6715455381</v>
      </c>
      <c r="AB85" s="13">
        <f ca="1">$I$33*$AB$33</f>
        <v>0</v>
      </c>
      <c r="AC85" s="13">
        <f ca="1">$I$33*$AC$33</f>
        <v>0</v>
      </c>
      <c r="AD85" s="13">
        <f>$I$33*$AD$33</f>
        <v>473707.83012240264</v>
      </c>
      <c r="AE85" s="13">
        <f>$I$33*$AE$33</f>
        <v>0</v>
      </c>
      <c r="AF85" s="13">
        <f ca="1">$I$33*$AF$33</f>
        <v>62656.82405051402</v>
      </c>
      <c r="AG85" s="13">
        <f ca="1">$I$33*$AG$33</f>
        <v>0</v>
      </c>
      <c r="AI85" s="13">
        <f>$I$33*$AI$33</f>
        <v>0</v>
      </c>
      <c r="AJ85" s="13">
        <f>$I$33*$AJ$33</f>
        <v>15326.222569482392</v>
      </c>
      <c r="AK85" s="13">
        <f>$I$33*$AK$33</f>
        <v>0</v>
      </c>
      <c r="AL85" s="13">
        <f>$I$33*$AL$33</f>
        <v>0</v>
      </c>
      <c r="AM85" s="13">
        <f>$I$33*$AM$33</f>
        <v>0</v>
      </c>
      <c r="AN85" s="13">
        <f>$I$33*$AN$33</f>
        <v>754477.58961867634</v>
      </c>
      <c r="AO85" s="13">
        <f>$I$33*$AO$33</f>
        <v>117855.74683436241</v>
      </c>
      <c r="AP85" s="13">
        <f>$I$33*$AP$33</f>
        <v>0</v>
      </c>
      <c r="AQ85" s="13">
        <f>$I$33*$AQ$33</f>
        <v>0</v>
      </c>
      <c r="AR85" s="13">
        <f>$I$33*$AR$33</f>
        <v>0</v>
      </c>
      <c r="AS85" s="13">
        <f>$I$33*$AS$33</f>
        <v>0</v>
      </c>
      <c r="AT85" s="13">
        <f>$I$33*$AT$33</f>
        <v>0</v>
      </c>
      <c r="AU85" s="13">
        <f>$I$33*$AU$33</f>
        <v>832124.31486760371</v>
      </c>
      <c r="AV85" s="13">
        <f>$I$33*$AV$33</f>
        <v>0</v>
      </c>
      <c r="AW85" s="13">
        <f>$I$33*$AW$33</f>
        <v>0</v>
      </c>
      <c r="AX85" s="13">
        <f>$I$33*$AX$33</f>
        <v>2490861.3120763581</v>
      </c>
      <c r="AY85" s="13">
        <f>$I$33*$AY$33</f>
        <v>0</v>
      </c>
      <c r="AZ85" s="13">
        <f>$I$33*$AZ$33</f>
        <v>0</v>
      </c>
      <c r="BA85" s="13">
        <f>$I$33*$BA$33</f>
        <v>677331.95843967516</v>
      </c>
      <c r="BB85" s="13">
        <f>$I$33*$BB$33</f>
        <v>0</v>
      </c>
      <c r="BC85" s="13">
        <f>$I$33*$BC$33</f>
        <v>43651.747219170626</v>
      </c>
      <c r="BD85" s="13">
        <f>$I$33*$BD$33</f>
        <v>0</v>
      </c>
    </row>
    <row r="86" spans="1:56" ht="11.25" customHeight="1" x14ac:dyDescent="0.3">
      <c r="A86" s="9" t="s">
        <v>40</v>
      </c>
      <c r="B86" s="9" t="s">
        <v>787</v>
      </c>
      <c r="C86" s="9" t="s">
        <v>788</v>
      </c>
      <c r="D86" s="9" t="s">
        <v>801</v>
      </c>
      <c r="E86" s="9" t="s">
        <v>802</v>
      </c>
      <c r="F86" s="9" t="s">
        <v>803</v>
      </c>
      <c r="G86" s="9" t="s">
        <v>804</v>
      </c>
      <c r="L86" s="13">
        <f>$I$34*$L$34</f>
        <v>0</v>
      </c>
      <c r="M86" s="13">
        <f>$I$34*$M$34</f>
        <v>0</v>
      </c>
      <c r="N86" s="13">
        <f ca="1">$I$34*$N$34</f>
        <v>0</v>
      </c>
      <c r="O86" s="13">
        <f>$I$34*$O$34</f>
        <v>0</v>
      </c>
      <c r="P86" s="13">
        <f>$I$34*$P$34</f>
        <v>0</v>
      </c>
      <c r="Q86" s="13">
        <f>$I$34*$Q$34</f>
        <v>0</v>
      </c>
      <c r="R86" s="13">
        <f>$I$34*$R$34</f>
        <v>0</v>
      </c>
      <c r="S86" s="13">
        <f>$I$34*$S$34</f>
        <v>0</v>
      </c>
      <c r="T86" s="13">
        <f>$I$34*$T$34</f>
        <v>0</v>
      </c>
      <c r="U86" s="13">
        <f>$I$34*$U$34</f>
        <v>0</v>
      </c>
      <c r="V86" s="13">
        <f>$I$34*$V$34</f>
        <v>0</v>
      </c>
      <c r="W86" s="13">
        <f>$I$34*$W$34</f>
        <v>0</v>
      </c>
      <c r="X86" s="13">
        <f>$I$34*$X$34</f>
        <v>0</v>
      </c>
      <c r="Y86" s="13">
        <f>$I$34*$Y$34</f>
        <v>0</v>
      </c>
      <c r="Z86" s="13">
        <f>$I$34*$Z$34</f>
        <v>0</v>
      </c>
      <c r="AA86" s="13">
        <f>$I$34*$AA$34</f>
        <v>0</v>
      </c>
      <c r="AB86" s="13">
        <f ca="1">$I$34*$AB$34</f>
        <v>0</v>
      </c>
      <c r="AC86" s="13">
        <f ca="1">$I$34*$AC$34</f>
        <v>0</v>
      </c>
      <c r="AD86" s="13">
        <f>$I$34*$AD$34</f>
        <v>0</v>
      </c>
      <c r="AE86" s="13">
        <f>$I$34*$AE$34</f>
        <v>0</v>
      </c>
      <c r="AF86" s="13">
        <f ca="1">$I$34*$AF$34</f>
        <v>0</v>
      </c>
      <c r="AG86" s="13">
        <f ca="1">$I$34*$AG$34</f>
        <v>0</v>
      </c>
      <c r="AI86" s="13">
        <f>$I$34*$AI$34</f>
        <v>0</v>
      </c>
      <c r="AJ86" s="13">
        <f>$I$34*$AJ$34</f>
        <v>0</v>
      </c>
      <c r="AK86" s="13">
        <f>$I$34*$AK$34</f>
        <v>0</v>
      </c>
      <c r="AL86" s="13">
        <f>$I$34*$AL$34</f>
        <v>0</v>
      </c>
      <c r="AM86" s="13">
        <f>$I$34*$AM$34</f>
        <v>0</v>
      </c>
      <c r="AN86" s="13">
        <f>$I$34*$AN$34</f>
        <v>0</v>
      </c>
      <c r="AO86" s="13">
        <f>$I$34*$AO$34</f>
        <v>0</v>
      </c>
      <c r="AP86" s="13">
        <f>$I$34*$AP$34</f>
        <v>0</v>
      </c>
      <c r="AQ86" s="13">
        <f>$I$34*$AQ$34</f>
        <v>0</v>
      </c>
      <c r="AR86" s="13">
        <f>$I$34*$AR$34</f>
        <v>0</v>
      </c>
      <c r="AS86" s="13">
        <f>$I$34*$AS$34</f>
        <v>0</v>
      </c>
      <c r="AT86" s="13">
        <f>$I$34*$AT$34</f>
        <v>0</v>
      </c>
      <c r="AU86" s="13">
        <f>$I$34*$AU$34</f>
        <v>0</v>
      </c>
      <c r="AV86" s="13">
        <f>$I$34*$AV$34</f>
        <v>0</v>
      </c>
      <c r="AW86" s="13">
        <f>$I$34*$AW$34</f>
        <v>0</v>
      </c>
      <c r="AX86" s="13">
        <f>$I$34*$AX$34</f>
        <v>0</v>
      </c>
      <c r="AY86" s="13">
        <f>$I$34*$AY$34</f>
        <v>0</v>
      </c>
      <c r="AZ86" s="13">
        <f>$I$34*$AZ$34</f>
        <v>0</v>
      </c>
      <c r="BA86" s="13">
        <f>$I$34*$BA$34</f>
        <v>0</v>
      </c>
      <c r="BB86" s="13">
        <f>$I$34*$BB$34</f>
        <v>0</v>
      </c>
      <c r="BC86" s="13">
        <f>$I$34*$BC$34</f>
        <v>0</v>
      </c>
      <c r="BD86" s="13">
        <f>$I$34*$BD$34</f>
        <v>0</v>
      </c>
    </row>
    <row r="87" spans="1:56" ht="11.25" customHeight="1" x14ac:dyDescent="0.3">
      <c r="A87" s="9" t="s">
        <v>40</v>
      </c>
      <c r="B87" s="9" t="s">
        <v>787</v>
      </c>
      <c r="C87" s="9" t="s">
        <v>788</v>
      </c>
      <c r="D87" s="9" t="s">
        <v>801</v>
      </c>
      <c r="E87" s="9" t="s">
        <v>802</v>
      </c>
      <c r="F87" s="9" t="s">
        <v>803</v>
      </c>
      <c r="G87" s="9" t="s">
        <v>805</v>
      </c>
      <c r="L87" s="13">
        <f>$I$35*$L$35</f>
        <v>0</v>
      </c>
      <c r="M87" s="13">
        <f>$I$35*$M$35</f>
        <v>0</v>
      </c>
      <c r="N87" s="13">
        <f ca="1">$I$35*$N$35</f>
        <v>0</v>
      </c>
      <c r="O87" s="13">
        <f>$I$35*$O$35</f>
        <v>0</v>
      </c>
      <c r="P87" s="13">
        <f>$I$35*$P$35</f>
        <v>0</v>
      </c>
      <c r="Q87" s="13">
        <f>$I$35*$Q$35</f>
        <v>0</v>
      </c>
      <c r="R87" s="13">
        <f>$I$35*$R$35</f>
        <v>0</v>
      </c>
      <c r="S87" s="13">
        <f>$I$35*$S$35</f>
        <v>0</v>
      </c>
      <c r="T87" s="13">
        <f>$I$35*$T$35</f>
        <v>0</v>
      </c>
      <c r="U87" s="13">
        <f>$I$35*$U$35</f>
        <v>0</v>
      </c>
      <c r="V87" s="13">
        <f>$I$35*$V$35</f>
        <v>0</v>
      </c>
      <c r="W87" s="13">
        <f>$I$35*$W$35</f>
        <v>0</v>
      </c>
      <c r="X87" s="13">
        <f>$I$35*$X$35</f>
        <v>0</v>
      </c>
      <c r="Y87" s="13">
        <f>$I$35*$Y$35</f>
        <v>0</v>
      </c>
      <c r="Z87" s="13">
        <f>$I$35*$Z$35</f>
        <v>0</v>
      </c>
      <c r="AA87" s="13">
        <f>$I$35*$AA$35</f>
        <v>0</v>
      </c>
      <c r="AB87" s="13">
        <f ca="1">$I$35*$AB$35</f>
        <v>0</v>
      </c>
      <c r="AC87" s="13">
        <f ca="1">$I$35*$AC$35</f>
        <v>0</v>
      </c>
      <c r="AD87" s="13">
        <f>$I$35*$AD$35</f>
        <v>0</v>
      </c>
      <c r="AE87" s="13">
        <f>$I$35*$AE$35</f>
        <v>0</v>
      </c>
      <c r="AF87" s="13">
        <f ca="1">$I$35*$AF$35</f>
        <v>0</v>
      </c>
      <c r="AG87" s="13">
        <f ca="1">$I$35*$AG$35</f>
        <v>0</v>
      </c>
      <c r="AI87" s="13">
        <f>$I$35*$AI$35</f>
        <v>0</v>
      </c>
      <c r="AJ87" s="13">
        <f>$I$35*$AJ$35</f>
        <v>0</v>
      </c>
      <c r="AK87" s="13">
        <f>$I$35*$AK$35</f>
        <v>0</v>
      </c>
      <c r="AL87" s="13">
        <f>$I$35*$AL$35</f>
        <v>0</v>
      </c>
      <c r="AM87" s="13">
        <f>$I$35*$AM$35</f>
        <v>0</v>
      </c>
      <c r="AN87" s="13">
        <f>$I$35*$AN$35</f>
        <v>0</v>
      </c>
      <c r="AO87" s="13">
        <f>$I$35*$AO$35</f>
        <v>0</v>
      </c>
      <c r="AP87" s="13">
        <f>$I$35*$AP$35</f>
        <v>0</v>
      </c>
      <c r="AQ87" s="13">
        <f>$I$35*$AQ$35</f>
        <v>0</v>
      </c>
      <c r="AR87" s="13">
        <f>$I$35*$AR$35</f>
        <v>0</v>
      </c>
      <c r="AS87" s="13">
        <f>$I$35*$AS$35</f>
        <v>0</v>
      </c>
      <c r="AT87" s="13">
        <f>$I$35*$AT$35</f>
        <v>0</v>
      </c>
      <c r="AU87" s="13">
        <f>$I$35*$AU$35</f>
        <v>0</v>
      </c>
      <c r="AV87" s="13">
        <f>$I$35*$AV$35</f>
        <v>0</v>
      </c>
      <c r="AW87" s="13">
        <f>$I$35*$AW$35</f>
        <v>0</v>
      </c>
      <c r="AX87" s="13">
        <f>$I$35*$AX$35</f>
        <v>0</v>
      </c>
      <c r="AY87" s="13">
        <f>$I$35*$AY$35</f>
        <v>0</v>
      </c>
      <c r="AZ87" s="13">
        <f>$I$35*$AZ$35</f>
        <v>0</v>
      </c>
      <c r="BA87" s="13">
        <f>$I$35*$BA$35</f>
        <v>0</v>
      </c>
      <c r="BB87" s="13">
        <f>$I$35*$BB$35</f>
        <v>0</v>
      </c>
      <c r="BC87" s="13">
        <f>$I$35*$BC$35</f>
        <v>0</v>
      </c>
      <c r="BD87" s="13">
        <f>$I$35*$BD$35</f>
        <v>0</v>
      </c>
    </row>
    <row r="88" spans="1:56" ht="11.25" customHeight="1" x14ac:dyDescent="0.3">
      <c r="A88" s="9" t="s">
        <v>40</v>
      </c>
      <c r="B88" s="9" t="s">
        <v>787</v>
      </c>
      <c r="C88" s="9" t="s">
        <v>788</v>
      </c>
      <c r="D88" s="9" t="s">
        <v>801</v>
      </c>
      <c r="E88" s="9" t="s">
        <v>802</v>
      </c>
      <c r="F88" s="9" t="s">
        <v>803</v>
      </c>
      <c r="G88" s="9" t="s">
        <v>806</v>
      </c>
      <c r="L88" s="13">
        <f>$I$36*$L$36</f>
        <v>0</v>
      </c>
      <c r="M88" s="13">
        <f>$I$36*$M$36</f>
        <v>0</v>
      </c>
      <c r="N88" s="13">
        <f ca="1">$I$36*$N$36</f>
        <v>0</v>
      </c>
      <c r="O88" s="13">
        <f>$I$36*$O$36</f>
        <v>0</v>
      </c>
      <c r="P88" s="13">
        <f>$I$36*$P$36</f>
        <v>0</v>
      </c>
      <c r="Q88" s="13">
        <f>$I$36*$Q$36</f>
        <v>0</v>
      </c>
      <c r="R88" s="13">
        <f>$I$36*$R$36</f>
        <v>0</v>
      </c>
      <c r="S88" s="13">
        <f>$I$36*$S$36</f>
        <v>0</v>
      </c>
      <c r="T88" s="13">
        <f>$I$36*$T$36</f>
        <v>0</v>
      </c>
      <c r="U88" s="13">
        <f>$I$36*$U$36</f>
        <v>0</v>
      </c>
      <c r="V88" s="13">
        <f>$I$36*$V$36</f>
        <v>0</v>
      </c>
      <c r="W88" s="13">
        <f>$I$36*$W$36</f>
        <v>0</v>
      </c>
      <c r="X88" s="13">
        <f>$I$36*$X$36</f>
        <v>0</v>
      </c>
      <c r="Y88" s="13">
        <f>$I$36*$Y$36</f>
        <v>0</v>
      </c>
      <c r="Z88" s="13">
        <f>$I$36*$Z$36</f>
        <v>0</v>
      </c>
      <c r="AA88" s="13">
        <f>$I$36*$AA$36</f>
        <v>0</v>
      </c>
      <c r="AB88" s="13">
        <f ca="1">$I$36*$AB$36</f>
        <v>0</v>
      </c>
      <c r="AC88" s="13">
        <f ca="1">$I$36*$AC$36</f>
        <v>0</v>
      </c>
      <c r="AD88" s="13">
        <f>$I$36*$AD$36</f>
        <v>0</v>
      </c>
      <c r="AE88" s="13">
        <f>$I$36*$AE$36</f>
        <v>0</v>
      </c>
      <c r="AF88" s="13">
        <f ca="1">$I$36*$AF$36</f>
        <v>0</v>
      </c>
      <c r="AG88" s="13">
        <f ca="1">$I$36*$AG$36</f>
        <v>0</v>
      </c>
      <c r="AI88" s="13">
        <f>$I$36*$AI$36</f>
        <v>0</v>
      </c>
      <c r="AJ88" s="13">
        <f>$I$36*$AJ$36</f>
        <v>0</v>
      </c>
      <c r="AK88" s="13">
        <f>$I$36*$AK$36</f>
        <v>0</v>
      </c>
      <c r="AL88" s="13">
        <f>$I$36*$AL$36</f>
        <v>0</v>
      </c>
      <c r="AM88" s="13">
        <f>$I$36*$AM$36</f>
        <v>0</v>
      </c>
      <c r="AN88" s="13">
        <f>$I$36*$AN$36</f>
        <v>0</v>
      </c>
      <c r="AO88" s="13">
        <f>$I$36*$AO$36</f>
        <v>0</v>
      </c>
      <c r="AP88" s="13">
        <f>$I$36*$AP$36</f>
        <v>0</v>
      </c>
      <c r="AQ88" s="13">
        <f>$I$36*$AQ$36</f>
        <v>0</v>
      </c>
      <c r="AR88" s="13">
        <f>$I$36*$AR$36</f>
        <v>0</v>
      </c>
      <c r="AS88" s="13">
        <f>$I$36*$AS$36</f>
        <v>0</v>
      </c>
      <c r="AT88" s="13">
        <f>$I$36*$AT$36</f>
        <v>0</v>
      </c>
      <c r="AU88" s="13">
        <f>$I$36*$AU$36</f>
        <v>0</v>
      </c>
      <c r="AV88" s="13">
        <f>$I$36*$AV$36</f>
        <v>0</v>
      </c>
      <c r="AW88" s="13">
        <f>$I$36*$AW$36</f>
        <v>0</v>
      </c>
      <c r="AX88" s="13">
        <f>$I$36*$AX$36</f>
        <v>0</v>
      </c>
      <c r="AY88" s="13">
        <f>$I$36*$AY$36</f>
        <v>0</v>
      </c>
      <c r="AZ88" s="13">
        <f>$I$36*$AZ$36</f>
        <v>0</v>
      </c>
      <c r="BA88" s="13">
        <f>$I$36*$BA$36</f>
        <v>0</v>
      </c>
      <c r="BB88" s="13">
        <f>$I$36*$BB$36</f>
        <v>0</v>
      </c>
      <c r="BC88" s="13">
        <f>$I$36*$BC$36</f>
        <v>0</v>
      </c>
      <c r="BD88" s="13">
        <f>$I$36*$BD$36</f>
        <v>0</v>
      </c>
    </row>
    <row r="89" spans="1:56" ht="11.25" customHeight="1" x14ac:dyDescent="0.3">
      <c r="A89" s="9" t="s">
        <v>40</v>
      </c>
      <c r="B89" s="9" t="s">
        <v>795</v>
      </c>
      <c r="C89" s="9" t="s">
        <v>796</v>
      </c>
      <c r="D89" s="9" t="s">
        <v>807</v>
      </c>
      <c r="E89" s="9" t="s">
        <v>808</v>
      </c>
      <c r="F89" s="9" t="s">
        <v>809</v>
      </c>
      <c r="G89" s="9" t="s">
        <v>810</v>
      </c>
      <c r="L89" s="13">
        <f>$I$37*$L$37</f>
        <v>0</v>
      </c>
      <c r="M89" s="13">
        <f>$I$37*$M$37</f>
        <v>0</v>
      </c>
      <c r="N89" s="13">
        <f ca="1">$I$37*$N$37</f>
        <v>0</v>
      </c>
      <c r="O89" s="13">
        <f>$I$37*$O$37</f>
        <v>0</v>
      </c>
      <c r="P89" s="13">
        <f>$I$37*$P$37</f>
        <v>0</v>
      </c>
      <c r="Q89" s="13">
        <f>$I$37*$Q$37</f>
        <v>0</v>
      </c>
      <c r="R89" s="13">
        <f>$I$37*$R$37</f>
        <v>0</v>
      </c>
      <c r="S89" s="13">
        <f>$I$37*$S$37</f>
        <v>0</v>
      </c>
      <c r="T89" s="13">
        <f>$I$37*$T$37</f>
        <v>0</v>
      </c>
      <c r="U89" s="13">
        <f>$I$37*$U$37</f>
        <v>0</v>
      </c>
      <c r="V89" s="13">
        <f>$I$37*$V$37</f>
        <v>0</v>
      </c>
      <c r="W89" s="13">
        <f>$I$37*$W$37</f>
        <v>0</v>
      </c>
      <c r="X89" s="13">
        <f>$I$37*$X$37</f>
        <v>0</v>
      </c>
      <c r="Y89" s="13">
        <f>$I$37*$Y$37</f>
        <v>0</v>
      </c>
      <c r="Z89" s="13">
        <f>$I$37*$Z$37</f>
        <v>0</v>
      </c>
      <c r="AA89" s="13">
        <f>$I$37*$AA$37</f>
        <v>0</v>
      </c>
      <c r="AB89" s="13">
        <f ca="1">$I$37*$AB$37</f>
        <v>0</v>
      </c>
      <c r="AC89" s="13">
        <f ca="1">$I$37*$AC$37</f>
        <v>0</v>
      </c>
      <c r="AD89" s="13">
        <f>$I$37*$AD$37</f>
        <v>0</v>
      </c>
      <c r="AE89" s="13">
        <f>$I$37*$AE$37</f>
        <v>0</v>
      </c>
      <c r="AF89" s="13">
        <f ca="1">$I$37*$AF$37</f>
        <v>0</v>
      </c>
      <c r="AG89" s="13">
        <f ca="1">$I$37*$AG$37</f>
        <v>0</v>
      </c>
      <c r="AI89" s="13">
        <f>$I$37*$AI$37</f>
        <v>0</v>
      </c>
      <c r="AJ89" s="13">
        <f>$I$37*$AJ$37</f>
        <v>0</v>
      </c>
      <c r="AK89" s="13">
        <f>$I$37*$AK$37</f>
        <v>0</v>
      </c>
      <c r="AL89" s="13">
        <f>$I$37*$AL$37</f>
        <v>0</v>
      </c>
      <c r="AM89" s="13">
        <f>$I$37*$AM$37</f>
        <v>0</v>
      </c>
      <c r="AN89" s="13">
        <f>$I$37*$AN$37</f>
        <v>0</v>
      </c>
      <c r="AO89" s="13">
        <f>$I$37*$AO$37</f>
        <v>0</v>
      </c>
      <c r="AP89" s="13">
        <f>$I$37*$AP$37</f>
        <v>0</v>
      </c>
      <c r="AQ89" s="13">
        <f>$I$37*$AQ$37</f>
        <v>0</v>
      </c>
      <c r="AR89" s="13">
        <f>$I$37*$AR$37</f>
        <v>0</v>
      </c>
      <c r="AS89" s="13">
        <f>$I$37*$AS$37</f>
        <v>0</v>
      </c>
      <c r="AT89" s="13">
        <f>$I$37*$AT$37</f>
        <v>0</v>
      </c>
      <c r="AU89" s="13">
        <f>$I$37*$AU$37</f>
        <v>0</v>
      </c>
      <c r="AV89" s="13">
        <f>$I$37*$AV$37</f>
        <v>0</v>
      </c>
      <c r="AW89" s="13">
        <f>$I$37*$AW$37</f>
        <v>0</v>
      </c>
      <c r="AX89" s="13">
        <f>$I$37*$AX$37</f>
        <v>0</v>
      </c>
      <c r="AY89" s="13">
        <f>$I$37*$AY$37</f>
        <v>0</v>
      </c>
      <c r="AZ89" s="13">
        <f>$I$37*$AZ$37</f>
        <v>0</v>
      </c>
      <c r="BA89" s="13">
        <f>$I$37*$BA$37</f>
        <v>0</v>
      </c>
      <c r="BB89" s="13">
        <f>$I$37*$BB$37</f>
        <v>0</v>
      </c>
      <c r="BC89" s="13">
        <f>$I$37*$BC$37</f>
        <v>0</v>
      </c>
      <c r="BD89" s="13">
        <f>$I$37*$BD$37</f>
        <v>0</v>
      </c>
    </row>
    <row r="90" spans="1:56" ht="11.25" customHeight="1" x14ac:dyDescent="0.3">
      <c r="A90" s="9" t="s">
        <v>40</v>
      </c>
      <c r="B90" s="9" t="s">
        <v>787</v>
      </c>
      <c r="C90" s="9" t="s">
        <v>788</v>
      </c>
      <c r="D90" s="9" t="s">
        <v>811</v>
      </c>
      <c r="E90" s="9" t="s">
        <v>812</v>
      </c>
      <c r="F90" s="9" t="s">
        <v>813</v>
      </c>
      <c r="G90" s="9" t="s">
        <v>814</v>
      </c>
      <c r="L90" s="13">
        <f>$I$38*$L$38</f>
        <v>0</v>
      </c>
      <c r="M90" s="13">
        <f>$I$38*$M$38</f>
        <v>0</v>
      </c>
      <c r="N90" s="13">
        <f ca="1">$I$38*$N$38</f>
        <v>0</v>
      </c>
      <c r="O90" s="13">
        <f>$I$38*$O$38</f>
        <v>0</v>
      </c>
      <c r="P90" s="13">
        <f>$I$38*$P$38</f>
        <v>0</v>
      </c>
      <c r="Q90" s="13">
        <f>$I$38*$Q$38</f>
        <v>0</v>
      </c>
      <c r="R90" s="13">
        <f>$I$38*$R$38</f>
        <v>0</v>
      </c>
      <c r="S90" s="13">
        <f>$I$38*$S$38</f>
        <v>0</v>
      </c>
      <c r="T90" s="13">
        <f>$I$38*$T$38</f>
        <v>0</v>
      </c>
      <c r="U90" s="13">
        <f>$I$38*$U$38</f>
        <v>0</v>
      </c>
      <c r="V90" s="13">
        <f>$I$38*$V$38</f>
        <v>0</v>
      </c>
      <c r="W90" s="13">
        <f>$I$38*$W$38</f>
        <v>0</v>
      </c>
      <c r="X90" s="13">
        <f>$I$38*$X$38</f>
        <v>0</v>
      </c>
      <c r="Y90" s="13">
        <f>$I$38*$Y$38</f>
        <v>0</v>
      </c>
      <c r="Z90" s="13">
        <f>$I$38*$Z$38</f>
        <v>0</v>
      </c>
      <c r="AA90" s="13">
        <f>$I$38*$AA$38</f>
        <v>0</v>
      </c>
      <c r="AB90" s="13">
        <f ca="1">$I$38*$AB$38</f>
        <v>0</v>
      </c>
      <c r="AC90" s="13">
        <f ca="1">$I$38*$AC$38</f>
        <v>0</v>
      </c>
      <c r="AD90" s="13">
        <f>$I$38*$AD$38</f>
        <v>0</v>
      </c>
      <c r="AE90" s="13">
        <f>$I$38*$AE$38</f>
        <v>0</v>
      </c>
      <c r="AF90" s="13">
        <f ca="1">$I$38*$AF$38</f>
        <v>0</v>
      </c>
      <c r="AG90" s="13">
        <f ca="1">$I$38*$AG$38</f>
        <v>0</v>
      </c>
      <c r="AI90" s="13">
        <f>$I$38*$AI$38</f>
        <v>0</v>
      </c>
      <c r="AJ90" s="13">
        <f>$I$38*$AJ$38</f>
        <v>0</v>
      </c>
      <c r="AK90" s="13">
        <f>$I$38*$AK$38</f>
        <v>0</v>
      </c>
      <c r="AL90" s="13">
        <f>$I$38*$AL$38</f>
        <v>0</v>
      </c>
      <c r="AM90" s="13">
        <f>$I$38*$AM$38</f>
        <v>0</v>
      </c>
      <c r="AN90" s="13">
        <f>$I$38*$AN$38</f>
        <v>0</v>
      </c>
      <c r="AO90" s="13">
        <f>$I$38*$AO$38</f>
        <v>0</v>
      </c>
      <c r="AP90" s="13">
        <f>$I$38*$AP$38</f>
        <v>0</v>
      </c>
      <c r="AQ90" s="13">
        <f>$I$38*$AQ$38</f>
        <v>0</v>
      </c>
      <c r="AR90" s="13">
        <f>$I$38*$AR$38</f>
        <v>0</v>
      </c>
      <c r="AS90" s="13">
        <f>$I$38*$AS$38</f>
        <v>0</v>
      </c>
      <c r="AT90" s="13">
        <f>$I$38*$AT$38</f>
        <v>0</v>
      </c>
      <c r="AU90" s="13">
        <f>$I$38*$AU$38</f>
        <v>0</v>
      </c>
      <c r="AV90" s="13">
        <f>$I$38*$AV$38</f>
        <v>0</v>
      </c>
      <c r="AW90" s="13">
        <f>$I$38*$AW$38</f>
        <v>0</v>
      </c>
      <c r="AX90" s="13">
        <f>$I$38*$AX$38</f>
        <v>0</v>
      </c>
      <c r="AY90" s="13">
        <f>$I$38*$AY$38</f>
        <v>0</v>
      </c>
      <c r="AZ90" s="13">
        <f>$I$38*$AZ$38</f>
        <v>0</v>
      </c>
      <c r="BA90" s="13">
        <f>$I$38*$BA$38</f>
        <v>0</v>
      </c>
      <c r="BB90" s="13">
        <f>$I$38*$BB$38</f>
        <v>0</v>
      </c>
      <c r="BC90" s="13">
        <f>$I$38*$BC$38</f>
        <v>0</v>
      </c>
      <c r="BD90" s="13">
        <f>$I$38*$BD$38</f>
        <v>0</v>
      </c>
    </row>
    <row r="91" spans="1:56" ht="11.25" customHeight="1" x14ac:dyDescent="0.3">
      <c r="A91" s="9" t="s">
        <v>40</v>
      </c>
      <c r="B91" s="9" t="s">
        <v>787</v>
      </c>
      <c r="C91" s="9" t="s">
        <v>788</v>
      </c>
      <c r="D91" s="9" t="s">
        <v>811</v>
      </c>
      <c r="E91" s="9" t="s">
        <v>812</v>
      </c>
      <c r="F91" s="9" t="s">
        <v>813</v>
      </c>
      <c r="G91" s="9" t="s">
        <v>815</v>
      </c>
      <c r="L91" s="13">
        <f>$I$39*$L$39</f>
        <v>0</v>
      </c>
      <c r="M91" s="13">
        <f>$I$39*$M$39</f>
        <v>0</v>
      </c>
      <c r="N91" s="13">
        <f ca="1">$I$39*$N$39</f>
        <v>0</v>
      </c>
      <c r="O91" s="13">
        <f>$I$39*$O$39</f>
        <v>0</v>
      </c>
      <c r="P91" s="13">
        <f>$I$39*$P$39</f>
        <v>0</v>
      </c>
      <c r="Q91" s="13">
        <f>$I$39*$Q$39</f>
        <v>0</v>
      </c>
      <c r="R91" s="13">
        <f>$I$39*$R$39</f>
        <v>0</v>
      </c>
      <c r="S91" s="13">
        <f>$I$39*$S$39</f>
        <v>0</v>
      </c>
      <c r="T91" s="13">
        <f>$I$39*$T$39</f>
        <v>0</v>
      </c>
      <c r="U91" s="13">
        <f>$I$39*$U$39</f>
        <v>0</v>
      </c>
      <c r="V91" s="13">
        <f>$I$39*$V$39</f>
        <v>0</v>
      </c>
      <c r="W91" s="13">
        <f>$I$39*$W$39</f>
        <v>0</v>
      </c>
      <c r="X91" s="13">
        <f>$I$39*$X$39</f>
        <v>0</v>
      </c>
      <c r="Y91" s="13">
        <f>$I$39*$Y$39</f>
        <v>0</v>
      </c>
      <c r="Z91" s="13">
        <f>$I$39*$Z$39</f>
        <v>0</v>
      </c>
      <c r="AA91" s="13">
        <f>$I$39*$AA$39</f>
        <v>0</v>
      </c>
      <c r="AB91" s="13">
        <f ca="1">$I$39*$AB$39</f>
        <v>0</v>
      </c>
      <c r="AC91" s="13">
        <f ca="1">$I$39*$AC$39</f>
        <v>0</v>
      </c>
      <c r="AD91" s="13">
        <f>$I$39*$AD$39</f>
        <v>0</v>
      </c>
      <c r="AE91" s="13">
        <f>$I$39*$AE$39</f>
        <v>0</v>
      </c>
      <c r="AF91" s="13">
        <f ca="1">$I$39*$AF$39</f>
        <v>0</v>
      </c>
      <c r="AG91" s="13">
        <f ca="1">$I$39*$AG$39</f>
        <v>0</v>
      </c>
      <c r="AI91" s="13">
        <f>$I$39*$AI$39</f>
        <v>0</v>
      </c>
      <c r="AJ91" s="13">
        <f>$I$39*$AJ$39</f>
        <v>0</v>
      </c>
      <c r="AK91" s="13">
        <f>$I$39*$AK$39</f>
        <v>0</v>
      </c>
      <c r="AL91" s="13">
        <f>$I$39*$AL$39</f>
        <v>0</v>
      </c>
      <c r="AM91" s="13">
        <f>$I$39*$AM$39</f>
        <v>0</v>
      </c>
      <c r="AN91" s="13">
        <f>$I$39*$AN$39</f>
        <v>0</v>
      </c>
      <c r="AO91" s="13">
        <f>$I$39*$AO$39</f>
        <v>0</v>
      </c>
      <c r="AP91" s="13">
        <f>$I$39*$AP$39</f>
        <v>0</v>
      </c>
      <c r="AQ91" s="13">
        <f>$I$39*$AQ$39</f>
        <v>0</v>
      </c>
      <c r="AR91" s="13">
        <f>$I$39*$AR$39</f>
        <v>0</v>
      </c>
      <c r="AS91" s="13">
        <f>$I$39*$AS$39</f>
        <v>0</v>
      </c>
      <c r="AT91" s="13">
        <f>$I$39*$AT$39</f>
        <v>0</v>
      </c>
      <c r="AU91" s="13">
        <f>$I$39*$AU$39</f>
        <v>0</v>
      </c>
      <c r="AV91" s="13">
        <f>$I$39*$AV$39</f>
        <v>0</v>
      </c>
      <c r="AW91" s="13">
        <f>$I$39*$AW$39</f>
        <v>0</v>
      </c>
      <c r="AX91" s="13">
        <f>$I$39*$AX$39</f>
        <v>0</v>
      </c>
      <c r="AY91" s="13">
        <f>$I$39*$AY$39</f>
        <v>0</v>
      </c>
      <c r="AZ91" s="13">
        <f>$I$39*$AZ$39</f>
        <v>0</v>
      </c>
      <c r="BA91" s="13">
        <f>$I$39*$BA$39</f>
        <v>0</v>
      </c>
      <c r="BB91" s="13">
        <f>$I$39*$BB$39</f>
        <v>0</v>
      </c>
      <c r="BC91" s="13">
        <f>$I$39*$BC$39</f>
        <v>0</v>
      </c>
      <c r="BD91" s="13">
        <f>$I$39*$BD$39</f>
        <v>0</v>
      </c>
    </row>
    <row r="92" spans="1:56" ht="11.25" customHeight="1" x14ac:dyDescent="0.3">
      <c r="A92" s="9" t="s">
        <v>40</v>
      </c>
      <c r="B92" s="9" t="s">
        <v>787</v>
      </c>
      <c r="C92" s="9" t="s">
        <v>788</v>
      </c>
      <c r="D92" s="9" t="s">
        <v>811</v>
      </c>
      <c r="E92" s="9" t="s">
        <v>812</v>
      </c>
      <c r="F92" s="9" t="s">
        <v>813</v>
      </c>
      <c r="G92" s="9" t="s">
        <v>816</v>
      </c>
      <c r="L92" s="13">
        <f>$I$40*$L$40</f>
        <v>0</v>
      </c>
      <c r="M92" s="13">
        <f>$I$40*$M$40</f>
        <v>0</v>
      </c>
      <c r="N92" s="13">
        <f ca="1">$I$40*$N$40</f>
        <v>0</v>
      </c>
      <c r="O92" s="13">
        <f>$I$40*$O$40</f>
        <v>0</v>
      </c>
      <c r="P92" s="13">
        <f>$I$40*$P$40</f>
        <v>0</v>
      </c>
      <c r="Q92" s="13">
        <f>$I$40*$Q$40</f>
        <v>0</v>
      </c>
      <c r="R92" s="13">
        <f>$I$40*$R$40</f>
        <v>0</v>
      </c>
      <c r="S92" s="13">
        <f>$I$40*$S$40</f>
        <v>0</v>
      </c>
      <c r="T92" s="13">
        <f>$I$40*$T$40</f>
        <v>0</v>
      </c>
      <c r="U92" s="13">
        <f>$I$40*$U$40</f>
        <v>0</v>
      </c>
      <c r="V92" s="13">
        <f>$I$40*$V$40</f>
        <v>0</v>
      </c>
      <c r="W92" s="13">
        <f>$I$40*$W$40</f>
        <v>0</v>
      </c>
      <c r="X92" s="13">
        <f>$I$40*$X$40</f>
        <v>0</v>
      </c>
      <c r="Y92" s="13">
        <f>$I$40*$Y$40</f>
        <v>0</v>
      </c>
      <c r="Z92" s="13">
        <f>$I$40*$Z$40</f>
        <v>0</v>
      </c>
      <c r="AA92" s="13">
        <f>$I$40*$AA$40</f>
        <v>0</v>
      </c>
      <c r="AB92" s="13">
        <f ca="1">$I$40*$AB$40</f>
        <v>0</v>
      </c>
      <c r="AC92" s="13">
        <f ca="1">$I$40*$AC$40</f>
        <v>0</v>
      </c>
      <c r="AD92" s="13">
        <f>$I$40*$AD$40</f>
        <v>0</v>
      </c>
      <c r="AE92" s="13">
        <f>$I$40*$AE$40</f>
        <v>0</v>
      </c>
      <c r="AF92" s="13">
        <f ca="1">$I$40*$AF$40</f>
        <v>0</v>
      </c>
      <c r="AG92" s="13">
        <f ca="1">$I$40*$AG$40</f>
        <v>0</v>
      </c>
      <c r="AI92" s="13">
        <f>$I$40*$AI$40</f>
        <v>0</v>
      </c>
      <c r="AJ92" s="13">
        <f>$I$40*$AJ$40</f>
        <v>0</v>
      </c>
      <c r="AK92" s="13">
        <f>$I$40*$AK$40</f>
        <v>0</v>
      </c>
      <c r="AL92" s="13">
        <f>$I$40*$AL$40</f>
        <v>0</v>
      </c>
      <c r="AM92" s="13">
        <f>$I$40*$AM$40</f>
        <v>0</v>
      </c>
      <c r="AN92" s="13">
        <f>$I$40*$AN$40</f>
        <v>0</v>
      </c>
      <c r="AO92" s="13">
        <f>$I$40*$AO$40</f>
        <v>0</v>
      </c>
      <c r="AP92" s="13">
        <f>$I$40*$AP$40</f>
        <v>0</v>
      </c>
      <c r="AQ92" s="13">
        <f>$I$40*$AQ$40</f>
        <v>0</v>
      </c>
      <c r="AR92" s="13">
        <f>$I$40*$AR$40</f>
        <v>0</v>
      </c>
      <c r="AS92" s="13">
        <f>$I$40*$AS$40</f>
        <v>0</v>
      </c>
      <c r="AT92" s="13">
        <f>$I$40*$AT$40</f>
        <v>0</v>
      </c>
      <c r="AU92" s="13">
        <f>$I$40*$AU$40</f>
        <v>0</v>
      </c>
      <c r="AV92" s="13">
        <f>$I$40*$AV$40</f>
        <v>0</v>
      </c>
      <c r="AW92" s="13">
        <f>$I$40*$AW$40</f>
        <v>0</v>
      </c>
      <c r="AX92" s="13">
        <f>$I$40*$AX$40</f>
        <v>0</v>
      </c>
      <c r="AY92" s="13">
        <f>$I$40*$AY$40</f>
        <v>0</v>
      </c>
      <c r="AZ92" s="13">
        <f>$I$40*$AZ$40</f>
        <v>0</v>
      </c>
      <c r="BA92" s="13">
        <f>$I$40*$BA$40</f>
        <v>0</v>
      </c>
      <c r="BB92" s="13">
        <f>$I$40*$BB$40</f>
        <v>0</v>
      </c>
      <c r="BC92" s="13">
        <f>$I$40*$BC$40</f>
        <v>0</v>
      </c>
      <c r="BD92" s="13">
        <f>$I$40*$BD$40</f>
        <v>0</v>
      </c>
    </row>
    <row r="93" spans="1:56" ht="11.25" customHeight="1" x14ac:dyDescent="0.3">
      <c r="A93" s="9" t="s">
        <v>40</v>
      </c>
      <c r="B93" s="9" t="s">
        <v>795</v>
      </c>
      <c r="C93" s="9" t="s">
        <v>796</v>
      </c>
      <c r="D93" s="9" t="s">
        <v>817</v>
      </c>
      <c r="E93" s="9" t="s">
        <v>818</v>
      </c>
      <c r="F93" s="9" t="s">
        <v>819</v>
      </c>
      <c r="G93" s="9" t="s">
        <v>820</v>
      </c>
      <c r="L93" s="13">
        <f>$I$41*$L$41</f>
        <v>0</v>
      </c>
      <c r="M93" s="13">
        <f>$I$41*$M$41</f>
        <v>0</v>
      </c>
      <c r="N93" s="13">
        <f ca="1">$I$41*$N$41</f>
        <v>0</v>
      </c>
      <c r="O93" s="13">
        <f>$I$41*$O$41</f>
        <v>0</v>
      </c>
      <c r="P93" s="13">
        <f>$I$41*$P$41</f>
        <v>0</v>
      </c>
      <c r="Q93" s="13">
        <f>$I$41*$Q$41</f>
        <v>0</v>
      </c>
      <c r="R93" s="13">
        <f>$I$41*$R$41</f>
        <v>0</v>
      </c>
      <c r="S93" s="13">
        <f>$I$41*$S$41</f>
        <v>0</v>
      </c>
      <c r="T93" s="13">
        <f>$I$41*$T$41</f>
        <v>0</v>
      </c>
      <c r="U93" s="13">
        <f>$I$41*$U$41</f>
        <v>0</v>
      </c>
      <c r="V93" s="13">
        <f>$I$41*$V$41</f>
        <v>0</v>
      </c>
      <c r="W93" s="13">
        <f>$I$41*$W$41</f>
        <v>0</v>
      </c>
      <c r="X93" s="13">
        <f>$I$41*$X$41</f>
        <v>0</v>
      </c>
      <c r="Y93" s="13">
        <f>$I$41*$Y$41</f>
        <v>0</v>
      </c>
      <c r="Z93" s="13">
        <f>$I$41*$Z$41</f>
        <v>0</v>
      </c>
      <c r="AA93" s="13">
        <f>$I$41*$AA$41</f>
        <v>0</v>
      </c>
      <c r="AB93" s="13">
        <f ca="1">$I$41*$AB$41</f>
        <v>0</v>
      </c>
      <c r="AC93" s="13">
        <f ca="1">$I$41*$AC$41</f>
        <v>0</v>
      </c>
      <c r="AD93" s="13">
        <f>$I$41*$AD$41</f>
        <v>0</v>
      </c>
      <c r="AE93" s="13">
        <f>$I$41*$AE$41</f>
        <v>0</v>
      </c>
      <c r="AF93" s="13">
        <f ca="1">$I$41*$AF$41</f>
        <v>0</v>
      </c>
      <c r="AG93" s="13">
        <f ca="1">$I$41*$AG$41</f>
        <v>0</v>
      </c>
      <c r="AI93" s="13">
        <f>$I$41*$AI$41</f>
        <v>0</v>
      </c>
      <c r="AJ93" s="13">
        <f>$I$41*$AJ$41</f>
        <v>0</v>
      </c>
      <c r="AK93" s="13">
        <f>$I$41*$AK$41</f>
        <v>0</v>
      </c>
      <c r="AL93" s="13">
        <f>$I$41*$AL$41</f>
        <v>0</v>
      </c>
      <c r="AM93" s="13">
        <f>$I$41*$AM$41</f>
        <v>0</v>
      </c>
      <c r="AN93" s="13">
        <f>$I$41*$AN$41</f>
        <v>0</v>
      </c>
      <c r="AO93" s="13">
        <f>$I$41*$AO$41</f>
        <v>0</v>
      </c>
      <c r="AP93" s="13">
        <f>$I$41*$AP$41</f>
        <v>0</v>
      </c>
      <c r="AQ93" s="13">
        <f>$I$41*$AQ$41</f>
        <v>0</v>
      </c>
      <c r="AR93" s="13">
        <f>$I$41*$AR$41</f>
        <v>0</v>
      </c>
      <c r="AS93" s="13">
        <f>$I$41*$AS$41</f>
        <v>0</v>
      </c>
      <c r="AT93" s="13">
        <f>$I$41*$AT$41</f>
        <v>0</v>
      </c>
      <c r="AU93" s="13">
        <f>$I$41*$AU$41</f>
        <v>0</v>
      </c>
      <c r="AV93" s="13">
        <f>$I$41*$AV$41</f>
        <v>0</v>
      </c>
      <c r="AW93" s="13">
        <f>$I$41*$AW$41</f>
        <v>0</v>
      </c>
      <c r="AX93" s="13">
        <f>$I$41*$AX$41</f>
        <v>0</v>
      </c>
      <c r="AY93" s="13">
        <f>$I$41*$AY$41</f>
        <v>0</v>
      </c>
      <c r="AZ93" s="13">
        <f>$I$41*$AZ$41</f>
        <v>0</v>
      </c>
      <c r="BA93" s="13">
        <f>$I$41*$BA$41</f>
        <v>0</v>
      </c>
      <c r="BB93" s="13">
        <f>$I$41*$BB$41</f>
        <v>0</v>
      </c>
      <c r="BC93" s="13">
        <f>$I$41*$BC$41</f>
        <v>0</v>
      </c>
      <c r="BD93" s="13">
        <f>$I$41*$BD$41</f>
        <v>0</v>
      </c>
    </row>
    <row r="94" spans="1:56" ht="11.25" customHeight="1" x14ac:dyDescent="0.3">
      <c r="A94" s="9" t="s">
        <v>40</v>
      </c>
      <c r="B94" s="9" t="s">
        <v>821</v>
      </c>
      <c r="C94" s="9" t="s">
        <v>822</v>
      </c>
      <c r="D94" s="9" t="s">
        <v>823</v>
      </c>
      <c r="E94" s="9" t="s">
        <v>824</v>
      </c>
      <c r="F94" s="9" t="s">
        <v>825</v>
      </c>
      <c r="G94" s="9" t="s">
        <v>826</v>
      </c>
      <c r="L94" s="13">
        <f>$I$42*$L$42</f>
        <v>0</v>
      </c>
      <c r="M94" s="13">
        <f>$I$42*$M$42</f>
        <v>0</v>
      </c>
      <c r="N94" s="13">
        <f ca="1">$I$42*$N$42</f>
        <v>0</v>
      </c>
      <c r="O94" s="13">
        <f>$I$42*$O$42</f>
        <v>0</v>
      </c>
      <c r="P94" s="13">
        <f>$I$42*$P$42</f>
        <v>0</v>
      </c>
      <c r="Q94" s="13">
        <f>$I$42*$Q$42</f>
        <v>0</v>
      </c>
      <c r="R94" s="13">
        <f>$I$42*$R$42</f>
        <v>0</v>
      </c>
      <c r="S94" s="13">
        <f>$I$42*$S$42</f>
        <v>0</v>
      </c>
      <c r="T94" s="13">
        <f>$I$42*$T$42</f>
        <v>0</v>
      </c>
      <c r="U94" s="13">
        <f>$I$42*$U$42</f>
        <v>0</v>
      </c>
      <c r="V94" s="13">
        <f>$I$42*$V$42</f>
        <v>0</v>
      </c>
      <c r="W94" s="13">
        <f>$I$42*$W$42</f>
        <v>0</v>
      </c>
      <c r="X94" s="13">
        <f>$I$42*$X$42</f>
        <v>0</v>
      </c>
      <c r="Y94" s="13">
        <f>$I$42*$Y$42</f>
        <v>0</v>
      </c>
      <c r="Z94" s="13">
        <f>$I$42*$Z$42</f>
        <v>0</v>
      </c>
      <c r="AA94" s="13">
        <f>$I$42*$AA$42</f>
        <v>0</v>
      </c>
      <c r="AB94" s="13">
        <f ca="1">$I$42*$AB$42</f>
        <v>0</v>
      </c>
      <c r="AC94" s="13">
        <f ca="1">$I$42*$AC$42</f>
        <v>0</v>
      </c>
      <c r="AD94" s="13">
        <f>$I$42*$AD$42</f>
        <v>0</v>
      </c>
      <c r="AE94" s="13">
        <f>$I$42*$AE$42</f>
        <v>0</v>
      </c>
      <c r="AF94" s="13">
        <f ca="1">$I$42*$AF$42</f>
        <v>0</v>
      </c>
      <c r="AG94" s="13">
        <f ca="1">$I$42*$AG$42</f>
        <v>0</v>
      </c>
      <c r="AI94" s="13">
        <f>$I$42*$AI$42</f>
        <v>0</v>
      </c>
      <c r="AJ94" s="13">
        <f>$I$42*$AJ$42</f>
        <v>0</v>
      </c>
      <c r="AK94" s="13">
        <f>$I$42*$AK$42</f>
        <v>0</v>
      </c>
      <c r="AL94" s="13">
        <f>$I$42*$AL$42</f>
        <v>0</v>
      </c>
      <c r="AM94" s="13">
        <f>$I$42*$AM$42</f>
        <v>0</v>
      </c>
      <c r="AN94" s="13">
        <f>$I$42*$AN$42</f>
        <v>0</v>
      </c>
      <c r="AO94" s="13">
        <f>$I$42*$AO$42</f>
        <v>0</v>
      </c>
      <c r="AP94" s="13">
        <f>$I$42*$AP$42</f>
        <v>0</v>
      </c>
      <c r="AQ94" s="13">
        <f>$I$42*$AQ$42</f>
        <v>0</v>
      </c>
      <c r="AR94" s="13">
        <f>$I$42*$AR$42</f>
        <v>0</v>
      </c>
      <c r="AS94" s="13">
        <f>$I$42*$AS$42</f>
        <v>0</v>
      </c>
      <c r="AT94" s="13">
        <f>$I$42*$AT$42</f>
        <v>0</v>
      </c>
      <c r="AU94" s="13">
        <f>$I$42*$AU$42</f>
        <v>0</v>
      </c>
      <c r="AV94" s="13">
        <f>$I$42*$AV$42</f>
        <v>0</v>
      </c>
      <c r="AW94" s="13">
        <f>$I$42*$AW$42</f>
        <v>0</v>
      </c>
      <c r="AX94" s="13">
        <f>$I$42*$AX$42</f>
        <v>0</v>
      </c>
      <c r="AY94" s="13">
        <f>$I$42*$AY$42</f>
        <v>0</v>
      </c>
      <c r="AZ94" s="13">
        <f>$I$42*$AZ$42</f>
        <v>0</v>
      </c>
      <c r="BA94" s="13">
        <f>$I$42*$BA$42</f>
        <v>0</v>
      </c>
      <c r="BB94" s="13">
        <f>$I$42*$BB$42</f>
        <v>0</v>
      </c>
      <c r="BC94" s="13">
        <f>$I$42*$BC$42</f>
        <v>0</v>
      </c>
      <c r="BD94" s="13">
        <f>$I$42*$BD$42</f>
        <v>0</v>
      </c>
    </row>
    <row r="95" spans="1:56" ht="11.25" customHeight="1" x14ac:dyDescent="0.3">
      <c r="A95" s="9" t="s">
        <v>40</v>
      </c>
      <c r="B95" s="9" t="s">
        <v>821</v>
      </c>
      <c r="C95" s="9" t="s">
        <v>822</v>
      </c>
      <c r="D95" s="9" t="s">
        <v>827</v>
      </c>
      <c r="E95" s="9" t="s">
        <v>828</v>
      </c>
      <c r="F95" s="9" t="s">
        <v>829</v>
      </c>
      <c r="G95" s="9" t="s">
        <v>830</v>
      </c>
      <c r="L95" s="13">
        <f>$I$43*$L$43</f>
        <v>0</v>
      </c>
      <c r="M95" s="13">
        <f>$I$43*$M$43</f>
        <v>0</v>
      </c>
      <c r="N95" s="13">
        <f ca="1">$I$43*$N$43</f>
        <v>0</v>
      </c>
      <c r="O95" s="13">
        <f>$I$43*$O$43</f>
        <v>0</v>
      </c>
      <c r="P95" s="13">
        <f>$I$43*$P$43</f>
        <v>0</v>
      </c>
      <c r="Q95" s="13">
        <f>$I$43*$Q$43</f>
        <v>0</v>
      </c>
      <c r="R95" s="13">
        <f>$I$43*$R$43</f>
        <v>0</v>
      </c>
      <c r="S95" s="13">
        <f>$I$43*$S$43</f>
        <v>0</v>
      </c>
      <c r="T95" s="13">
        <f>$I$43*$T$43</f>
        <v>0</v>
      </c>
      <c r="U95" s="13">
        <f>$I$43*$U$43</f>
        <v>0</v>
      </c>
      <c r="V95" s="13">
        <f>$I$43*$V$43</f>
        <v>0</v>
      </c>
      <c r="W95" s="13">
        <f>$I$43*$W$43</f>
        <v>0</v>
      </c>
      <c r="X95" s="13">
        <f>$I$43*$X$43</f>
        <v>0</v>
      </c>
      <c r="Y95" s="13">
        <f>$I$43*$Y$43</f>
        <v>0</v>
      </c>
      <c r="Z95" s="13">
        <f>$I$43*$Z$43</f>
        <v>0</v>
      </c>
      <c r="AA95" s="13">
        <f>$I$43*$AA$43</f>
        <v>0</v>
      </c>
      <c r="AB95" s="13">
        <f ca="1">$I$43*$AB$43</f>
        <v>0</v>
      </c>
      <c r="AC95" s="13">
        <f ca="1">$I$43*$AC$43</f>
        <v>0</v>
      </c>
      <c r="AD95" s="13">
        <f>$I$43*$AD$43</f>
        <v>0</v>
      </c>
      <c r="AE95" s="13">
        <f>$I$43*$AE$43</f>
        <v>0</v>
      </c>
      <c r="AF95" s="13">
        <f ca="1">$I$43*$AF$43</f>
        <v>0</v>
      </c>
      <c r="AG95" s="13">
        <f ca="1">$I$43*$AG$43</f>
        <v>0</v>
      </c>
      <c r="AI95" s="13">
        <f>$I$43*$AI$43</f>
        <v>0</v>
      </c>
      <c r="AJ95" s="13">
        <f>$I$43*$AJ$43</f>
        <v>0</v>
      </c>
      <c r="AK95" s="13">
        <f>$I$43*$AK$43</f>
        <v>0</v>
      </c>
      <c r="AL95" s="13">
        <f>$I$43*$AL$43</f>
        <v>0</v>
      </c>
      <c r="AM95" s="13">
        <f>$I$43*$AM$43</f>
        <v>0</v>
      </c>
      <c r="AN95" s="13">
        <f>$I$43*$AN$43</f>
        <v>0</v>
      </c>
      <c r="AO95" s="13">
        <f>$I$43*$AO$43</f>
        <v>0</v>
      </c>
      <c r="AP95" s="13">
        <f>$I$43*$AP$43</f>
        <v>0</v>
      </c>
      <c r="AQ95" s="13">
        <f>$I$43*$AQ$43</f>
        <v>0</v>
      </c>
      <c r="AR95" s="13">
        <f>$I$43*$AR$43</f>
        <v>0</v>
      </c>
      <c r="AS95" s="13">
        <f>$I$43*$AS$43</f>
        <v>0</v>
      </c>
      <c r="AT95" s="13">
        <f>$I$43*$AT$43</f>
        <v>0</v>
      </c>
      <c r="AU95" s="13">
        <f>$I$43*$AU$43</f>
        <v>0</v>
      </c>
      <c r="AV95" s="13">
        <f>$I$43*$AV$43</f>
        <v>0</v>
      </c>
      <c r="AW95" s="13">
        <f>$I$43*$AW$43</f>
        <v>0</v>
      </c>
      <c r="AX95" s="13">
        <f>$I$43*$AX$43</f>
        <v>0</v>
      </c>
      <c r="AY95" s="13">
        <f>$I$43*$AY$43</f>
        <v>0</v>
      </c>
      <c r="AZ95" s="13">
        <f>$I$43*$AZ$43</f>
        <v>0</v>
      </c>
      <c r="BA95" s="13">
        <f>$I$43*$BA$43</f>
        <v>0</v>
      </c>
      <c r="BB95" s="13">
        <f>$I$43*$BB$43</f>
        <v>0</v>
      </c>
      <c r="BC95" s="13">
        <f>$I$43*$BC$43</f>
        <v>0</v>
      </c>
      <c r="BD95" s="13">
        <f>$I$43*$BD$43</f>
        <v>0</v>
      </c>
    </row>
    <row r="96" spans="1:56" ht="11.25" customHeight="1" x14ac:dyDescent="0.3">
      <c r="A96" s="9" t="s">
        <v>40</v>
      </c>
      <c r="B96" s="9" t="s">
        <v>821</v>
      </c>
      <c r="C96" s="9" t="s">
        <v>822</v>
      </c>
      <c r="D96" s="9" t="s">
        <v>831</v>
      </c>
      <c r="E96" s="9" t="s">
        <v>832</v>
      </c>
      <c r="F96" s="9" t="s">
        <v>833</v>
      </c>
      <c r="G96" s="9" t="s">
        <v>834</v>
      </c>
      <c r="L96" s="13">
        <f>$I$44*$L$44</f>
        <v>0</v>
      </c>
      <c r="M96" s="13">
        <f>$I$44*$M$44</f>
        <v>0</v>
      </c>
      <c r="N96" s="13">
        <f ca="1">$I$44*$N$44</f>
        <v>0</v>
      </c>
      <c r="O96" s="13">
        <f>$I$44*$O$44</f>
        <v>0</v>
      </c>
      <c r="P96" s="13">
        <f>$I$44*$P$44</f>
        <v>0</v>
      </c>
      <c r="Q96" s="13">
        <f>$I$44*$Q$44</f>
        <v>0</v>
      </c>
      <c r="R96" s="13">
        <f>$I$44*$R$44</f>
        <v>0</v>
      </c>
      <c r="S96" s="13">
        <f>$I$44*$S$44</f>
        <v>0</v>
      </c>
      <c r="T96" s="13">
        <f>$I$44*$T$44</f>
        <v>0</v>
      </c>
      <c r="U96" s="13">
        <f>$I$44*$U$44</f>
        <v>0</v>
      </c>
      <c r="V96" s="13">
        <f>$I$44*$V$44</f>
        <v>0</v>
      </c>
      <c r="W96" s="13">
        <f>$I$44*$W$44</f>
        <v>0</v>
      </c>
      <c r="X96" s="13">
        <f>$I$44*$X$44</f>
        <v>0</v>
      </c>
      <c r="Y96" s="13">
        <f>$I$44*$Y$44</f>
        <v>0</v>
      </c>
      <c r="Z96" s="13">
        <f>$I$44*$Z$44</f>
        <v>0</v>
      </c>
      <c r="AA96" s="13">
        <f>$I$44*$AA$44</f>
        <v>0</v>
      </c>
      <c r="AB96" s="13">
        <f ca="1">$I$44*$AB$44</f>
        <v>0</v>
      </c>
      <c r="AC96" s="13">
        <f ca="1">$I$44*$AC$44</f>
        <v>0</v>
      </c>
      <c r="AD96" s="13">
        <f>$I$44*$AD$44</f>
        <v>0</v>
      </c>
      <c r="AE96" s="13">
        <f>$I$44*$AE$44</f>
        <v>0</v>
      </c>
      <c r="AF96" s="13">
        <f ca="1">$I$44*$AF$44</f>
        <v>0</v>
      </c>
      <c r="AG96" s="13">
        <f ca="1">$I$44*$AG$44</f>
        <v>0</v>
      </c>
      <c r="AI96" s="13">
        <f>$I$44*$AI$44</f>
        <v>0</v>
      </c>
      <c r="AJ96" s="13">
        <f>$I$44*$AJ$44</f>
        <v>0</v>
      </c>
      <c r="AK96" s="13">
        <f>$I$44*$AK$44</f>
        <v>0</v>
      </c>
      <c r="AL96" s="13">
        <f>$I$44*$AL$44</f>
        <v>0</v>
      </c>
      <c r="AM96" s="13">
        <f>$I$44*$AM$44</f>
        <v>0</v>
      </c>
      <c r="AN96" s="13">
        <f>$I$44*$AN$44</f>
        <v>0</v>
      </c>
      <c r="AO96" s="13">
        <f>$I$44*$AO$44</f>
        <v>0</v>
      </c>
      <c r="AP96" s="13">
        <f>$I$44*$AP$44</f>
        <v>0</v>
      </c>
      <c r="AQ96" s="13">
        <f>$I$44*$AQ$44</f>
        <v>0</v>
      </c>
      <c r="AR96" s="13">
        <f>$I$44*$AR$44</f>
        <v>0</v>
      </c>
      <c r="AS96" s="13">
        <f>$I$44*$AS$44</f>
        <v>0</v>
      </c>
      <c r="AT96" s="13">
        <f>$I$44*$AT$44</f>
        <v>0</v>
      </c>
      <c r="AU96" s="13">
        <f>$I$44*$AU$44</f>
        <v>0</v>
      </c>
      <c r="AV96" s="13">
        <f>$I$44*$AV$44</f>
        <v>0</v>
      </c>
      <c r="AW96" s="13">
        <f>$I$44*$AW$44</f>
        <v>0</v>
      </c>
      <c r="AX96" s="13">
        <f>$I$44*$AX$44</f>
        <v>0</v>
      </c>
      <c r="AY96" s="13">
        <f>$I$44*$AY$44</f>
        <v>0</v>
      </c>
      <c r="AZ96" s="13">
        <f>$I$44*$AZ$44</f>
        <v>0</v>
      </c>
      <c r="BA96" s="13">
        <f>$I$44*$BA$44</f>
        <v>0</v>
      </c>
      <c r="BB96" s="13">
        <f>$I$44*$BB$44</f>
        <v>0</v>
      </c>
      <c r="BC96" s="13">
        <f>$I$44*$BC$44</f>
        <v>0</v>
      </c>
      <c r="BD96" s="13">
        <f>$I$44*$BD$44</f>
        <v>0</v>
      </c>
    </row>
    <row r="97" spans="1:56" ht="11.25" customHeight="1" x14ac:dyDescent="0.3">
      <c r="A97" s="9" t="s">
        <v>32</v>
      </c>
      <c r="B97" s="9" t="s">
        <v>835</v>
      </c>
      <c r="C97" s="9" t="s">
        <v>836</v>
      </c>
      <c r="D97" s="9" t="s">
        <v>837</v>
      </c>
      <c r="E97" s="9" t="s">
        <v>838</v>
      </c>
      <c r="F97" s="9" t="s">
        <v>839</v>
      </c>
      <c r="G97" s="9" t="s">
        <v>840</v>
      </c>
      <c r="L97" s="13">
        <f>$I$45*$L$45</f>
        <v>0</v>
      </c>
      <c r="M97" s="13">
        <f>$I$45*$M$45</f>
        <v>0</v>
      </c>
      <c r="N97" s="13">
        <f ca="1">$I$45*$N$45</f>
        <v>0</v>
      </c>
      <c r="O97" s="13">
        <f>$I$45*$O$45</f>
        <v>0</v>
      </c>
      <c r="P97" s="13">
        <f>$I$45*$P$45</f>
        <v>0</v>
      </c>
      <c r="Q97" s="13">
        <f>$I$45*$Q$45</f>
        <v>0</v>
      </c>
      <c r="R97" s="13">
        <f>$I$45*$R$45</f>
        <v>0</v>
      </c>
      <c r="S97" s="13">
        <f>$I$45*$S$45</f>
        <v>0</v>
      </c>
      <c r="T97" s="13">
        <f>$I$45*$T$45</f>
        <v>0</v>
      </c>
      <c r="U97" s="13">
        <f>$I$45*$U$45</f>
        <v>0</v>
      </c>
      <c r="V97" s="13">
        <f>$I$45*$V$45</f>
        <v>0</v>
      </c>
      <c r="W97" s="13">
        <f>$I$45*$W$45</f>
        <v>0</v>
      </c>
      <c r="X97" s="13">
        <f>$I$45*$X$45</f>
        <v>0</v>
      </c>
      <c r="Y97" s="13">
        <f>$I$45*$Y$45</f>
        <v>0</v>
      </c>
      <c r="Z97" s="13">
        <f>$I$45*$Z$45</f>
        <v>0</v>
      </c>
      <c r="AA97" s="13">
        <f>$I$45*$AA$45</f>
        <v>0</v>
      </c>
      <c r="AB97" s="13">
        <f ca="1">$I$45*$AB$45</f>
        <v>0</v>
      </c>
      <c r="AC97" s="13">
        <f ca="1">$I$45*$AC$45</f>
        <v>0</v>
      </c>
      <c r="AD97" s="13">
        <f>$I$45*$AD$45</f>
        <v>0</v>
      </c>
      <c r="AE97" s="13">
        <f>$I$45*$AE$45</f>
        <v>0</v>
      </c>
      <c r="AF97" s="13">
        <f ca="1">$I$45*$AF$45</f>
        <v>0</v>
      </c>
      <c r="AG97" s="13">
        <f ca="1">$I$45*$AG$45</f>
        <v>0</v>
      </c>
      <c r="AI97" s="13">
        <f>$I$45*$AI$45</f>
        <v>0</v>
      </c>
      <c r="AJ97" s="13">
        <f>$I$45*$AJ$45</f>
        <v>0</v>
      </c>
      <c r="AK97" s="13">
        <f>$I$45*$AK$45</f>
        <v>0</v>
      </c>
      <c r="AL97" s="13">
        <f>$I$45*$AL$45</f>
        <v>0</v>
      </c>
      <c r="AM97" s="13">
        <f>$I$45*$AM$45</f>
        <v>0</v>
      </c>
      <c r="AN97" s="13">
        <f>$I$45*$AN$45</f>
        <v>0</v>
      </c>
      <c r="AO97" s="13">
        <f>$I$45*$AO$45</f>
        <v>0</v>
      </c>
      <c r="AP97" s="13">
        <f>$I$45*$AP$45</f>
        <v>0</v>
      </c>
      <c r="AQ97" s="13">
        <f>$I$45*$AQ$45</f>
        <v>0</v>
      </c>
      <c r="AR97" s="13">
        <f>$I$45*$AR$45</f>
        <v>0</v>
      </c>
      <c r="AS97" s="13">
        <f>$I$45*$AS$45</f>
        <v>0</v>
      </c>
      <c r="AT97" s="13">
        <f>$I$45*$AT$45</f>
        <v>0</v>
      </c>
      <c r="AU97" s="13">
        <f>$I$45*$AU$45</f>
        <v>0</v>
      </c>
      <c r="AV97" s="13">
        <f>$I$45*$AV$45</f>
        <v>0</v>
      </c>
      <c r="AW97" s="13">
        <f>$I$45*$AW$45</f>
        <v>0</v>
      </c>
      <c r="AX97" s="13">
        <f>$I$45*$AX$45</f>
        <v>0</v>
      </c>
      <c r="AY97" s="13">
        <f>$I$45*$AY$45</f>
        <v>0</v>
      </c>
      <c r="AZ97" s="13">
        <f>$I$45*$AZ$45</f>
        <v>0</v>
      </c>
      <c r="BA97" s="13">
        <f>$I$45*$BA$45</f>
        <v>0</v>
      </c>
      <c r="BB97" s="13">
        <f>$I$45*$BB$45</f>
        <v>0</v>
      </c>
      <c r="BC97" s="13">
        <f>$I$45*$BC$45</f>
        <v>0</v>
      </c>
      <c r="BD97" s="13">
        <f>$I$45*$BD$45</f>
        <v>0</v>
      </c>
    </row>
    <row r="98" spans="1:56" ht="11.25" customHeight="1" x14ac:dyDescent="0.3">
      <c r="A98" s="9" t="s">
        <v>32</v>
      </c>
      <c r="B98" s="9" t="s">
        <v>835</v>
      </c>
      <c r="C98" s="9" t="s">
        <v>836</v>
      </c>
      <c r="D98" s="9" t="s">
        <v>837</v>
      </c>
      <c r="E98" s="9" t="s">
        <v>838</v>
      </c>
      <c r="F98" s="9" t="s">
        <v>839</v>
      </c>
      <c r="G98" s="9" t="s">
        <v>841</v>
      </c>
      <c r="L98" s="13">
        <f>$I$46*$L$46</f>
        <v>0</v>
      </c>
      <c r="M98" s="13">
        <f>$I$46*$M$46</f>
        <v>0</v>
      </c>
      <c r="N98" s="13">
        <f ca="1">$I$46*$N$46</f>
        <v>0</v>
      </c>
      <c r="O98" s="13">
        <f>$I$46*$O$46</f>
        <v>0</v>
      </c>
      <c r="P98" s="13">
        <f>$I$46*$P$46</f>
        <v>0</v>
      </c>
      <c r="Q98" s="13">
        <f>$I$46*$Q$46</f>
        <v>0</v>
      </c>
      <c r="R98" s="13">
        <f>$I$46*$R$46</f>
        <v>0</v>
      </c>
      <c r="S98" s="13">
        <f>$I$46*$S$46</f>
        <v>0</v>
      </c>
      <c r="T98" s="13">
        <f>$I$46*$T$46</f>
        <v>0</v>
      </c>
      <c r="U98" s="13">
        <f>$I$46*$U$46</f>
        <v>0</v>
      </c>
      <c r="V98" s="13">
        <f>$I$46*$V$46</f>
        <v>0</v>
      </c>
      <c r="W98" s="13">
        <f>$I$46*$W$46</f>
        <v>0</v>
      </c>
      <c r="X98" s="13">
        <f>$I$46*$X$46</f>
        <v>0</v>
      </c>
      <c r="Y98" s="13">
        <f>$I$46*$Y$46</f>
        <v>0</v>
      </c>
      <c r="Z98" s="13">
        <f>$I$46*$Z$46</f>
        <v>0</v>
      </c>
      <c r="AA98" s="13">
        <f>$I$46*$AA$46</f>
        <v>0</v>
      </c>
      <c r="AB98" s="13">
        <f ca="1">$I$46*$AB$46</f>
        <v>0</v>
      </c>
      <c r="AC98" s="13">
        <f ca="1">$I$46*$AC$46</f>
        <v>0</v>
      </c>
      <c r="AD98" s="13">
        <f>$I$46*$AD$46</f>
        <v>0</v>
      </c>
      <c r="AE98" s="13">
        <f>$I$46*$AE$46</f>
        <v>0</v>
      </c>
      <c r="AF98" s="13">
        <f ca="1">$I$46*$AF$46</f>
        <v>0</v>
      </c>
      <c r="AG98" s="13">
        <f ca="1">$I$46*$AG$46</f>
        <v>0</v>
      </c>
      <c r="AI98" s="13">
        <f>$I$46*$AI$46</f>
        <v>0</v>
      </c>
      <c r="AJ98" s="13">
        <f>$I$46*$AJ$46</f>
        <v>0</v>
      </c>
      <c r="AK98" s="13">
        <f>$I$46*$AK$46</f>
        <v>0</v>
      </c>
      <c r="AL98" s="13">
        <f>$I$46*$AL$46</f>
        <v>0</v>
      </c>
      <c r="AM98" s="13">
        <f>$I$46*$AM$46</f>
        <v>0</v>
      </c>
      <c r="AN98" s="13">
        <f>$I$46*$AN$46</f>
        <v>0</v>
      </c>
      <c r="AO98" s="13">
        <f>$I$46*$AO$46</f>
        <v>0</v>
      </c>
      <c r="AP98" s="13">
        <f>$I$46*$AP$46</f>
        <v>0</v>
      </c>
      <c r="AQ98" s="13">
        <f>$I$46*$AQ$46</f>
        <v>0</v>
      </c>
      <c r="AR98" s="13">
        <f>$I$46*$AR$46</f>
        <v>0</v>
      </c>
      <c r="AS98" s="13">
        <f>$I$46*$AS$46</f>
        <v>0</v>
      </c>
      <c r="AT98" s="13">
        <f>$I$46*$AT$46</f>
        <v>0</v>
      </c>
      <c r="AU98" s="13">
        <f>$I$46*$AU$46</f>
        <v>0</v>
      </c>
      <c r="AV98" s="13">
        <f>$I$46*$AV$46</f>
        <v>0</v>
      </c>
      <c r="AW98" s="13">
        <f>$I$46*$AW$46</f>
        <v>0</v>
      </c>
      <c r="AX98" s="13">
        <f>$I$46*$AX$46</f>
        <v>0</v>
      </c>
      <c r="AY98" s="13">
        <f>$I$46*$AY$46</f>
        <v>0</v>
      </c>
      <c r="AZ98" s="13">
        <f>$I$46*$AZ$46</f>
        <v>0</v>
      </c>
      <c r="BA98" s="13">
        <f>$I$46*$BA$46</f>
        <v>0</v>
      </c>
      <c r="BB98" s="13">
        <f>$I$46*$BB$46</f>
        <v>0</v>
      </c>
      <c r="BC98" s="13">
        <f>$I$46*$BC$46</f>
        <v>0</v>
      </c>
      <c r="BD98" s="13">
        <f>$I$46*$BD$46</f>
        <v>0</v>
      </c>
    </row>
    <row r="99" spans="1:56" ht="11.25" customHeight="1" x14ac:dyDescent="0.3">
      <c r="A99" s="9" t="s">
        <v>32</v>
      </c>
      <c r="B99" s="9" t="s">
        <v>835</v>
      </c>
      <c r="C99" s="9" t="s">
        <v>836</v>
      </c>
      <c r="D99" s="9" t="s">
        <v>837</v>
      </c>
      <c r="E99" s="9" t="s">
        <v>838</v>
      </c>
      <c r="F99" s="9" t="s">
        <v>839</v>
      </c>
      <c r="G99" s="9" t="s">
        <v>842</v>
      </c>
      <c r="L99" s="13">
        <f>$I$47*$L$47</f>
        <v>0</v>
      </c>
      <c r="M99" s="13">
        <f>$I$47*$M$47</f>
        <v>0</v>
      </c>
      <c r="N99" s="13">
        <f ca="1">$I$47*$N$47</f>
        <v>0</v>
      </c>
      <c r="O99" s="13">
        <f>$I$47*$O$47</f>
        <v>0</v>
      </c>
      <c r="P99" s="13">
        <f>$I$47*$P$47</f>
        <v>0</v>
      </c>
      <c r="Q99" s="13">
        <f>$I$47*$Q$47</f>
        <v>0</v>
      </c>
      <c r="R99" s="13">
        <f>$I$47*$R$47</f>
        <v>0</v>
      </c>
      <c r="S99" s="13">
        <f>$I$47*$S$47</f>
        <v>0</v>
      </c>
      <c r="T99" s="13">
        <f>$I$47*$T$47</f>
        <v>0</v>
      </c>
      <c r="U99" s="13">
        <f>$I$47*$U$47</f>
        <v>0</v>
      </c>
      <c r="V99" s="13">
        <f>$I$47*$V$47</f>
        <v>0</v>
      </c>
      <c r="W99" s="13">
        <f>$I$47*$W$47</f>
        <v>0</v>
      </c>
      <c r="X99" s="13">
        <f>$I$47*$X$47</f>
        <v>0</v>
      </c>
      <c r="Y99" s="13">
        <f>$I$47*$Y$47</f>
        <v>0</v>
      </c>
      <c r="Z99" s="13">
        <f>$I$47*$Z$47</f>
        <v>0</v>
      </c>
      <c r="AA99" s="13">
        <f>$I$47*$AA$47</f>
        <v>0</v>
      </c>
      <c r="AB99" s="13">
        <f ca="1">$I$47*$AB$47</f>
        <v>0</v>
      </c>
      <c r="AC99" s="13">
        <f ca="1">$I$47*$AC$47</f>
        <v>0</v>
      </c>
      <c r="AD99" s="13">
        <f>$I$47*$AD$47</f>
        <v>0</v>
      </c>
      <c r="AE99" s="13">
        <f>$I$47*$AE$47</f>
        <v>0</v>
      </c>
      <c r="AF99" s="13">
        <f ca="1">$I$47*$AF$47</f>
        <v>0</v>
      </c>
      <c r="AG99" s="13">
        <f ca="1">$I$47*$AG$47</f>
        <v>0</v>
      </c>
      <c r="AI99" s="13">
        <f>$I$47*$AI$47</f>
        <v>0</v>
      </c>
      <c r="AJ99" s="13">
        <f>$I$47*$AJ$47</f>
        <v>0</v>
      </c>
      <c r="AK99" s="13">
        <f>$I$47*$AK$47</f>
        <v>0</v>
      </c>
      <c r="AL99" s="13">
        <f>$I$47*$AL$47</f>
        <v>0</v>
      </c>
      <c r="AM99" s="13">
        <f>$I$47*$AM$47</f>
        <v>0</v>
      </c>
      <c r="AN99" s="13">
        <f>$I$47*$AN$47</f>
        <v>0</v>
      </c>
      <c r="AO99" s="13">
        <f>$I$47*$AO$47</f>
        <v>0</v>
      </c>
      <c r="AP99" s="13">
        <f>$I$47*$AP$47</f>
        <v>0</v>
      </c>
      <c r="AQ99" s="13">
        <f>$I$47*$AQ$47</f>
        <v>0</v>
      </c>
      <c r="AR99" s="13">
        <f>$I$47*$AR$47</f>
        <v>0</v>
      </c>
      <c r="AS99" s="13">
        <f>$I$47*$AS$47</f>
        <v>0</v>
      </c>
      <c r="AT99" s="13">
        <f>$I$47*$AT$47</f>
        <v>0</v>
      </c>
      <c r="AU99" s="13">
        <f>$I$47*$AU$47</f>
        <v>0</v>
      </c>
      <c r="AV99" s="13">
        <f>$I$47*$AV$47</f>
        <v>0</v>
      </c>
      <c r="AW99" s="13">
        <f>$I$47*$AW$47</f>
        <v>0</v>
      </c>
      <c r="AX99" s="13">
        <f>$I$47*$AX$47</f>
        <v>0</v>
      </c>
      <c r="AY99" s="13">
        <f>$I$47*$AY$47</f>
        <v>0</v>
      </c>
      <c r="AZ99" s="13">
        <f>$I$47*$AZ$47</f>
        <v>0</v>
      </c>
      <c r="BA99" s="13">
        <f>$I$47*$BA$47</f>
        <v>0</v>
      </c>
      <c r="BB99" s="13">
        <f>$I$47*$BB$47</f>
        <v>0</v>
      </c>
      <c r="BC99" s="13">
        <f>$I$47*$BC$47</f>
        <v>0</v>
      </c>
      <c r="BD99" s="13">
        <f>$I$47*$BD$47</f>
        <v>0</v>
      </c>
    </row>
    <row r="100" spans="1:56" ht="11.25" customHeight="1" x14ac:dyDescent="0.3">
      <c r="A100" s="9" t="s">
        <v>32</v>
      </c>
      <c r="B100" s="9" t="s">
        <v>843</v>
      </c>
      <c r="C100" s="9" t="s">
        <v>844</v>
      </c>
      <c r="D100" s="9" t="s">
        <v>845</v>
      </c>
      <c r="E100" s="9" t="s">
        <v>846</v>
      </c>
      <c r="F100" s="9" t="s">
        <v>847</v>
      </c>
      <c r="G100" s="9" t="s">
        <v>848</v>
      </c>
      <c r="L100" s="13">
        <f>$I$48*$L$48</f>
        <v>0</v>
      </c>
      <c r="M100" s="13">
        <f>$I$48*$M$48</f>
        <v>11238.066927232016</v>
      </c>
      <c r="N100" s="13">
        <f ca="1">$I$48*$N$48</f>
        <v>0</v>
      </c>
      <c r="O100" s="13">
        <f>$I$48*$O$48</f>
        <v>0</v>
      </c>
      <c r="P100" s="13">
        <f>$I$48*$P$48</f>
        <v>0</v>
      </c>
      <c r="Q100" s="13">
        <f>$I$48*$Q$48</f>
        <v>708168.98199057672</v>
      </c>
      <c r="R100" s="13">
        <f>$I$48*$R$48</f>
        <v>111739.03837478964</v>
      </c>
      <c r="S100" s="13">
        <f>$I$48*$S$48</f>
        <v>0</v>
      </c>
      <c r="T100" s="13">
        <f>$I$48*$T$48</f>
        <v>0</v>
      </c>
      <c r="U100" s="13">
        <f>$I$48*$U$48</f>
        <v>0</v>
      </c>
      <c r="V100" s="13">
        <f>$I$48*$V$48</f>
        <v>0</v>
      </c>
      <c r="W100" s="13">
        <f>$I$48*$W$48</f>
        <v>0</v>
      </c>
      <c r="X100" s="13">
        <f>$I$48*$X$48</f>
        <v>518786.11189152749</v>
      </c>
      <c r="Y100" s="13">
        <f>$I$48*$Y$48</f>
        <v>0</v>
      </c>
      <c r="Z100" s="13">
        <f>$I$48*$Z$48</f>
        <v>0</v>
      </c>
      <c r="AA100" s="13">
        <f>$I$48*$AA$48</f>
        <v>1684037.6727405875</v>
      </c>
      <c r="AB100" s="13">
        <f ca="1">$I$48*$AB$48</f>
        <v>0</v>
      </c>
      <c r="AC100" s="13">
        <f ca="1">$I$48*$AC$48</f>
        <v>0</v>
      </c>
      <c r="AD100" s="13">
        <f>$I$48*$AD$48</f>
        <v>258326.40893243198</v>
      </c>
      <c r="AE100" s="13">
        <f>$I$48*$AE$48</f>
        <v>0</v>
      </c>
      <c r="AF100" s="13">
        <f ca="1">$I$48*$AF$48</f>
        <v>34168.555643038882</v>
      </c>
      <c r="AG100" s="13">
        <f ca="1">$I$48*$AG$48</f>
        <v>0</v>
      </c>
      <c r="AI100" s="13">
        <f>$I$48*$AI$48</f>
        <v>0</v>
      </c>
      <c r="AJ100" s="13">
        <f>$I$48*$AJ$48</f>
        <v>8927.6787195148081</v>
      </c>
      <c r="AK100" s="13">
        <f>$I$48*$AK$48</f>
        <v>0</v>
      </c>
      <c r="AL100" s="13">
        <f>$I$48*$AL$48</f>
        <v>0</v>
      </c>
      <c r="AM100" s="13">
        <f>$I$48*$AM$48</f>
        <v>0</v>
      </c>
      <c r="AN100" s="13">
        <f>$I$48*$AN$48</f>
        <v>439490.78063121141</v>
      </c>
      <c r="AO100" s="13">
        <f>$I$48*$AO$48</f>
        <v>68652.157321580584</v>
      </c>
      <c r="AP100" s="13">
        <f>$I$48*$AP$48</f>
        <v>0</v>
      </c>
      <c r="AQ100" s="13">
        <f>$I$48*$AQ$48</f>
        <v>0</v>
      </c>
      <c r="AR100" s="13">
        <f>$I$48*$AR$48</f>
        <v>0</v>
      </c>
      <c r="AS100" s="13">
        <f>$I$48*$AS$48</f>
        <v>0</v>
      </c>
      <c r="AT100" s="13">
        <f>$I$48*$AT$48</f>
        <v>0</v>
      </c>
      <c r="AU100" s="13">
        <f>$I$48*$AU$48</f>
        <v>484720.77866250492</v>
      </c>
      <c r="AV100" s="13">
        <f>$I$48*$AV$48</f>
        <v>0</v>
      </c>
      <c r="AW100" s="13">
        <f>$I$48*$AW$48</f>
        <v>0</v>
      </c>
      <c r="AX100" s="13">
        <f>$I$48*$AX$48</f>
        <v>1450951.7546330339</v>
      </c>
      <c r="AY100" s="13">
        <f>$I$48*$AY$48</f>
        <v>0</v>
      </c>
      <c r="AZ100" s="13">
        <f>$I$48*$AZ$48</f>
        <v>0</v>
      </c>
      <c r="BA100" s="13">
        <f>$I$48*$BA$48</f>
        <v>394552.67493309069</v>
      </c>
      <c r="BB100" s="13">
        <f>$I$48*$BB$48</f>
        <v>0</v>
      </c>
      <c r="BC100" s="13">
        <f>$I$48*$BC$48</f>
        <v>25427.581581271006</v>
      </c>
      <c r="BD100" s="13">
        <f>$I$48*$BD$48</f>
        <v>0</v>
      </c>
    </row>
    <row r="101" spans="1:56" ht="11.25" customHeight="1" x14ac:dyDescent="0.3">
      <c r="A101" s="9" t="s">
        <v>32</v>
      </c>
      <c r="B101" s="9" t="s">
        <v>849</v>
      </c>
      <c r="C101" s="9" t="s">
        <v>850</v>
      </c>
      <c r="D101" s="9" t="s">
        <v>851</v>
      </c>
      <c r="E101" s="9" t="s">
        <v>852</v>
      </c>
      <c r="F101" s="9" t="s">
        <v>853</v>
      </c>
      <c r="G101" s="9" t="s">
        <v>854</v>
      </c>
      <c r="L101" s="13">
        <f>$I$49*$L$49</f>
        <v>0</v>
      </c>
      <c r="M101" s="13">
        <f>$I$49*$M$49</f>
        <v>0</v>
      </c>
      <c r="N101" s="13">
        <f ca="1">$I$49*$N$49</f>
        <v>0</v>
      </c>
      <c r="O101" s="13">
        <f>$I$49*$O$49</f>
        <v>0</v>
      </c>
      <c r="P101" s="13">
        <f>$I$49*$P$49</f>
        <v>0</v>
      </c>
      <c r="Q101" s="13">
        <f>$I$49*$Q$49</f>
        <v>0</v>
      </c>
      <c r="R101" s="13">
        <f>$I$49*$R$49</f>
        <v>0</v>
      </c>
      <c r="S101" s="13">
        <f>$I$49*$S$49</f>
        <v>0</v>
      </c>
      <c r="T101" s="13">
        <f>$I$49*$T$49</f>
        <v>0</v>
      </c>
      <c r="U101" s="13">
        <f>$I$49*$U$49</f>
        <v>0</v>
      </c>
      <c r="V101" s="13">
        <f>$I$49*$V$49</f>
        <v>0</v>
      </c>
      <c r="W101" s="13">
        <f>$I$49*$W$49</f>
        <v>0</v>
      </c>
      <c r="X101" s="13">
        <f>$I$49*$X$49</f>
        <v>0</v>
      </c>
      <c r="Y101" s="13">
        <f>$I$49*$Y$49</f>
        <v>0</v>
      </c>
      <c r="Z101" s="13">
        <f>$I$49*$Z$49</f>
        <v>0</v>
      </c>
      <c r="AA101" s="13">
        <f>$I$49*$AA$49</f>
        <v>0</v>
      </c>
      <c r="AB101" s="13">
        <f ca="1">$I$49*$AB$49</f>
        <v>0</v>
      </c>
      <c r="AC101" s="13">
        <f ca="1">$I$49*$AC$49</f>
        <v>0</v>
      </c>
      <c r="AD101" s="13">
        <f>$I$49*$AD$49</f>
        <v>0</v>
      </c>
      <c r="AE101" s="13">
        <f>$I$49*$AE$49</f>
        <v>0</v>
      </c>
      <c r="AF101" s="13">
        <f ca="1">$I$49*$AF$49</f>
        <v>0</v>
      </c>
      <c r="AG101" s="13">
        <f ca="1">$I$49*$AG$49</f>
        <v>0</v>
      </c>
      <c r="AI101" s="13">
        <f>$I$49*$AI$49</f>
        <v>0</v>
      </c>
      <c r="AJ101" s="13">
        <f>$I$49*$AJ$49</f>
        <v>0</v>
      </c>
      <c r="AK101" s="13">
        <f>$I$49*$AK$49</f>
        <v>0</v>
      </c>
      <c r="AL101" s="13">
        <f>$I$49*$AL$49</f>
        <v>0</v>
      </c>
      <c r="AM101" s="13">
        <f>$I$49*$AM$49</f>
        <v>0</v>
      </c>
      <c r="AN101" s="13">
        <f>$I$49*$AN$49</f>
        <v>0</v>
      </c>
      <c r="AO101" s="13">
        <f>$I$49*$AO$49</f>
        <v>0</v>
      </c>
      <c r="AP101" s="13">
        <f>$I$49*$AP$49</f>
        <v>0</v>
      </c>
      <c r="AQ101" s="13">
        <f>$I$49*$AQ$49</f>
        <v>0</v>
      </c>
      <c r="AR101" s="13">
        <f>$I$49*$AR$49</f>
        <v>0</v>
      </c>
      <c r="AS101" s="13">
        <f>$I$49*$AS$49</f>
        <v>0</v>
      </c>
      <c r="AT101" s="13">
        <f>$I$49*$AT$49</f>
        <v>0</v>
      </c>
      <c r="AU101" s="13">
        <f>$I$49*$AU$49</f>
        <v>0</v>
      </c>
      <c r="AV101" s="13">
        <f>$I$49*$AV$49</f>
        <v>0</v>
      </c>
      <c r="AW101" s="13">
        <f>$I$49*$AW$49</f>
        <v>0</v>
      </c>
      <c r="AX101" s="13">
        <f>$I$49*$AX$49</f>
        <v>0</v>
      </c>
      <c r="AY101" s="13">
        <f>$I$49*$AY$49</f>
        <v>0</v>
      </c>
      <c r="AZ101" s="13">
        <f>$I$49*$AZ$49</f>
        <v>0</v>
      </c>
      <c r="BA101" s="13">
        <f>$I$49*$BA$49</f>
        <v>0</v>
      </c>
      <c r="BB101" s="13">
        <f>$I$49*$BB$49</f>
        <v>0</v>
      </c>
      <c r="BC101" s="13">
        <f>$I$49*$BC$49</f>
        <v>0</v>
      </c>
      <c r="BD101" s="13">
        <f>$I$49*$BD$49</f>
        <v>0</v>
      </c>
    </row>
    <row r="102" spans="1:56" ht="11.25" customHeight="1" x14ac:dyDescent="0.3">
      <c r="A102" s="9" t="s">
        <v>43</v>
      </c>
      <c r="B102" s="9" t="s">
        <v>855</v>
      </c>
      <c r="C102" s="9" t="s">
        <v>856</v>
      </c>
      <c r="D102" s="9" t="s">
        <v>857</v>
      </c>
      <c r="E102" s="9" t="s">
        <v>858</v>
      </c>
      <c r="F102" s="9" t="s">
        <v>859</v>
      </c>
      <c r="G102" s="9" t="s">
        <v>860</v>
      </c>
      <c r="L102" s="13">
        <f>$I$50*$L$50</f>
        <v>0</v>
      </c>
      <c r="M102" s="13">
        <f>$I$50*$M$50</f>
        <v>0</v>
      </c>
      <c r="N102" s="13">
        <f ca="1">$I$50*$N$50</f>
        <v>0</v>
      </c>
      <c r="O102" s="13">
        <f>$I$50*$O$50</f>
        <v>0</v>
      </c>
      <c r="P102" s="13">
        <f>$I$50*$P$50</f>
        <v>0</v>
      </c>
      <c r="Q102" s="13">
        <f>$I$50*$Q$50</f>
        <v>0</v>
      </c>
      <c r="R102" s="13">
        <f>$I$50*$R$50</f>
        <v>0</v>
      </c>
      <c r="S102" s="13">
        <f>$I$50*$S$50</f>
        <v>0</v>
      </c>
      <c r="T102" s="13">
        <f>$I$50*$T$50</f>
        <v>0</v>
      </c>
      <c r="U102" s="13">
        <f>$I$50*$U$50</f>
        <v>0</v>
      </c>
      <c r="V102" s="13">
        <f>$I$50*$V$50</f>
        <v>0</v>
      </c>
      <c r="W102" s="13">
        <f>$I$50*$W$50</f>
        <v>0</v>
      </c>
      <c r="X102" s="13">
        <f>$I$50*$X$50</f>
        <v>0</v>
      </c>
      <c r="Y102" s="13">
        <f>$I$50*$Y$50</f>
        <v>0</v>
      </c>
      <c r="Z102" s="13">
        <f>$I$50*$Z$50</f>
        <v>0</v>
      </c>
      <c r="AA102" s="13">
        <f>$I$50*$AA$50</f>
        <v>0</v>
      </c>
      <c r="AB102" s="13">
        <f ca="1">$I$50*$AB$50</f>
        <v>0</v>
      </c>
      <c r="AC102" s="13">
        <f ca="1">$I$50*$AC$50</f>
        <v>0</v>
      </c>
      <c r="AD102" s="13">
        <f>$I$50*$AD$50</f>
        <v>0</v>
      </c>
      <c r="AE102" s="13">
        <f>$I$50*$AE$50</f>
        <v>0</v>
      </c>
      <c r="AF102" s="13">
        <f ca="1">$I$50*$AF$50</f>
        <v>0</v>
      </c>
      <c r="AG102" s="13">
        <f ca="1">$I$50*$AG$50</f>
        <v>0</v>
      </c>
      <c r="AI102" s="13">
        <f>$I$50*$AI$50</f>
        <v>0</v>
      </c>
      <c r="AJ102" s="13">
        <f>$I$50*$AJ$50</f>
        <v>0</v>
      </c>
      <c r="AK102" s="13">
        <f>$I$50*$AK$50</f>
        <v>0</v>
      </c>
      <c r="AL102" s="13">
        <f>$I$50*$AL$50</f>
        <v>0</v>
      </c>
      <c r="AM102" s="13">
        <f>$I$50*$AM$50</f>
        <v>0</v>
      </c>
      <c r="AN102" s="13">
        <f>$I$50*$AN$50</f>
        <v>0</v>
      </c>
      <c r="AO102" s="13">
        <f>$I$50*$AO$50</f>
        <v>0</v>
      </c>
      <c r="AP102" s="13">
        <f>$I$50*$AP$50</f>
        <v>0</v>
      </c>
      <c r="AQ102" s="13">
        <f>$I$50*$AQ$50</f>
        <v>0</v>
      </c>
      <c r="AR102" s="13">
        <f>$I$50*$AR$50</f>
        <v>0</v>
      </c>
      <c r="AS102" s="13">
        <f>$I$50*$AS$50</f>
        <v>0</v>
      </c>
      <c r="AT102" s="13">
        <f>$I$50*$AT$50</f>
        <v>0</v>
      </c>
      <c r="AU102" s="13">
        <f>$I$50*$AU$50</f>
        <v>0</v>
      </c>
      <c r="AV102" s="13">
        <f>$I$50*$AV$50</f>
        <v>0</v>
      </c>
      <c r="AW102" s="13">
        <f>$I$50*$AW$50</f>
        <v>0</v>
      </c>
      <c r="AX102" s="13">
        <f>$I$50*$AX$50</f>
        <v>0</v>
      </c>
      <c r="AY102" s="13">
        <f>$I$50*$AY$50</f>
        <v>0</v>
      </c>
      <c r="AZ102" s="13">
        <f>$I$50*$AZ$50</f>
        <v>0</v>
      </c>
      <c r="BA102" s="13">
        <f>$I$50*$BA$50</f>
        <v>0</v>
      </c>
      <c r="BB102" s="13">
        <f>$I$50*$BB$50</f>
        <v>0</v>
      </c>
      <c r="BC102" s="13">
        <f>$I$50*$BC$50</f>
        <v>0</v>
      </c>
      <c r="BD102" s="13">
        <f>$I$50*$BD$50</f>
        <v>0</v>
      </c>
    </row>
    <row r="103" spans="1:56" ht="11.25" customHeight="1" x14ac:dyDescent="0.3">
      <c r="A103" s="9" t="s">
        <v>43</v>
      </c>
      <c r="B103" s="9" t="s">
        <v>855</v>
      </c>
      <c r="C103" s="9" t="s">
        <v>856</v>
      </c>
      <c r="D103" s="9" t="s">
        <v>861</v>
      </c>
      <c r="E103" s="9" t="s">
        <v>862</v>
      </c>
      <c r="F103" s="9" t="s">
        <v>863</v>
      </c>
      <c r="G103" s="9" t="s">
        <v>864</v>
      </c>
      <c r="L103" s="13">
        <f>$I$51*$L$51</f>
        <v>0</v>
      </c>
      <c r="M103" s="13">
        <f>$I$51*$M$51</f>
        <v>1545.7929746287566</v>
      </c>
      <c r="N103" s="13">
        <f ca="1">$I$51*$N$51</f>
        <v>0</v>
      </c>
      <c r="O103" s="13">
        <f>$I$51*$O$51</f>
        <v>0</v>
      </c>
      <c r="P103" s="13">
        <f>$I$51*$P$51</f>
        <v>0</v>
      </c>
      <c r="Q103" s="13">
        <f>$I$51*$Q$51</f>
        <v>97408.446158867737</v>
      </c>
      <c r="R103" s="13">
        <f>$I$51*$R$51</f>
        <v>15369.673595106971</v>
      </c>
      <c r="S103" s="13">
        <f>$I$51*$S$51</f>
        <v>0</v>
      </c>
      <c r="T103" s="13">
        <f>$I$51*$T$51</f>
        <v>0</v>
      </c>
      <c r="U103" s="13">
        <f>$I$51*$U$51</f>
        <v>0</v>
      </c>
      <c r="V103" s="13">
        <f>$I$51*$V$51</f>
        <v>0</v>
      </c>
      <c r="W103" s="13">
        <f>$I$51*$W$51</f>
        <v>0</v>
      </c>
      <c r="X103" s="13">
        <f>$I$51*$X$51</f>
        <v>71358.885143640218</v>
      </c>
      <c r="Y103" s="13">
        <f>$I$51*$Y$51</f>
        <v>0</v>
      </c>
      <c r="Z103" s="13">
        <f>$I$51*$Z$51</f>
        <v>0</v>
      </c>
      <c r="AA103" s="13">
        <f>$I$51*$AA$51</f>
        <v>231638.91266963058</v>
      </c>
      <c r="AB103" s="13">
        <f ca="1">$I$51*$AB$51</f>
        <v>0</v>
      </c>
      <c r="AC103" s="13">
        <f ca="1">$I$51*$AC$51</f>
        <v>0</v>
      </c>
      <c r="AD103" s="13">
        <f>$I$51*$AD$51</f>
        <v>35532.725572331379</v>
      </c>
      <c r="AE103" s="13">
        <f>$I$51*$AE$51</f>
        <v>0</v>
      </c>
      <c r="AF103" s="13">
        <f ca="1">$I$51*$AF$51</f>
        <v>4699.875308469127</v>
      </c>
      <c r="AG103" s="13">
        <f ca="1">$I$51*$AG$51</f>
        <v>0</v>
      </c>
      <c r="AI103" s="13">
        <f>$I$51*$AI$51</f>
        <v>0</v>
      </c>
      <c r="AJ103" s="13">
        <f>$I$51*$AJ$51</f>
        <v>1227.9997203903204</v>
      </c>
      <c r="AK103" s="13">
        <f>$I$51*$AK$51</f>
        <v>0</v>
      </c>
      <c r="AL103" s="13">
        <f>$I$51*$AL$51</f>
        <v>0</v>
      </c>
      <c r="AM103" s="13">
        <f>$I$51*$AM$51</f>
        <v>0</v>
      </c>
      <c r="AN103" s="13">
        <f>$I$51*$AN$51</f>
        <v>60451.834422484928</v>
      </c>
      <c r="AO103" s="13">
        <f>$I$51*$AO$51</f>
        <v>9443.0851113418066</v>
      </c>
      <c r="AP103" s="13">
        <f>$I$51*$AP$51</f>
        <v>0</v>
      </c>
      <c r="AQ103" s="13">
        <f>$I$51*$AQ$51</f>
        <v>0</v>
      </c>
      <c r="AR103" s="13">
        <f>$I$51*$AR$51</f>
        <v>0</v>
      </c>
      <c r="AS103" s="13">
        <f>$I$51*$AS$51</f>
        <v>0</v>
      </c>
      <c r="AT103" s="13">
        <f>$I$51*$AT$51</f>
        <v>0</v>
      </c>
      <c r="AU103" s="13">
        <f>$I$51*$AU$51</f>
        <v>66673.208049458539</v>
      </c>
      <c r="AV103" s="13">
        <f>$I$51*$AV$51</f>
        <v>0</v>
      </c>
      <c r="AW103" s="13">
        <f>$I$51*$AW$51</f>
        <v>0</v>
      </c>
      <c r="AX103" s="13">
        <f>$I$51*$AX$51</f>
        <v>199578.00957761795</v>
      </c>
      <c r="AY103" s="13">
        <f>$I$51*$AY$51</f>
        <v>0</v>
      </c>
      <c r="AZ103" s="13">
        <f>$I$51*$AZ$51</f>
        <v>0</v>
      </c>
      <c r="BA103" s="13">
        <f>$I$51*$BA$51</f>
        <v>54270.610504610704</v>
      </c>
      <c r="BB103" s="13">
        <f>$I$51*$BB$51</f>
        <v>0</v>
      </c>
      <c r="BC103" s="13">
        <f>$I$51*$BC$51</f>
        <v>3497.5567617312095</v>
      </c>
      <c r="BD103" s="13">
        <f>$I$51*$BD$51</f>
        <v>0</v>
      </c>
    </row>
  </sheetData>
  <mergeCells count="88">
    <mergeCell ref="A1:A4"/>
    <mergeCell ref="B1:B4"/>
    <mergeCell ref="C1:C4"/>
    <mergeCell ref="D1:D4"/>
    <mergeCell ref="E1:E4"/>
    <mergeCell ref="J1:J4"/>
    <mergeCell ref="L1:AG1"/>
    <mergeCell ref="L2:AG2"/>
    <mergeCell ref="L3:S3"/>
    <mergeCell ref="T3:Z3"/>
    <mergeCell ref="F5:F7"/>
    <mergeCell ref="B10:B14"/>
    <mergeCell ref="G1:G4"/>
    <mergeCell ref="H1:H4"/>
    <mergeCell ref="I1:I4"/>
    <mergeCell ref="F1:F4"/>
    <mergeCell ref="F10:F12"/>
    <mergeCell ref="F13:F14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AI1:BD1"/>
    <mergeCell ref="AI2:BD2"/>
    <mergeCell ref="AI3:AP3"/>
    <mergeCell ref="AQ3:AW3"/>
    <mergeCell ref="AY3:AZ3"/>
    <mergeCell ref="E45:E47"/>
    <mergeCell ref="F45:F47"/>
    <mergeCell ref="A50:A51"/>
    <mergeCell ref="B50:B51"/>
    <mergeCell ref="C50:C51"/>
    <mergeCell ref="D45:D47"/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1802-D42C-40C9-80FA-26D377E7A1AB}">
  <dimension ref="A1:AH85"/>
  <sheetViews>
    <sheetView showGridLines="0" topLeftCell="L27" workbookViewId="0">
      <selection activeCell="V43" sqref="V43"/>
    </sheetView>
  </sheetViews>
  <sheetFormatPr defaultRowHeight="11.25" customHeight="1" x14ac:dyDescent="0.3"/>
  <cols>
    <col min="1" max="1" width="9" style="9" bestFit="1" customWidth="1"/>
    <col min="2" max="2" width="26.5546875" style="9" bestFit="1" customWidth="1"/>
    <col min="3" max="3" width="35.5546875" style="9" bestFit="1" customWidth="1"/>
    <col min="4" max="4" width="56.77734375" style="9" bestFit="1" customWidth="1"/>
    <col min="5" max="5" width="65.77734375" style="9" bestFit="1" customWidth="1"/>
    <col min="6" max="6" width="74.88671875" style="9" bestFit="1" customWidth="1"/>
    <col min="7" max="7" width="75.88671875" style="9" bestFit="1" customWidth="1"/>
    <col min="8" max="9" width="7.109375" style="9" bestFit="1" customWidth="1"/>
    <col min="10" max="10" width="8.88671875" style="9"/>
    <col min="11" max="11" width="19.88671875" style="9" bestFit="1" customWidth="1"/>
    <col min="12" max="12" width="3.77734375" style="9" bestFit="1" customWidth="1"/>
    <col min="13" max="13" width="7.88671875" style="9" bestFit="1" customWidth="1"/>
    <col min="14" max="14" width="5.6640625" style="9" bestFit="1" customWidth="1"/>
    <col min="15" max="15" width="10.33203125" style="9" bestFit="1" customWidth="1"/>
    <col min="16" max="16" width="7.6640625" style="9" bestFit="1" customWidth="1"/>
    <col min="17" max="17" width="14.44140625" style="9" bestFit="1" customWidth="1"/>
    <col min="18" max="18" width="5.5546875" style="9" bestFit="1" customWidth="1"/>
    <col min="19" max="19" width="9.77734375" style="9" bestFit="1" customWidth="1"/>
    <col min="20" max="20" width="6.44140625" style="9" bestFit="1" customWidth="1"/>
    <col min="21" max="21" width="10.33203125" style="9" bestFit="1" customWidth="1"/>
    <col min="22" max="22" width="10.5546875" style="9" bestFit="1" customWidth="1"/>
    <col min="23" max="23" width="8.88671875" style="9"/>
    <col min="24" max="24" width="3.77734375" style="9" bestFit="1" customWidth="1"/>
    <col min="25" max="25" width="7.88671875" style="9" bestFit="1" customWidth="1"/>
    <col min="26" max="26" width="5.6640625" style="9" bestFit="1" customWidth="1"/>
    <col min="27" max="27" width="10.33203125" style="9" bestFit="1" customWidth="1"/>
    <col min="28" max="28" width="7.6640625" style="9" bestFit="1" customWidth="1"/>
    <col min="29" max="29" width="14.44140625" style="9" bestFit="1" customWidth="1"/>
    <col min="30" max="30" width="5.5546875" style="9" bestFit="1" customWidth="1"/>
    <col min="31" max="31" width="9.77734375" style="9" bestFit="1" customWidth="1"/>
    <col min="32" max="32" width="6.44140625" style="9" bestFit="1" customWidth="1"/>
    <col min="33" max="33" width="10.33203125" style="9" bestFit="1" customWidth="1"/>
    <col min="34" max="34" width="10.5546875" style="9" bestFit="1" customWidth="1"/>
    <col min="35" max="16384" width="8.88671875" style="9"/>
  </cols>
  <sheetData>
    <row r="1" spans="1:34" ht="11.25" customHeight="1" x14ac:dyDescent="0.3">
      <c r="A1" s="100" t="s">
        <v>69</v>
      </c>
      <c r="B1" s="100" t="s">
        <v>70</v>
      </c>
      <c r="C1" s="100" t="s">
        <v>71</v>
      </c>
      <c r="D1" s="100" t="s">
        <v>72</v>
      </c>
      <c r="E1" s="100" t="s">
        <v>73</v>
      </c>
      <c r="F1" s="100" t="s">
        <v>15</v>
      </c>
      <c r="G1" s="100" t="s">
        <v>75</v>
      </c>
      <c r="H1" s="100" t="s">
        <v>76</v>
      </c>
      <c r="I1" s="100" t="s">
        <v>494</v>
      </c>
      <c r="J1" s="84"/>
      <c r="L1" s="101" t="s">
        <v>865</v>
      </c>
      <c r="M1" s="101"/>
      <c r="N1" s="101"/>
      <c r="O1" s="101"/>
      <c r="P1" s="101"/>
      <c r="Q1" s="101"/>
      <c r="R1" s="101"/>
      <c r="S1" s="101"/>
      <c r="T1" s="101"/>
      <c r="U1" s="101"/>
      <c r="V1" s="101"/>
      <c r="X1" s="101" t="s">
        <v>866</v>
      </c>
      <c r="Y1" s="101"/>
      <c r="Z1" s="101"/>
      <c r="AA1" s="101"/>
      <c r="AB1" s="101"/>
      <c r="AC1" s="101"/>
      <c r="AD1" s="101"/>
      <c r="AE1" s="101"/>
      <c r="AF1" s="101"/>
      <c r="AG1" s="101"/>
      <c r="AH1" s="101"/>
    </row>
    <row r="2" spans="1:34" ht="11.25" customHeight="1" x14ac:dyDescent="0.3">
      <c r="A2" s="100"/>
      <c r="B2" s="100"/>
      <c r="C2" s="100"/>
      <c r="D2" s="100"/>
      <c r="E2" s="100"/>
      <c r="F2" s="100"/>
      <c r="G2" s="100"/>
      <c r="H2" s="100"/>
      <c r="I2" s="100"/>
      <c r="J2" s="84"/>
      <c r="L2" s="101" t="s">
        <v>421</v>
      </c>
      <c r="M2" s="101"/>
      <c r="N2" s="101"/>
      <c r="O2" s="101"/>
      <c r="P2" s="101"/>
      <c r="Q2" s="101"/>
      <c r="R2" s="101"/>
      <c r="S2" s="101"/>
      <c r="T2" s="101"/>
      <c r="U2" s="101"/>
      <c r="V2" s="101"/>
      <c r="X2" s="101" t="s">
        <v>421</v>
      </c>
      <c r="Y2" s="101"/>
      <c r="Z2" s="101"/>
      <c r="AA2" s="101"/>
      <c r="AB2" s="101"/>
      <c r="AC2" s="101"/>
      <c r="AD2" s="101"/>
      <c r="AE2" s="101"/>
      <c r="AF2" s="101"/>
      <c r="AG2" s="101"/>
      <c r="AH2" s="101"/>
    </row>
    <row r="3" spans="1:34" ht="11.2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84"/>
      <c r="L3" s="101" t="s">
        <v>394</v>
      </c>
      <c r="M3" s="101"/>
      <c r="N3" s="101"/>
      <c r="O3" s="101"/>
      <c r="P3" s="101"/>
      <c r="Q3" s="24" t="s">
        <v>425</v>
      </c>
      <c r="R3" s="101" t="s">
        <v>403</v>
      </c>
      <c r="S3" s="101"/>
      <c r="T3" s="101"/>
      <c r="U3" s="24" t="s">
        <v>413</v>
      </c>
      <c r="V3" s="24" t="s">
        <v>416</v>
      </c>
      <c r="X3" s="101" t="s">
        <v>394</v>
      </c>
      <c r="Y3" s="101"/>
      <c r="Z3" s="101"/>
      <c r="AA3" s="101"/>
      <c r="AB3" s="101"/>
      <c r="AC3" s="24" t="s">
        <v>425</v>
      </c>
      <c r="AD3" s="101" t="s">
        <v>403</v>
      </c>
      <c r="AE3" s="101"/>
      <c r="AF3" s="101"/>
      <c r="AG3" s="24" t="s">
        <v>413</v>
      </c>
      <c r="AH3" s="24" t="s">
        <v>416</v>
      </c>
    </row>
    <row r="4" spans="1:34" ht="11.25" customHeight="1" x14ac:dyDescent="0.3">
      <c r="A4" s="100"/>
      <c r="B4" s="100"/>
      <c r="C4" s="100"/>
      <c r="D4" s="100"/>
      <c r="E4" s="100"/>
      <c r="F4" s="100"/>
      <c r="G4" s="100"/>
      <c r="H4" s="100"/>
      <c r="I4" s="100"/>
      <c r="J4" s="84"/>
      <c r="L4" s="24" t="s">
        <v>396</v>
      </c>
      <c r="M4" s="24" t="s">
        <v>422</v>
      </c>
      <c r="N4" s="24" t="s">
        <v>423</v>
      </c>
      <c r="O4" s="24" t="s">
        <v>482</v>
      </c>
      <c r="P4" s="24" t="s">
        <v>424</v>
      </c>
      <c r="Q4" s="24" t="s">
        <v>426</v>
      </c>
      <c r="R4" s="24" t="s">
        <v>427</v>
      </c>
      <c r="S4" s="24" t="s">
        <v>428</v>
      </c>
      <c r="T4" s="24" t="s">
        <v>429</v>
      </c>
      <c r="U4" s="24" t="s">
        <v>414</v>
      </c>
      <c r="V4" s="24" t="s">
        <v>430</v>
      </c>
      <c r="X4" s="24" t="s">
        <v>396</v>
      </c>
      <c r="Y4" s="24" t="s">
        <v>422</v>
      </c>
      <c r="Z4" s="24" t="s">
        <v>423</v>
      </c>
      <c r="AA4" s="24" t="s">
        <v>482</v>
      </c>
      <c r="AB4" s="24" t="s">
        <v>424</v>
      </c>
      <c r="AC4" s="24" t="s">
        <v>426</v>
      </c>
      <c r="AD4" s="24" t="s">
        <v>427</v>
      </c>
      <c r="AE4" s="24" t="s">
        <v>428</v>
      </c>
      <c r="AF4" s="24" t="s">
        <v>429</v>
      </c>
      <c r="AG4" s="24" t="s">
        <v>414</v>
      </c>
      <c r="AH4" s="24" t="s">
        <v>430</v>
      </c>
    </row>
    <row r="5" spans="1:34" ht="11.25" customHeight="1" x14ac:dyDescent="0.3">
      <c r="A5" s="99" t="s">
        <v>34</v>
      </c>
      <c r="B5" s="99" t="s">
        <v>78</v>
      </c>
      <c r="C5" s="99" t="s">
        <v>25</v>
      </c>
      <c r="D5" s="99" t="s">
        <v>25</v>
      </c>
      <c r="E5" s="99" t="s">
        <v>25</v>
      </c>
      <c r="F5" s="99" t="s">
        <v>25</v>
      </c>
      <c r="G5" s="23" t="s">
        <v>80</v>
      </c>
      <c r="H5" s="23" t="s">
        <v>79</v>
      </c>
      <c r="I5" s="23">
        <f>'MERCADO TE'!$U$2</f>
        <v>311.15300000000002</v>
      </c>
      <c r="J5" s="15"/>
      <c r="L5" s="20">
        <f>('TE BE'!$L$5+'TE BF'!$L$5+'TE CVA'!$L$5)*1</f>
        <v>0</v>
      </c>
      <c r="M5" s="20">
        <f>('TE BE'!$M$5+'TE BF'!$M$5+'TE CVA'!$M$5)*1</f>
        <v>16.110850163961594</v>
      </c>
      <c r="N5" s="20">
        <f>('TE BE'!$N$5+'TE BF'!$N$5+'TE CVA'!$N$5)*1</f>
        <v>0</v>
      </c>
      <c r="O5" s="20">
        <f>('TE BE'!$O$5+'TE BF'!$O$5+'TE CVA'!$O$5)*1</f>
        <v>0</v>
      </c>
      <c r="P5" s="20">
        <f>('TE BE'!$P$5+'TE BF'!$P$5+'TE CVA'!$P$5)*1</f>
        <v>0</v>
      </c>
      <c r="Q5" s="20">
        <f>('TE BE'!$R$5+'TE BF'!$R$5+'TE CVA'!$R$5)*1</f>
        <v>197.66244174671704</v>
      </c>
      <c r="R5" s="20">
        <f>('TE BE'!$T$5+'TE BF'!$T$5+'TE CVA'!$T$5)*1</f>
        <v>0</v>
      </c>
      <c r="S5" s="20">
        <f>('TE BE'!$U$5+'TE BF'!$U$5+'TE CVA'!$U$5)*1</f>
        <v>0</v>
      </c>
      <c r="T5" s="20">
        <f>('TE BE'!$V$5+'TE BF'!$V$5+'TE CVA'!$V$5)*1</f>
        <v>0</v>
      </c>
      <c r="U5" s="20">
        <f>('TE BE'!$X$5+'TE BF'!$X$5+'TE CVA'!$X$5)*1</f>
        <v>0</v>
      </c>
      <c r="V5" s="20">
        <f>('TE BE'!$Z$5+'TE BF'!$Z$5+'TE CVA'!$Z$5)*1</f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291.85333056123898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</row>
    <row r="6" spans="1:34" ht="11.25" customHeight="1" x14ac:dyDescent="0.3">
      <c r="A6" s="99"/>
      <c r="B6" s="99"/>
      <c r="C6" s="99"/>
      <c r="D6" s="99"/>
      <c r="E6" s="99"/>
      <c r="F6" s="99"/>
      <c r="G6" s="23" t="s">
        <v>81</v>
      </c>
      <c r="H6" s="23" t="s">
        <v>79</v>
      </c>
      <c r="I6" s="23">
        <f>'MERCADO TE'!$U$3</f>
        <v>7439.3039999999992</v>
      </c>
      <c r="J6" s="15"/>
      <c r="L6" s="20">
        <f>('TE BE'!$L$6+'TE BF'!$L$6+'TE CVA'!$L$6)*1</f>
        <v>0</v>
      </c>
      <c r="M6" s="20">
        <f>('TE BE'!$M$6+'TE BF'!$M$6+'TE CVA'!$M$6)*1</f>
        <v>16.110850163961594</v>
      </c>
      <c r="N6" s="20">
        <f>('TE BE'!$N$6+'TE BF'!$N$6+'TE CVA'!$N$6)*1</f>
        <v>0</v>
      </c>
      <c r="O6" s="20">
        <f>('TE BE'!$O$6+'TE BF'!$O$6+'TE CVA'!$O$6)*1</f>
        <v>0</v>
      </c>
      <c r="P6" s="20">
        <f>('TE BE'!$P$6+'TE BF'!$P$6+'TE CVA'!$P$6)*1</f>
        <v>0</v>
      </c>
      <c r="Q6" s="20">
        <f>('TE BE'!$R$6+'TE BF'!$R$6+'TE CVA'!$R$6)*1</f>
        <v>197.66244174671704</v>
      </c>
      <c r="R6" s="20">
        <f>('TE BE'!$T$6+'TE BF'!$T$6+'TE CVA'!$T$6)*1</f>
        <v>0</v>
      </c>
      <c r="S6" s="20">
        <f>('TE BE'!$U$6+'TE BF'!$U$6+'TE CVA'!$U$6)*1</f>
        <v>0</v>
      </c>
      <c r="T6" s="20">
        <f>('TE BE'!$V$6+'TE BF'!$V$6+'TE CVA'!$V$6)*1</f>
        <v>0</v>
      </c>
      <c r="U6" s="20">
        <f>('TE BE'!$X$6+'TE BF'!$X$6+'TE CVA'!$X$6)*1</f>
        <v>0</v>
      </c>
      <c r="V6" s="20">
        <f>('TE BE'!$Z$6+'TE BF'!$Z$6+'TE CVA'!$Z$6)*1</f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291.85333056123898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</row>
    <row r="7" spans="1:34" ht="11.25" customHeight="1" x14ac:dyDescent="0.3">
      <c r="A7" s="99"/>
      <c r="B7" s="22" t="s">
        <v>82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83</v>
      </c>
      <c r="H7" s="23" t="s">
        <v>79</v>
      </c>
      <c r="I7" s="23">
        <f>'MERCADO TE'!$U$4</f>
        <v>0</v>
      </c>
      <c r="J7" s="15"/>
      <c r="L7" s="20">
        <f>('TE BE'!$L$7+'TE BF'!$L$7+'TE CVA'!$L$7)*1</f>
        <v>0</v>
      </c>
      <c r="M7" s="20">
        <f>('TE BE'!$M$7+'TE BF'!$M$7+'TE CVA'!$M$7)*1</f>
        <v>16.110850163961594</v>
      </c>
      <c r="N7" s="20">
        <f>('TE BE'!$N$7+'TE BF'!$N$7+'TE CVA'!$N$7)*1</f>
        <v>0</v>
      </c>
      <c r="O7" s="20">
        <f>('TE BE'!$O$7+'TE BF'!$O$7+'TE CVA'!$O$7)*1</f>
        <v>0</v>
      </c>
      <c r="P7" s="20">
        <f>('TE BE'!$P$7+'TE BF'!$P$7+'TE CVA'!$P$7)*1</f>
        <v>0</v>
      </c>
      <c r="Q7" s="20">
        <f>('TE BE'!$R$7+'TE BF'!$R$7+'TE CVA'!$R$7)*1</f>
        <v>197.66244174671704</v>
      </c>
      <c r="R7" s="20">
        <f>('TE BE'!$T$7+'TE BF'!$T$7+'TE CVA'!$T$7)*1</f>
        <v>0</v>
      </c>
      <c r="S7" s="20">
        <f>('TE BE'!$U$7+'TE BF'!$U$7+'TE CVA'!$U$7)*1</f>
        <v>0</v>
      </c>
      <c r="T7" s="20">
        <f>('TE BE'!$V$7+'TE BF'!$V$7+'TE CVA'!$V$7)*1</f>
        <v>0</v>
      </c>
      <c r="U7" s="20">
        <f>('TE BE'!$X$7+'TE BF'!$X$7+'TE CVA'!$X$7)*1</f>
        <v>0</v>
      </c>
      <c r="V7" s="20">
        <f>('TE BE'!$Z$7+'TE BF'!$Z$7+'TE CVA'!$Z$7)*1</f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</row>
    <row r="8" spans="1:34" ht="11.25" customHeight="1" x14ac:dyDescent="0.3">
      <c r="A8" s="99" t="s">
        <v>22</v>
      </c>
      <c r="B8" s="99" t="s">
        <v>78</v>
      </c>
      <c r="C8" s="99" t="s">
        <v>24</v>
      </c>
      <c r="D8" s="99" t="s">
        <v>24</v>
      </c>
      <c r="E8" s="99" t="s">
        <v>25</v>
      </c>
      <c r="F8" s="99" t="s">
        <v>25</v>
      </c>
      <c r="G8" s="23" t="s">
        <v>80</v>
      </c>
      <c r="H8" s="23" t="s">
        <v>79</v>
      </c>
      <c r="I8" s="23">
        <f>'MERCADO TE'!$U$5</f>
        <v>0</v>
      </c>
      <c r="J8" s="15"/>
      <c r="L8" s="20">
        <f>('TE BE'!$L$8+'TE BF'!$L$8+'TE CVA'!$L$8)*1</f>
        <v>0</v>
      </c>
      <c r="M8" s="20">
        <f>('TE BE'!$M$8+'TE BF'!$M$8+'TE CVA'!$M$8)*1</f>
        <v>16.110850163961594</v>
      </c>
      <c r="N8" s="20">
        <f>('TE BE'!$N$8+'TE BF'!$N$8+'TE CVA'!$N$8)*1</f>
        <v>0</v>
      </c>
      <c r="O8" s="20">
        <f>('TE BE'!$O$8+'TE BF'!$O$8+'TE CVA'!$O$8)*1</f>
        <v>0</v>
      </c>
      <c r="P8" s="20">
        <f>('TE BE'!$P$8+'TE BF'!$P$8+'TE CVA'!$P$8)*1</f>
        <v>0</v>
      </c>
      <c r="Q8" s="20">
        <f>('TE BE'!$R$8+'TE BF'!$R$8+'TE CVA'!$R$8)*1</f>
        <v>197.66244174671704</v>
      </c>
      <c r="R8" s="20">
        <f>('TE BE'!$T$8+'TE BF'!$T$8+'TE CVA'!$T$8)*1</f>
        <v>0</v>
      </c>
      <c r="S8" s="20">
        <f>('TE BE'!$U$8+'TE BF'!$U$8+'TE CVA'!$U$8)*1</f>
        <v>0</v>
      </c>
      <c r="T8" s="20">
        <f>('TE BE'!$V$8+'TE BF'!$V$8+'TE CVA'!$V$8)*1</f>
        <v>0</v>
      </c>
      <c r="U8" s="20">
        <f>('TE BE'!$X$8+'TE BF'!$X$8+'TE CVA'!$X$8)*1</f>
        <v>0</v>
      </c>
      <c r="V8" s="20">
        <f>('TE BE'!$Z$8+'TE BF'!$Z$8+'TE CVA'!$Z$8)*1</f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291.85333056123898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</row>
    <row r="9" spans="1:34" ht="11.25" customHeight="1" x14ac:dyDescent="0.3">
      <c r="A9" s="99"/>
      <c r="B9" s="99"/>
      <c r="C9" s="99"/>
      <c r="D9" s="99"/>
      <c r="E9" s="99"/>
      <c r="F9" s="99"/>
      <c r="G9" s="23" t="s">
        <v>91</v>
      </c>
      <c r="H9" s="23" t="s">
        <v>79</v>
      </c>
      <c r="I9" s="23">
        <f>'MERCADO TE'!$U$6</f>
        <v>0</v>
      </c>
      <c r="J9" s="15"/>
      <c r="L9" s="20">
        <f>('TE BE'!$L$9+'TE BF'!$L$9+'TE CVA'!$L$9)*1</f>
        <v>0</v>
      </c>
      <c r="M9" s="20">
        <f>('TE BE'!$M$9+'TE BF'!$M$9+'TE CVA'!$M$9)*1</f>
        <v>16.110850163961594</v>
      </c>
      <c r="N9" s="20">
        <f>('TE BE'!$N$9+'TE BF'!$N$9+'TE CVA'!$N$9)*1</f>
        <v>0</v>
      </c>
      <c r="O9" s="20">
        <f>('TE BE'!$O$9+'TE BF'!$O$9+'TE CVA'!$O$9)*1</f>
        <v>0</v>
      </c>
      <c r="P9" s="20">
        <f>('TE BE'!$P$9+'TE BF'!$P$9+'TE CVA'!$P$9)*1</f>
        <v>0</v>
      </c>
      <c r="Q9" s="20">
        <f>('TE BE'!$R$9+'TE BF'!$R$9+'TE CVA'!$R$9)*1</f>
        <v>197.66244174671704</v>
      </c>
      <c r="R9" s="20">
        <f>('TE BE'!$T$9+'TE BF'!$T$9+'TE CVA'!$T$9)*1</f>
        <v>0</v>
      </c>
      <c r="S9" s="20">
        <f>('TE BE'!$U$9+'TE BF'!$U$9+'TE CVA'!$U$9)*1</f>
        <v>0</v>
      </c>
      <c r="T9" s="20">
        <f>('TE BE'!$V$9+'TE BF'!$V$9+'TE CVA'!$V$9)*1</f>
        <v>0</v>
      </c>
      <c r="U9" s="20">
        <f>('TE BE'!$X$9+'TE BF'!$X$9+'TE CVA'!$X$9)*1</f>
        <v>0</v>
      </c>
      <c r="V9" s="20">
        <f>('TE BE'!$Z$9+'TE BF'!$Z$9+'TE CVA'!$Z$9)*1</f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291.85333056123898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4" ht="11.25" customHeight="1" x14ac:dyDescent="0.3">
      <c r="A10" s="99"/>
      <c r="B10" s="99"/>
      <c r="C10" s="99"/>
      <c r="D10" s="99"/>
      <c r="E10" s="99"/>
      <c r="F10" s="99"/>
      <c r="G10" s="23" t="s">
        <v>81</v>
      </c>
      <c r="H10" s="23" t="s">
        <v>79</v>
      </c>
      <c r="I10" s="23">
        <f>'MERCADO TE'!$U$7</f>
        <v>0</v>
      </c>
      <c r="J10" s="15"/>
      <c r="L10" s="20">
        <f>('TE BE'!$L$10+'TE BF'!$L$10+'TE CVA'!$L$10)*1</f>
        <v>0</v>
      </c>
      <c r="M10" s="20">
        <f>('TE BE'!$M$10+'TE BF'!$M$10+'TE CVA'!$M$10)*1</f>
        <v>16.110850163961594</v>
      </c>
      <c r="N10" s="20">
        <f>('TE BE'!$N$10+'TE BF'!$N$10+'TE CVA'!$N$10)*1</f>
        <v>0</v>
      </c>
      <c r="O10" s="20">
        <f>('TE BE'!$O$10+'TE BF'!$O$10+'TE CVA'!$O$10)*1</f>
        <v>0</v>
      </c>
      <c r="P10" s="20">
        <f>('TE BE'!$P$10+'TE BF'!$P$10+'TE CVA'!$P$10)*1</f>
        <v>0</v>
      </c>
      <c r="Q10" s="20">
        <f>('TE BE'!$R$10+'TE BF'!$R$10+'TE CVA'!$R$10)*1</f>
        <v>197.66244174671704</v>
      </c>
      <c r="R10" s="20">
        <f>('TE BE'!$T$10+'TE BF'!$T$10+'TE CVA'!$T$10)*1</f>
        <v>0</v>
      </c>
      <c r="S10" s="20">
        <f>('TE BE'!$U$10+'TE BF'!$U$10+'TE CVA'!$U$10)*1</f>
        <v>0</v>
      </c>
      <c r="T10" s="20">
        <f>('TE BE'!$V$10+'TE BF'!$V$10+'TE CVA'!$V$10)*1</f>
        <v>0</v>
      </c>
      <c r="U10" s="20">
        <f>('TE BE'!$X$10+'TE BF'!$X$10+'TE CVA'!$X$10)*1</f>
        <v>0</v>
      </c>
      <c r="V10" s="20">
        <f>('TE BE'!$Z$10+'TE BF'!$Z$10+'TE CVA'!$Z$10)*1</f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291.85333056123898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4" ht="11.25" customHeight="1" x14ac:dyDescent="0.3">
      <c r="A11" s="99"/>
      <c r="B11" s="99" t="s">
        <v>82</v>
      </c>
      <c r="C11" s="99" t="s">
        <v>24</v>
      </c>
      <c r="D11" s="22" t="s">
        <v>24</v>
      </c>
      <c r="E11" s="22" t="s">
        <v>25</v>
      </c>
      <c r="F11" s="22" t="s">
        <v>25</v>
      </c>
      <c r="G11" s="23" t="s">
        <v>83</v>
      </c>
      <c r="H11" s="23" t="s">
        <v>79</v>
      </c>
      <c r="I11" s="23">
        <f>'MERCADO TE'!$U$8</f>
        <v>10969.981</v>
      </c>
      <c r="J11" s="15"/>
      <c r="L11" s="20">
        <f>('TE BE'!$L$11+'TE BF'!$L$11+'TE CVA'!$L$11)*1</f>
        <v>0</v>
      </c>
      <c r="M11" s="20">
        <f>('TE BE'!$M$11+'TE BF'!$M$11+'TE CVA'!$M$11)*1</f>
        <v>16.110850163961594</v>
      </c>
      <c r="N11" s="20">
        <f>('TE BE'!$N$11+'TE BF'!$N$11+'TE CVA'!$N$11)*1</f>
        <v>0</v>
      </c>
      <c r="O11" s="20">
        <f>('TE BE'!$O$11+'TE BF'!$O$11+'TE CVA'!$O$11)*1</f>
        <v>0</v>
      </c>
      <c r="P11" s="20">
        <f>('TE BE'!$P$11+'TE BF'!$P$11+'TE CVA'!$P$11)*1</f>
        <v>0</v>
      </c>
      <c r="Q11" s="20">
        <f>('TE BE'!$R$11+'TE BF'!$R$11+'TE CVA'!$R$11)*1</f>
        <v>197.66244174671704</v>
      </c>
      <c r="R11" s="20">
        <f>('TE BE'!$T$11+'TE BF'!$T$11+'TE CVA'!$T$11)*1</f>
        <v>0</v>
      </c>
      <c r="S11" s="20">
        <f>('TE BE'!$U$11+'TE BF'!$U$11+'TE CVA'!$U$11)*1</f>
        <v>0</v>
      </c>
      <c r="T11" s="20">
        <f>('TE BE'!$V$11+'TE BF'!$V$11+'TE CVA'!$V$11)*1</f>
        <v>0</v>
      </c>
      <c r="U11" s="20">
        <f>('TE BE'!$X$11+'TE BF'!$X$11+'TE CVA'!$X$11)*1</f>
        <v>0</v>
      </c>
      <c r="V11" s="20">
        <f>('TE BE'!$Z$11+'TE BF'!$Z$11+'TE CVA'!$Z$11)*1</f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291.85333056123898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4" ht="11.25" customHeight="1" x14ac:dyDescent="0.3">
      <c r="A12" s="99"/>
      <c r="B12" s="99"/>
      <c r="C12" s="99"/>
      <c r="D12" s="22" t="s">
        <v>28</v>
      </c>
      <c r="E12" s="22" t="s">
        <v>25</v>
      </c>
      <c r="F12" s="22" t="s">
        <v>25</v>
      </c>
      <c r="G12" s="23" t="s">
        <v>83</v>
      </c>
      <c r="H12" s="23" t="s">
        <v>79</v>
      </c>
      <c r="I12" s="23">
        <f>'MERCADO TE'!$U$9</f>
        <v>87.284999999999997</v>
      </c>
      <c r="J12" s="15"/>
      <c r="L12" s="20">
        <f>('TE BE'!$L$12+'TE BF'!$L$12+'TE CVA'!$L$12)*(1 - 0.65)</f>
        <v>0</v>
      </c>
      <c r="M12" s="20">
        <f>('TE BE'!$M$12+'TE BF'!$M$12+'TE CVA'!$M$12)*(1 - 0.65)</f>
        <v>5.6387975573865576</v>
      </c>
      <c r="N12" s="20">
        <f>('TE BE'!$N$12+'TE BF'!$N$12+'TE CVA'!$N$12)*(1 - 0.65)</f>
        <v>0</v>
      </c>
      <c r="O12" s="20">
        <f>('TE BE'!$O$12+'TE BF'!$O$12+'TE CVA'!$O$12)*(1 - 0.65)</f>
        <v>0</v>
      </c>
      <c r="P12" s="20">
        <f>('TE BE'!$P$12+'TE BF'!$P$12+'TE CVA'!$P$12)*(1 - 0.65)</f>
        <v>0</v>
      </c>
      <c r="Q12" s="20">
        <f>('TE BE'!$R$12+'TE BF'!$R$12+'TE CVA'!$R$12)*(1 - 0.65)</f>
        <v>69.181854611350957</v>
      </c>
      <c r="R12" s="20">
        <f>('TE BE'!$T$12+'TE BF'!$T$12+'TE CVA'!$T$12)*(1 - 0.65)</f>
        <v>0</v>
      </c>
      <c r="S12" s="20">
        <f>('TE BE'!$U$12+'TE BF'!$U$12+'TE CVA'!$U$12)*(1 - 0.65)</f>
        <v>0</v>
      </c>
      <c r="T12" s="20">
        <f>('TE BE'!$V$12+'TE BF'!$V$12+'TE CVA'!$V$12)*(1 - 0.65)</f>
        <v>0</v>
      </c>
      <c r="U12" s="20">
        <f>('TE BE'!$X$12+'TE BF'!$X$12+'TE CVA'!$X$12)*(1 - 0.65)</f>
        <v>0</v>
      </c>
      <c r="V12" s="20">
        <f>('TE BE'!$Z$12+'TE BF'!$Z$12+'TE CVA'!$Z$12)*(1 - 0.65)</f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102.14866569643399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4" ht="11.25" customHeight="1" x14ac:dyDescent="0.3">
      <c r="A13" s="99"/>
      <c r="B13" s="99"/>
      <c r="C13" s="99"/>
      <c r="D13" s="22" t="s">
        <v>29</v>
      </c>
      <c r="E13" s="22" t="s">
        <v>25</v>
      </c>
      <c r="F13" s="22" t="s">
        <v>25</v>
      </c>
      <c r="G13" s="23" t="s">
        <v>83</v>
      </c>
      <c r="H13" s="23" t="s">
        <v>79</v>
      </c>
      <c r="I13" s="23">
        <f>'MERCADO TE'!$U$10</f>
        <v>183.16699999999997</v>
      </c>
      <c r="J13" s="15"/>
      <c r="L13" s="20">
        <f>('TE BE'!$L$13+'TE BF'!$L$13+'TE CVA'!$L$13)*(1 - 0.4)</f>
        <v>0</v>
      </c>
      <c r="M13" s="20">
        <f>('TE BE'!$M$13+'TE BF'!$M$13+'TE CVA'!$M$13)*(1 - 0.4)</f>
        <v>9.6665100983769552</v>
      </c>
      <c r="N13" s="20">
        <f>('TE BE'!$N$13+'TE BF'!$N$13+'TE CVA'!$N$13)*(1 - 0.4)</f>
        <v>0</v>
      </c>
      <c r="O13" s="20">
        <f>('TE BE'!$O$13+'TE BF'!$O$13+'TE CVA'!$O$13)*(1 - 0.4)</f>
        <v>0</v>
      </c>
      <c r="P13" s="20">
        <f>('TE BE'!$P$13+'TE BF'!$P$13+'TE CVA'!$P$13)*(1 - 0.4)</f>
        <v>0</v>
      </c>
      <c r="Q13" s="20">
        <f>('TE BE'!$R$13+'TE BF'!$R$13+'TE CVA'!$R$13)*(1 - 0.4)</f>
        <v>118.59746504803022</v>
      </c>
      <c r="R13" s="20">
        <f>('TE BE'!$T$13+'TE BF'!$T$13+'TE CVA'!$T$13)*(1 - 0.4)</f>
        <v>0</v>
      </c>
      <c r="S13" s="20">
        <f>('TE BE'!$U$13+'TE BF'!$U$13+'TE CVA'!$U$13)*(1 - 0.4)</f>
        <v>0</v>
      </c>
      <c r="T13" s="20">
        <f>('TE BE'!$V$13+'TE BF'!$V$13+'TE CVA'!$V$13)*(1 - 0.4)</f>
        <v>0</v>
      </c>
      <c r="U13" s="20">
        <f>('TE BE'!$X$13+'TE BF'!$X$13+'TE CVA'!$X$13)*(1 - 0.4)</f>
        <v>0</v>
      </c>
      <c r="V13" s="20">
        <f>('TE BE'!$Z$13+'TE BF'!$Z$13+'TE CVA'!$Z$13)*(1 - 0.4)</f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175.11199833674399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4" ht="11.25" customHeight="1" x14ac:dyDescent="0.3">
      <c r="A14" s="99"/>
      <c r="B14" s="99"/>
      <c r="C14" s="99"/>
      <c r="D14" s="22" t="s">
        <v>30</v>
      </c>
      <c r="E14" s="22" t="s">
        <v>25</v>
      </c>
      <c r="F14" s="22" t="s">
        <v>25</v>
      </c>
      <c r="G14" s="23" t="s">
        <v>83</v>
      </c>
      <c r="H14" s="23" t="s">
        <v>79</v>
      </c>
      <c r="I14" s="23">
        <f>'MERCADO TE'!$U$11</f>
        <v>200.38</v>
      </c>
      <c r="J14" s="15"/>
      <c r="L14" s="20">
        <f>('TE BE'!$L$14+'TE BF'!$L$14+'TE CVA'!$L$14)*(1 - 0.1)</f>
        <v>0</v>
      </c>
      <c r="M14" s="20">
        <f>('TE BE'!$M$14+'TE BF'!$M$14+'TE CVA'!$M$14)*(1 - 0.1)</f>
        <v>14.499765147565435</v>
      </c>
      <c r="N14" s="20">
        <f>('TE BE'!$N$14+'TE BF'!$N$14+'TE CVA'!$N$14)*(1 - 0.1)</f>
        <v>0</v>
      </c>
      <c r="O14" s="20">
        <f>('TE BE'!$O$14+'TE BF'!$O$14+'TE CVA'!$O$14)*(1 - 0.1)</f>
        <v>0</v>
      </c>
      <c r="P14" s="20">
        <f>('TE BE'!$P$14+'TE BF'!$P$14+'TE CVA'!$P$14)*(1 - 0.1)</f>
        <v>0</v>
      </c>
      <c r="Q14" s="20">
        <f>('TE BE'!$R$14+'TE BF'!$R$14+'TE CVA'!$R$14)*(1 - 0.1)</f>
        <v>177.89619757204534</v>
      </c>
      <c r="R14" s="20">
        <f>('TE BE'!$T$14+'TE BF'!$T$14+'TE CVA'!$T$14)*(1 - 0.1)</f>
        <v>0</v>
      </c>
      <c r="S14" s="20">
        <f>('TE BE'!$U$14+'TE BF'!$U$14+'TE CVA'!$U$14)*(1 - 0.1)</f>
        <v>0</v>
      </c>
      <c r="T14" s="20">
        <f>('TE BE'!$V$14+'TE BF'!$V$14+'TE CVA'!$V$14)*(1 - 0.1)</f>
        <v>0</v>
      </c>
      <c r="U14" s="20">
        <f>('TE BE'!$X$14+'TE BF'!$X$14+'TE CVA'!$X$14)*(1 - 0.1)</f>
        <v>0</v>
      </c>
      <c r="V14" s="20">
        <f>('TE BE'!$Z$14+'TE BF'!$Z$14+'TE CVA'!$Z$14)*(1 - 0.1)</f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262.66799750511501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ht="11.25" customHeight="1" x14ac:dyDescent="0.3">
      <c r="A15" s="99"/>
      <c r="B15" s="99"/>
      <c r="C15" s="99"/>
      <c r="D15" s="22" t="s">
        <v>31</v>
      </c>
      <c r="E15" s="22" t="s">
        <v>25</v>
      </c>
      <c r="F15" s="22" t="s">
        <v>25</v>
      </c>
      <c r="G15" s="23" t="s">
        <v>83</v>
      </c>
      <c r="H15" s="23" t="s">
        <v>79</v>
      </c>
      <c r="I15" s="23">
        <f>'MERCADO TE'!$U$12</f>
        <v>80.955999999999989</v>
      </c>
      <c r="J15" s="15"/>
      <c r="L15" s="20">
        <f>('TE BE'!$L$15+'TE BF'!$L$15+'TE CVA'!$L$15)*1</f>
        <v>0</v>
      </c>
      <c r="M15" s="20">
        <f>('TE BE'!$M$15+'TE BF'!$M$15+'TE CVA'!$M$15)*1</f>
        <v>16.110850163961594</v>
      </c>
      <c r="N15" s="20">
        <f>('TE BE'!$N$15+'TE BF'!$N$15+'TE CVA'!$N$15)*1</f>
        <v>0</v>
      </c>
      <c r="O15" s="20">
        <f>('TE BE'!$O$15+'TE BF'!$O$15+'TE CVA'!$O$15)*1</f>
        <v>0</v>
      </c>
      <c r="P15" s="20">
        <f>('TE BE'!$P$15+'TE BF'!$P$15+'TE CVA'!$P$15)*1</f>
        <v>0</v>
      </c>
      <c r="Q15" s="20">
        <f>('TE BE'!$R$15+'TE BF'!$R$15+'TE CVA'!$R$15)*1</f>
        <v>197.66244174671704</v>
      </c>
      <c r="R15" s="20">
        <f>('TE BE'!$T$15+'TE BF'!$T$15+'TE CVA'!$T$15)*1</f>
        <v>0</v>
      </c>
      <c r="S15" s="20">
        <f>('TE BE'!$U$15+'TE BF'!$U$15+'TE CVA'!$U$15)*1</f>
        <v>0</v>
      </c>
      <c r="T15" s="20">
        <f>('TE BE'!$V$15+'TE BF'!$V$15+'TE CVA'!$V$15)*1</f>
        <v>0</v>
      </c>
      <c r="U15" s="20">
        <f>('TE BE'!$X$15+'TE BF'!$X$15+'TE CVA'!$X$15)*1</f>
        <v>0</v>
      </c>
      <c r="V15" s="20">
        <f>('TE BE'!$Z$15+'TE BF'!$Z$15+'TE CVA'!$Z$15)*1</f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291.85333056123898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4" ht="11.25" customHeight="1" x14ac:dyDescent="0.3">
      <c r="A16" s="99"/>
      <c r="B16" s="99" t="s">
        <v>93</v>
      </c>
      <c r="C16" s="99" t="s">
        <v>24</v>
      </c>
      <c r="D16" s="22" t="s">
        <v>24</v>
      </c>
      <c r="E16" s="22" t="s">
        <v>25</v>
      </c>
      <c r="F16" s="22" t="s">
        <v>25</v>
      </c>
      <c r="G16" s="23" t="s">
        <v>83</v>
      </c>
      <c r="H16" s="23" t="s">
        <v>79</v>
      </c>
      <c r="I16" s="23">
        <f>'MERCADO TE'!$U$13</f>
        <v>0</v>
      </c>
      <c r="J16" s="15"/>
      <c r="L16" s="20">
        <f>('TE BE'!$L$16+'TE BF'!$L$16+'TE CVA'!$L$16)*1</f>
        <v>0</v>
      </c>
      <c r="M16" s="20">
        <f>('TE BE'!$M$16+'TE BF'!$M$16+'TE CVA'!$M$16)*1</f>
        <v>16.110850163961594</v>
      </c>
      <c r="N16" s="20">
        <f>('TE BE'!$N$16+'TE BF'!$N$16+'TE CVA'!$N$16)*1</f>
        <v>0</v>
      </c>
      <c r="O16" s="20">
        <f>('TE BE'!$O$16+'TE BF'!$O$16+'TE CVA'!$O$16)*1</f>
        <v>0</v>
      </c>
      <c r="P16" s="20">
        <f>('TE BE'!$P$16+'TE BF'!$P$16+'TE CVA'!$P$16)*1</f>
        <v>0</v>
      </c>
      <c r="Q16" s="20">
        <f>('TE BE'!$R$16+'TE BF'!$R$16+'TE CVA'!$R$16)*1</f>
        <v>197.66244174671704</v>
      </c>
      <c r="R16" s="20">
        <f>('TE BE'!$T$16+'TE BF'!$T$16+'TE CVA'!$T$16)*1</f>
        <v>0</v>
      </c>
      <c r="S16" s="20">
        <f>('TE BE'!$U$16+'TE BF'!$U$16+'TE CVA'!$U$16)*1</f>
        <v>0</v>
      </c>
      <c r="T16" s="20">
        <f>('TE BE'!$V$16+'TE BF'!$V$16+'TE CVA'!$V$16)*1</f>
        <v>0</v>
      </c>
      <c r="U16" s="20">
        <f>('TE BE'!$X$16+'TE BF'!$X$16+'TE CVA'!$X$16)*1</f>
        <v>0</v>
      </c>
      <c r="V16" s="20">
        <f>('TE BE'!$Z$16+'TE BF'!$Z$16+'TE CVA'!$Z$16)*1</f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291.85333056123898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ht="11.25" customHeight="1" x14ac:dyDescent="0.3">
      <c r="A17" s="99"/>
      <c r="B17" s="99"/>
      <c r="C17" s="99"/>
      <c r="D17" s="22" t="s">
        <v>28</v>
      </c>
      <c r="E17" s="22" t="s">
        <v>25</v>
      </c>
      <c r="F17" s="22" t="s">
        <v>25</v>
      </c>
      <c r="G17" s="23" t="s">
        <v>83</v>
      </c>
      <c r="H17" s="23" t="s">
        <v>79</v>
      </c>
      <c r="I17" s="23">
        <f>'MERCADO TE'!$U$14</f>
        <v>0</v>
      </c>
      <c r="J17" s="15"/>
      <c r="L17" s="20">
        <f>('TE BE'!$L$17+'TE BF'!$L$17+'TE CVA'!$L$17)*(1 - 0.65)</f>
        <v>0</v>
      </c>
      <c r="M17" s="20">
        <f>('TE BE'!$M$17+'TE BF'!$M$17+'TE CVA'!$M$17)*(1 - 0.65)</f>
        <v>5.6387975573865576</v>
      </c>
      <c r="N17" s="20">
        <f>('TE BE'!$N$17+'TE BF'!$N$17+'TE CVA'!$N$17)*(1 - 0.65)</f>
        <v>0</v>
      </c>
      <c r="O17" s="20">
        <f>('TE BE'!$O$17+'TE BF'!$O$17+'TE CVA'!$O$17)*(1 - 0.65)</f>
        <v>0</v>
      </c>
      <c r="P17" s="20">
        <f>('TE BE'!$P$17+'TE BF'!$P$17+'TE CVA'!$P$17)*(1 - 0.65)</f>
        <v>0</v>
      </c>
      <c r="Q17" s="20">
        <f>('TE BE'!$R$17+'TE BF'!$R$17+'TE CVA'!$R$17)*(1 - 0.65)</f>
        <v>69.181854611350957</v>
      </c>
      <c r="R17" s="20">
        <f>('TE BE'!$T$17+'TE BF'!$T$17+'TE CVA'!$T$17)*(1 - 0.65)</f>
        <v>0</v>
      </c>
      <c r="S17" s="20">
        <f>('TE BE'!$U$17+'TE BF'!$U$17+'TE CVA'!$U$17)*(1 - 0.65)</f>
        <v>0</v>
      </c>
      <c r="T17" s="20">
        <f>('TE BE'!$V$17+'TE BF'!$V$17+'TE CVA'!$V$17)*(1 - 0.65)</f>
        <v>0</v>
      </c>
      <c r="U17" s="20">
        <f>('TE BE'!$X$17+'TE BF'!$X$17+'TE CVA'!$X$17)*(1 - 0.65)</f>
        <v>0</v>
      </c>
      <c r="V17" s="20">
        <f>('TE BE'!$Z$17+'TE BF'!$Z$17+'TE CVA'!$Z$17)*(1 - 0.65)</f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102.14866569643399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ht="11.25" customHeight="1" x14ac:dyDescent="0.3">
      <c r="A18" s="99"/>
      <c r="B18" s="99"/>
      <c r="C18" s="99"/>
      <c r="D18" s="22" t="s">
        <v>29</v>
      </c>
      <c r="E18" s="22" t="s">
        <v>25</v>
      </c>
      <c r="F18" s="22" t="s">
        <v>25</v>
      </c>
      <c r="G18" s="23" t="s">
        <v>83</v>
      </c>
      <c r="H18" s="23" t="s">
        <v>79</v>
      </c>
      <c r="I18" s="23">
        <f>'MERCADO TE'!$U$15</f>
        <v>0</v>
      </c>
      <c r="J18" s="15"/>
      <c r="L18" s="20">
        <f>('TE BE'!$L$18+'TE BF'!$L$18+'TE CVA'!$L$18)*(1 - 0.4)</f>
        <v>0</v>
      </c>
      <c r="M18" s="20">
        <f>('TE BE'!$M$18+'TE BF'!$M$18+'TE CVA'!$M$18)*(1 - 0.4)</f>
        <v>9.6665100983769552</v>
      </c>
      <c r="N18" s="20">
        <f>('TE BE'!$N$18+'TE BF'!$N$18+'TE CVA'!$N$18)*(1 - 0.4)</f>
        <v>0</v>
      </c>
      <c r="O18" s="20">
        <f>('TE BE'!$O$18+'TE BF'!$O$18+'TE CVA'!$O$18)*(1 - 0.4)</f>
        <v>0</v>
      </c>
      <c r="P18" s="20">
        <f>('TE BE'!$P$18+'TE BF'!$P$18+'TE CVA'!$P$18)*(1 - 0.4)</f>
        <v>0</v>
      </c>
      <c r="Q18" s="20">
        <f>('TE BE'!$R$18+'TE BF'!$R$18+'TE CVA'!$R$18)*(1 - 0.4)</f>
        <v>118.59746504803022</v>
      </c>
      <c r="R18" s="20">
        <f>('TE BE'!$T$18+'TE BF'!$T$18+'TE CVA'!$T$18)*(1 - 0.4)</f>
        <v>0</v>
      </c>
      <c r="S18" s="20">
        <f>('TE BE'!$U$18+'TE BF'!$U$18+'TE CVA'!$U$18)*(1 - 0.4)</f>
        <v>0</v>
      </c>
      <c r="T18" s="20">
        <f>('TE BE'!$V$18+'TE BF'!$V$18+'TE CVA'!$V$18)*(1 - 0.4)</f>
        <v>0</v>
      </c>
      <c r="U18" s="20">
        <f>('TE BE'!$X$18+'TE BF'!$X$18+'TE CVA'!$X$18)*(1 - 0.4)</f>
        <v>0</v>
      </c>
      <c r="V18" s="20">
        <f>('TE BE'!$Z$18+'TE BF'!$Z$18+'TE CVA'!$Z$18)*(1 - 0.4)</f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175.11199833674399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ht="11.25" customHeight="1" x14ac:dyDescent="0.3">
      <c r="A19" s="99"/>
      <c r="B19" s="99"/>
      <c r="C19" s="99"/>
      <c r="D19" s="22" t="s">
        <v>30</v>
      </c>
      <c r="E19" s="22" t="s">
        <v>25</v>
      </c>
      <c r="F19" s="22" t="s">
        <v>25</v>
      </c>
      <c r="G19" s="23" t="s">
        <v>83</v>
      </c>
      <c r="H19" s="23" t="s">
        <v>79</v>
      </c>
      <c r="I19" s="23">
        <f>'MERCADO TE'!$U$16</f>
        <v>0</v>
      </c>
      <c r="J19" s="15"/>
      <c r="L19" s="20">
        <f>('TE BE'!$L$19+'TE BF'!$L$19+'TE CVA'!$L$19)*(1 - 0.1)</f>
        <v>0</v>
      </c>
      <c r="M19" s="20">
        <f>('TE BE'!$M$19+'TE BF'!$M$19+'TE CVA'!$M$19)*(1 - 0.1)</f>
        <v>14.499765147565435</v>
      </c>
      <c r="N19" s="20">
        <f>('TE BE'!$N$19+'TE BF'!$N$19+'TE CVA'!$N$19)*(1 - 0.1)</f>
        <v>0</v>
      </c>
      <c r="O19" s="20">
        <f>('TE BE'!$O$19+'TE BF'!$O$19+'TE CVA'!$O$19)*(1 - 0.1)</f>
        <v>0</v>
      </c>
      <c r="P19" s="20">
        <f>('TE BE'!$P$19+'TE BF'!$P$19+'TE CVA'!$P$19)*(1 - 0.1)</f>
        <v>0</v>
      </c>
      <c r="Q19" s="20">
        <f>('TE BE'!$R$19+'TE BF'!$R$19+'TE CVA'!$R$19)*(1 - 0.1)</f>
        <v>177.89619757204534</v>
      </c>
      <c r="R19" s="20">
        <f>('TE BE'!$T$19+'TE BF'!$T$19+'TE CVA'!$T$19)*(1 - 0.1)</f>
        <v>0</v>
      </c>
      <c r="S19" s="20">
        <f>('TE BE'!$U$19+'TE BF'!$U$19+'TE CVA'!$U$19)*(1 - 0.1)</f>
        <v>0</v>
      </c>
      <c r="T19" s="20">
        <f>('TE BE'!$V$19+'TE BF'!$V$19+'TE CVA'!$V$19)*(1 - 0.1)</f>
        <v>0</v>
      </c>
      <c r="U19" s="20">
        <f>('TE BE'!$X$19+'TE BF'!$X$19+'TE CVA'!$X$19)*(1 - 0.1)</f>
        <v>0</v>
      </c>
      <c r="V19" s="20">
        <f>('TE BE'!$Z$19+'TE BF'!$Z$19+'TE CVA'!$Z$19)*(1 - 0.1)</f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262.66799750511501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ht="11.25" customHeight="1" x14ac:dyDescent="0.3">
      <c r="A20" s="99"/>
      <c r="B20" s="99"/>
      <c r="C20" s="99"/>
      <c r="D20" s="22" t="s">
        <v>31</v>
      </c>
      <c r="E20" s="22" t="s">
        <v>25</v>
      </c>
      <c r="F20" s="22" t="s">
        <v>25</v>
      </c>
      <c r="G20" s="23" t="s">
        <v>83</v>
      </c>
      <c r="H20" s="23" t="s">
        <v>79</v>
      </c>
      <c r="I20" s="23">
        <f>'MERCADO TE'!$U$17</f>
        <v>0</v>
      </c>
      <c r="J20" s="15"/>
      <c r="L20" s="20">
        <f>('TE BE'!$L$20+'TE BF'!$L$20+'TE CVA'!$L$20)*1</f>
        <v>0</v>
      </c>
      <c r="M20" s="20">
        <f>('TE BE'!$M$20+'TE BF'!$M$20+'TE CVA'!$M$20)*1</f>
        <v>16.110850163961594</v>
      </c>
      <c r="N20" s="20">
        <f>('TE BE'!$N$20+'TE BF'!$N$20+'TE CVA'!$N$20)*1</f>
        <v>0</v>
      </c>
      <c r="O20" s="20">
        <f>('TE BE'!$O$20+'TE BF'!$O$20+'TE CVA'!$O$20)*1</f>
        <v>0</v>
      </c>
      <c r="P20" s="20">
        <f>('TE BE'!$P$20+'TE BF'!$P$20+'TE CVA'!$P$20)*1</f>
        <v>0</v>
      </c>
      <c r="Q20" s="20">
        <f>('TE BE'!$R$20+'TE BF'!$R$20+'TE CVA'!$R$20)*1</f>
        <v>197.66244174671704</v>
      </c>
      <c r="R20" s="20">
        <f>('TE BE'!$T$20+'TE BF'!$T$20+'TE CVA'!$T$20)*1</f>
        <v>0</v>
      </c>
      <c r="S20" s="20">
        <f>('TE BE'!$U$20+'TE BF'!$U$20+'TE CVA'!$U$20)*1</f>
        <v>0</v>
      </c>
      <c r="T20" s="20">
        <f>('TE BE'!$V$20+'TE BF'!$V$20+'TE CVA'!$V$20)*1</f>
        <v>0</v>
      </c>
      <c r="U20" s="20">
        <f>('TE BE'!$X$20+'TE BF'!$X$20+'TE CVA'!$X$20)*1</f>
        <v>0</v>
      </c>
      <c r="V20" s="20">
        <f>('TE BE'!$Z$20+'TE BF'!$Z$20+'TE CVA'!$Z$20)*1</f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291.85333056123898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ht="11.25" customHeight="1" x14ac:dyDescent="0.3">
      <c r="A21" s="99" t="s">
        <v>40</v>
      </c>
      <c r="B21" s="99" t="s">
        <v>78</v>
      </c>
      <c r="C21" s="99" t="s">
        <v>41</v>
      </c>
      <c r="D21" s="99" t="s">
        <v>25</v>
      </c>
      <c r="E21" s="99" t="s">
        <v>25</v>
      </c>
      <c r="F21" s="99" t="s">
        <v>25</v>
      </c>
      <c r="G21" s="23" t="s">
        <v>80</v>
      </c>
      <c r="H21" s="23" t="s">
        <v>79</v>
      </c>
      <c r="I21" s="23">
        <f>'MERCADO TE'!$U$18</f>
        <v>0</v>
      </c>
      <c r="J21" s="15"/>
      <c r="L21" s="20">
        <f>('TE BE'!$L$21+'TE BF'!$L$21+'TE CVA'!$L$21)*(1 - CUSTOS!$M$38)</f>
        <v>0</v>
      </c>
      <c r="M21" s="20">
        <f>('TE BE'!$M$21+'TE BF'!$M$21+'TE CVA'!$M$21)*(1 - CUSTOS!$M$38)</f>
        <v>15.144199154123898</v>
      </c>
      <c r="N21" s="20">
        <f>('TE BE'!$N$21+'TE BF'!$N$21+'TE CVA'!$N$21)*(1 - CUSTOS!$M$38)</f>
        <v>0</v>
      </c>
      <c r="O21" s="20">
        <f>('TE BE'!$O$21+'TE BF'!$O$21+'TE CVA'!$O$21)*(1 - CUSTOS!$M$38)</f>
        <v>0</v>
      </c>
      <c r="P21" s="20">
        <f>('TE BE'!$P$21+'TE BF'!$P$21+'TE CVA'!$P$21)*(1 - CUSTOS!$M$38)</f>
        <v>0</v>
      </c>
      <c r="Q21" s="20">
        <f>('TE BE'!$R$21+'TE BF'!$R$21+'TE CVA'!$R$21)*(1 - CUSTOS!$M$38)</f>
        <v>185.80269524191399</v>
      </c>
      <c r="R21" s="20">
        <f>('TE BE'!$T$21+'TE BF'!$T$21+'TE CVA'!$T$21)*(1 - CUSTOS!$M$38)</f>
        <v>0</v>
      </c>
      <c r="S21" s="20">
        <f>('TE BE'!$U$21+'TE BF'!$U$21+'TE CVA'!$U$21)*(1 - CUSTOS!$M$38)</f>
        <v>0</v>
      </c>
      <c r="T21" s="20">
        <f>('TE BE'!$V$21+'TE BF'!$V$21+'TE CVA'!$V$21)*(1 - CUSTOS!$M$38)</f>
        <v>0</v>
      </c>
      <c r="U21" s="20">
        <f>('TE BE'!$X$21+'TE BF'!$X$21+'TE CVA'!$X$21)*(1 - CUSTOS!$M$38)</f>
        <v>0</v>
      </c>
      <c r="V21" s="20">
        <f>('TE BE'!$Z$21+'TE BF'!$Z$21+'TE CVA'!$Z$21)*(1 - CUSTOS!$M$38)</f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256.83093089389098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  <row r="22" spans="1:34" ht="11.25" customHeight="1" x14ac:dyDescent="0.3">
      <c r="A22" s="99"/>
      <c r="B22" s="99"/>
      <c r="C22" s="99"/>
      <c r="D22" s="99"/>
      <c r="E22" s="99"/>
      <c r="F22" s="99"/>
      <c r="G22" s="23" t="s">
        <v>91</v>
      </c>
      <c r="H22" s="23" t="s">
        <v>79</v>
      </c>
      <c r="I22" s="23">
        <f>'MERCADO TE'!$U$19</f>
        <v>0</v>
      </c>
      <c r="J22" s="15"/>
      <c r="L22" s="20">
        <f>('TE BE'!$L$22+'TE BF'!$L$22+'TE CVA'!$L$22)*(1 - CUSTOS!$M$38)</f>
        <v>0</v>
      </c>
      <c r="M22" s="20">
        <f>('TE BE'!$M$22+'TE BF'!$M$22+'TE CVA'!$M$22)*(1 - CUSTOS!$M$38)</f>
        <v>15.144199154123898</v>
      </c>
      <c r="N22" s="20">
        <f>('TE BE'!$N$22+'TE BF'!$N$22+'TE CVA'!$N$22)*(1 - CUSTOS!$M$38)</f>
        <v>0</v>
      </c>
      <c r="O22" s="20">
        <f>('TE BE'!$O$22+'TE BF'!$O$22+'TE CVA'!$O$22)*(1 - CUSTOS!$M$38)</f>
        <v>0</v>
      </c>
      <c r="P22" s="20">
        <f>('TE BE'!$P$22+'TE BF'!$P$22+'TE CVA'!$P$22)*(1 - CUSTOS!$M$38)</f>
        <v>0</v>
      </c>
      <c r="Q22" s="20">
        <f>('TE BE'!$R$22+'TE BF'!$R$22+'TE CVA'!$R$22)*(1 - CUSTOS!$M$38)</f>
        <v>185.80269524191399</v>
      </c>
      <c r="R22" s="20">
        <f>('TE BE'!$T$22+'TE BF'!$T$22+'TE CVA'!$T$22)*(1 - CUSTOS!$M$38)</f>
        <v>0</v>
      </c>
      <c r="S22" s="20">
        <f>('TE BE'!$U$22+'TE BF'!$U$22+'TE CVA'!$U$22)*(1 - CUSTOS!$M$38)</f>
        <v>0</v>
      </c>
      <c r="T22" s="20">
        <f>('TE BE'!$V$22+'TE BF'!$V$22+'TE CVA'!$V$22)*(1 - CUSTOS!$M$38)</f>
        <v>0</v>
      </c>
      <c r="U22" s="20">
        <f>('TE BE'!$X$22+'TE BF'!$X$22+'TE CVA'!$X$22)*(1 - CUSTOS!$M$38)</f>
        <v>0</v>
      </c>
      <c r="V22" s="20">
        <f>('TE BE'!$Z$22+'TE BF'!$Z$22+'TE CVA'!$Z$22)*(1 - CUSTOS!$M$38)</f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256.83093089389098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ht="11.25" customHeight="1" x14ac:dyDescent="0.3">
      <c r="A23" s="99"/>
      <c r="B23" s="99"/>
      <c r="C23" s="99"/>
      <c r="D23" s="99"/>
      <c r="E23" s="99"/>
      <c r="F23" s="99"/>
      <c r="G23" s="23" t="s">
        <v>81</v>
      </c>
      <c r="H23" s="23" t="s">
        <v>79</v>
      </c>
      <c r="I23" s="23">
        <f>'MERCADO TE'!$U$20</f>
        <v>0</v>
      </c>
      <c r="J23" s="15"/>
      <c r="L23" s="20">
        <f>('TE BE'!$L$23+'TE BF'!$L$23+'TE CVA'!$L$23)*(1 - CUSTOS!$M$38)</f>
        <v>0</v>
      </c>
      <c r="M23" s="20">
        <f>('TE BE'!$M$23+'TE BF'!$M$23+'TE CVA'!$M$23)*(1 - CUSTOS!$M$38)</f>
        <v>15.144199154123898</v>
      </c>
      <c r="N23" s="20">
        <f>('TE BE'!$N$23+'TE BF'!$N$23+'TE CVA'!$N$23)*(1 - CUSTOS!$M$38)</f>
        <v>0</v>
      </c>
      <c r="O23" s="20">
        <f>('TE BE'!$O$23+'TE BF'!$O$23+'TE CVA'!$O$23)*(1 - CUSTOS!$M$38)</f>
        <v>0</v>
      </c>
      <c r="P23" s="20">
        <f>('TE BE'!$P$23+'TE BF'!$P$23+'TE CVA'!$P$23)*(1 - CUSTOS!$M$38)</f>
        <v>0</v>
      </c>
      <c r="Q23" s="20">
        <f>('TE BE'!$R$23+'TE BF'!$R$23+'TE CVA'!$R$23)*(1 - CUSTOS!$M$38)</f>
        <v>185.80269524191399</v>
      </c>
      <c r="R23" s="20">
        <f>('TE BE'!$T$23+'TE BF'!$T$23+'TE CVA'!$T$23)*(1 - CUSTOS!$M$38)</f>
        <v>0</v>
      </c>
      <c r="S23" s="20">
        <f>('TE BE'!$U$23+'TE BF'!$U$23+'TE CVA'!$U$23)*(1 - CUSTOS!$M$38)</f>
        <v>0</v>
      </c>
      <c r="T23" s="20">
        <f>('TE BE'!$V$23+'TE BF'!$V$23+'TE CVA'!$V$23)*(1 - CUSTOS!$M$38)</f>
        <v>0</v>
      </c>
      <c r="U23" s="20">
        <f>('TE BE'!$X$23+'TE BF'!$X$23+'TE CVA'!$X$23)*(1 - CUSTOS!$M$38)</f>
        <v>0</v>
      </c>
      <c r="V23" s="20">
        <f>('TE BE'!$Z$23+'TE BF'!$Z$23+'TE CVA'!$Z$23)*(1 - CUSTOS!$M$38)</f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256.83093089389098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</row>
    <row r="24" spans="1:34" ht="11.25" customHeight="1" x14ac:dyDescent="0.3">
      <c r="A24" s="99"/>
      <c r="B24" s="22" t="s">
        <v>82</v>
      </c>
      <c r="C24" s="22" t="s">
        <v>41</v>
      </c>
      <c r="D24" s="22" t="s">
        <v>25</v>
      </c>
      <c r="E24" s="22" t="s">
        <v>25</v>
      </c>
      <c r="F24" s="22" t="s">
        <v>25</v>
      </c>
      <c r="G24" s="23" t="s">
        <v>83</v>
      </c>
      <c r="H24" s="23" t="s">
        <v>79</v>
      </c>
      <c r="I24" s="23">
        <f>'MERCADO TE'!$U$21</f>
        <v>15119.107000000002</v>
      </c>
      <c r="J24" s="15"/>
      <c r="L24" s="20">
        <f>('TE BE'!$L$24+'TE BF'!$L$24+'TE CVA'!$L$24)*(1 - CUSTOS!$M$38)</f>
        <v>0</v>
      </c>
      <c r="M24" s="20">
        <f>('TE BE'!$M$24+'TE BF'!$M$24+'TE CVA'!$M$24)*(1 - CUSTOS!$M$38)</f>
        <v>15.144199154123898</v>
      </c>
      <c r="N24" s="20">
        <f>('TE BE'!$N$24+'TE BF'!$N$24+'TE CVA'!$N$24)*(1 - CUSTOS!$M$38)</f>
        <v>0</v>
      </c>
      <c r="O24" s="20">
        <f>('TE BE'!$O$24+'TE BF'!$O$24+'TE CVA'!$O$24)*(1 - CUSTOS!$M$38)</f>
        <v>0</v>
      </c>
      <c r="P24" s="20">
        <f>('TE BE'!$P$24+'TE BF'!$P$24+'TE CVA'!$P$24)*(1 - CUSTOS!$M$38)</f>
        <v>0</v>
      </c>
      <c r="Q24" s="20">
        <f>('TE BE'!$R$24+'TE BF'!$R$24+'TE CVA'!$R$24)*(1 - CUSTOS!$M$38)</f>
        <v>185.80269524191399</v>
      </c>
      <c r="R24" s="20">
        <f>('TE BE'!$T$24+'TE BF'!$T$24+'TE CVA'!$T$24)*(1 - CUSTOS!$M$38)</f>
        <v>0</v>
      </c>
      <c r="S24" s="20">
        <f>('TE BE'!$U$24+'TE BF'!$U$24+'TE CVA'!$U$24)*(1 - CUSTOS!$M$38)</f>
        <v>0</v>
      </c>
      <c r="T24" s="20">
        <f>('TE BE'!$V$24+'TE BF'!$V$24+'TE CVA'!$V$24)*(1 - CUSTOS!$M$38)</f>
        <v>0</v>
      </c>
      <c r="U24" s="20">
        <f>('TE BE'!$X$24+'TE BF'!$X$24+'TE CVA'!$X$24)*(1 - CUSTOS!$M$38)</f>
        <v>0</v>
      </c>
      <c r="V24" s="20">
        <f>('TE BE'!$Z$24+'TE BF'!$Z$24+'TE CVA'!$Z$24)*(1 - CUSTOS!$M$38)</f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256.83093089389098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ht="11.25" customHeight="1" x14ac:dyDescent="0.3">
      <c r="A25" s="99"/>
      <c r="B25" s="99" t="s">
        <v>78</v>
      </c>
      <c r="C25" s="99" t="s">
        <v>41</v>
      </c>
      <c r="D25" s="99" t="s">
        <v>95</v>
      </c>
      <c r="E25" s="99" t="s">
        <v>25</v>
      </c>
      <c r="F25" s="99" t="s">
        <v>25</v>
      </c>
      <c r="G25" s="23" t="s">
        <v>80</v>
      </c>
      <c r="H25" s="23" t="s">
        <v>79</v>
      </c>
      <c r="I25" s="23">
        <f>'MERCADO TE'!$U$22</f>
        <v>0</v>
      </c>
      <c r="J25" s="15"/>
      <c r="L25" s="20">
        <f>('TE BE'!$L$25+'TE BF'!$L$25+'TE CVA'!$L$25)*(1 - CUSTOS!$M$39)</f>
        <v>0</v>
      </c>
      <c r="M25" s="20">
        <f>('TE BE'!$M$25+'TE BF'!$M$25+'TE CVA'!$M$25)*(1 - CUSTOS!$M$39)</f>
        <v>15.144199154123898</v>
      </c>
      <c r="N25" s="20">
        <f>('TE BE'!$N$25+'TE BF'!$N$25+'TE CVA'!$N$25)*(1 - CUSTOS!$M$39)</f>
        <v>0</v>
      </c>
      <c r="O25" s="20">
        <f>('TE BE'!$O$25+'TE BF'!$O$25+'TE CVA'!$O$25)*(1 - CUSTOS!$M$39)</f>
        <v>0</v>
      </c>
      <c r="P25" s="20">
        <f>('TE BE'!$P$25+'TE BF'!$P$25+'TE CVA'!$P$25)*(1 - CUSTOS!$M$39)</f>
        <v>0</v>
      </c>
      <c r="Q25" s="20">
        <f>('TE BE'!$R$25+'TE BF'!$R$25+'TE CVA'!$R$25)*(1 - CUSTOS!$M$39)</f>
        <v>185.80269524191399</v>
      </c>
      <c r="R25" s="20">
        <f>('TE BE'!$T$25+'TE BF'!$T$25+'TE CVA'!$T$25)*(1 - CUSTOS!$M$39)</f>
        <v>0</v>
      </c>
      <c r="S25" s="20">
        <f>('TE BE'!$U$25+'TE BF'!$U$25+'TE CVA'!$U$25)*(1 - CUSTOS!$M$39)</f>
        <v>0</v>
      </c>
      <c r="T25" s="20">
        <f>('TE BE'!$V$25+'TE BF'!$V$25+'TE CVA'!$V$25)*(1 - CUSTOS!$M$39)</f>
        <v>0</v>
      </c>
      <c r="U25" s="20">
        <f>('TE BE'!$X$25+'TE BF'!$X$25+'TE CVA'!$X$25)*(1 - CUSTOS!$M$39)</f>
        <v>0</v>
      </c>
      <c r="V25" s="20">
        <f>('TE BE'!$Z$25+'TE BF'!$Z$25+'TE CVA'!$Z$25)*(1 - CUSTOS!$M$39)</f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256.83093089389098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</row>
    <row r="26" spans="1:34" ht="11.25" customHeight="1" x14ac:dyDescent="0.3">
      <c r="A26" s="99"/>
      <c r="B26" s="99"/>
      <c r="C26" s="99"/>
      <c r="D26" s="99"/>
      <c r="E26" s="99"/>
      <c r="F26" s="99"/>
      <c r="G26" s="23" t="s">
        <v>91</v>
      </c>
      <c r="H26" s="23" t="s">
        <v>79</v>
      </c>
      <c r="I26" s="23">
        <f>'MERCADO TE'!$U$23</f>
        <v>0</v>
      </c>
      <c r="J26" s="15"/>
      <c r="L26" s="20">
        <f>('TE BE'!$L$26+'TE BF'!$L$26+'TE CVA'!$L$26)*(1 - CUSTOS!$M$39)</f>
        <v>0</v>
      </c>
      <c r="M26" s="20">
        <f>('TE BE'!$M$26+'TE BF'!$M$26+'TE CVA'!$M$26)*(1 - CUSTOS!$M$39)</f>
        <v>15.144199154123898</v>
      </c>
      <c r="N26" s="20">
        <f>('TE BE'!$N$26+'TE BF'!$N$26+'TE CVA'!$N$26)*(1 - CUSTOS!$M$39)</f>
        <v>0</v>
      </c>
      <c r="O26" s="20">
        <f>('TE BE'!$O$26+'TE BF'!$O$26+'TE CVA'!$O$26)*(1 - CUSTOS!$M$39)</f>
        <v>0</v>
      </c>
      <c r="P26" s="20">
        <f>('TE BE'!$P$26+'TE BF'!$P$26+'TE CVA'!$P$26)*(1 - CUSTOS!$M$39)</f>
        <v>0</v>
      </c>
      <c r="Q26" s="20">
        <f>('TE BE'!$R$26+'TE BF'!$R$26+'TE CVA'!$R$26)*(1 - CUSTOS!$M$39)</f>
        <v>185.80269524191399</v>
      </c>
      <c r="R26" s="20">
        <f>('TE BE'!$T$26+'TE BF'!$T$26+'TE CVA'!$T$26)*(1 - CUSTOS!$M$39)</f>
        <v>0</v>
      </c>
      <c r="S26" s="20">
        <f>('TE BE'!$U$26+'TE BF'!$U$26+'TE CVA'!$U$26)*(1 - CUSTOS!$M$39)</f>
        <v>0</v>
      </c>
      <c r="T26" s="20">
        <f>('TE BE'!$V$26+'TE BF'!$V$26+'TE CVA'!$V$26)*(1 - CUSTOS!$M$39)</f>
        <v>0</v>
      </c>
      <c r="U26" s="20">
        <f>('TE BE'!$X$26+'TE BF'!$X$26+'TE CVA'!$X$26)*(1 - CUSTOS!$M$39)</f>
        <v>0</v>
      </c>
      <c r="V26" s="20">
        <f>('TE BE'!$Z$26+'TE BF'!$Z$26+'TE CVA'!$Z$26)*(1 - CUSTOS!$M$39)</f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256.83093089389098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ht="11.25" customHeight="1" x14ac:dyDescent="0.3">
      <c r="A27" s="99"/>
      <c r="B27" s="99"/>
      <c r="C27" s="99"/>
      <c r="D27" s="99"/>
      <c r="E27" s="99"/>
      <c r="F27" s="99"/>
      <c r="G27" s="23" t="s">
        <v>81</v>
      </c>
      <c r="H27" s="23" t="s">
        <v>79</v>
      </c>
      <c r="I27" s="23">
        <f>'MERCADO TE'!$U$24</f>
        <v>0</v>
      </c>
      <c r="J27" s="15"/>
      <c r="L27" s="20">
        <f>('TE BE'!$L$27+'TE BF'!$L$27+'TE CVA'!$L$27)*(1 - CUSTOS!$M$39)</f>
        <v>0</v>
      </c>
      <c r="M27" s="20">
        <f>('TE BE'!$M$27+'TE BF'!$M$27+'TE CVA'!$M$27)*(1 - CUSTOS!$M$39)</f>
        <v>15.144199154123898</v>
      </c>
      <c r="N27" s="20">
        <f>('TE BE'!$N$27+'TE BF'!$N$27+'TE CVA'!$N$27)*(1 - CUSTOS!$M$39)</f>
        <v>0</v>
      </c>
      <c r="O27" s="20">
        <f>('TE BE'!$O$27+'TE BF'!$O$27+'TE CVA'!$O$27)*(1 - CUSTOS!$M$39)</f>
        <v>0</v>
      </c>
      <c r="P27" s="20">
        <f>('TE BE'!$P$27+'TE BF'!$P$27+'TE CVA'!$P$27)*(1 - CUSTOS!$M$39)</f>
        <v>0</v>
      </c>
      <c r="Q27" s="20">
        <f>('TE BE'!$R$27+'TE BF'!$R$27+'TE CVA'!$R$27)*(1 - CUSTOS!$M$39)</f>
        <v>185.80269524191399</v>
      </c>
      <c r="R27" s="20">
        <f>('TE BE'!$T$27+'TE BF'!$T$27+'TE CVA'!$T$27)*(1 - CUSTOS!$M$39)</f>
        <v>0</v>
      </c>
      <c r="S27" s="20">
        <f>('TE BE'!$U$27+'TE BF'!$U$27+'TE CVA'!$U$27)*(1 - CUSTOS!$M$39)</f>
        <v>0</v>
      </c>
      <c r="T27" s="20">
        <f>('TE BE'!$V$27+'TE BF'!$V$27+'TE CVA'!$V$27)*(1 - CUSTOS!$M$39)</f>
        <v>0</v>
      </c>
      <c r="U27" s="20">
        <f>('TE BE'!$X$27+'TE BF'!$X$27+'TE CVA'!$X$27)*(1 - CUSTOS!$M$39)</f>
        <v>0</v>
      </c>
      <c r="V27" s="20">
        <f>('TE BE'!$Z$27+'TE BF'!$Z$27+'TE CVA'!$Z$27)*(1 - CUSTOS!$M$39)</f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256.83093089389098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4" ht="11.25" customHeight="1" x14ac:dyDescent="0.3">
      <c r="A28" s="99"/>
      <c r="B28" s="22" t="s">
        <v>82</v>
      </c>
      <c r="C28" s="22" t="s">
        <v>41</v>
      </c>
      <c r="D28" s="22" t="s">
        <v>95</v>
      </c>
      <c r="E28" s="22" t="s">
        <v>25</v>
      </c>
      <c r="F28" s="22" t="s">
        <v>25</v>
      </c>
      <c r="G28" s="23" t="s">
        <v>83</v>
      </c>
      <c r="H28" s="23" t="s">
        <v>79</v>
      </c>
      <c r="I28" s="23">
        <f>'MERCADO TE'!$U$25</f>
        <v>0</v>
      </c>
      <c r="J28" s="15"/>
      <c r="L28" s="20">
        <f>('TE BE'!$L$28+'TE BF'!$L$28+'TE CVA'!$L$28)*(1 - CUSTOS!$M$39)</f>
        <v>0</v>
      </c>
      <c r="M28" s="20">
        <f>('TE BE'!$M$28+'TE BF'!$M$28+'TE CVA'!$M$28)*(1 - CUSTOS!$M$39)</f>
        <v>15.144199154123898</v>
      </c>
      <c r="N28" s="20">
        <f>('TE BE'!$N$28+'TE BF'!$N$28+'TE CVA'!$N$28)*(1 - CUSTOS!$M$39)</f>
        <v>0</v>
      </c>
      <c r="O28" s="20">
        <f>('TE BE'!$O$28+'TE BF'!$O$28+'TE CVA'!$O$28)*(1 - CUSTOS!$M$39)</f>
        <v>0</v>
      </c>
      <c r="P28" s="20">
        <f>('TE BE'!$P$28+'TE BF'!$P$28+'TE CVA'!$P$28)*(1 - CUSTOS!$M$39)</f>
        <v>0</v>
      </c>
      <c r="Q28" s="20">
        <f>('TE BE'!$R$28+'TE BF'!$R$28+'TE CVA'!$R$28)*(1 - CUSTOS!$M$39)</f>
        <v>185.80269524191399</v>
      </c>
      <c r="R28" s="20">
        <f>('TE BE'!$T$28+'TE BF'!$T$28+'TE CVA'!$T$28)*(1 - CUSTOS!$M$39)</f>
        <v>0</v>
      </c>
      <c r="S28" s="20">
        <f>('TE BE'!$U$28+'TE BF'!$U$28+'TE CVA'!$U$28)*(1 - CUSTOS!$M$39)</f>
        <v>0</v>
      </c>
      <c r="T28" s="20">
        <f>('TE BE'!$V$28+'TE BF'!$V$28+'TE CVA'!$V$28)*(1 - CUSTOS!$M$39)</f>
        <v>0</v>
      </c>
      <c r="U28" s="20">
        <f>('TE BE'!$X$28+'TE BF'!$X$28+'TE CVA'!$X$28)*(1 - CUSTOS!$M$39)</f>
        <v>0</v>
      </c>
      <c r="V28" s="20">
        <f>('TE BE'!$Z$28+'TE BF'!$Z$28+'TE CVA'!$Z$28)*(1 - CUSTOS!$M$39)</f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256.83093089389098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ht="11.25" customHeight="1" x14ac:dyDescent="0.3">
      <c r="A29" s="99"/>
      <c r="B29" s="99" t="s">
        <v>78</v>
      </c>
      <c r="C29" s="99" t="s">
        <v>41</v>
      </c>
      <c r="D29" s="99" t="s">
        <v>96</v>
      </c>
      <c r="E29" s="99" t="s">
        <v>25</v>
      </c>
      <c r="F29" s="99" t="s">
        <v>25</v>
      </c>
      <c r="G29" s="23" t="s">
        <v>80</v>
      </c>
      <c r="H29" s="23" t="s">
        <v>79</v>
      </c>
      <c r="I29" s="23">
        <f>'MERCADO TE'!$U$26</f>
        <v>0</v>
      </c>
      <c r="J29" s="15"/>
      <c r="L29" s="20">
        <f>('TE BE'!$L$29+'TE BF'!$L$29+'TE CVA'!$L$29)*(1 - CUSTOS!$M$40)</f>
        <v>0</v>
      </c>
      <c r="M29" s="20">
        <f>('TE BE'!$M$29+'TE BF'!$M$29+'TE CVA'!$M$29)*(1 - CUSTOS!$M$40)</f>
        <v>14.821982150844667</v>
      </c>
      <c r="N29" s="20">
        <f>('TE BE'!$N$29+'TE BF'!$N$29+'TE CVA'!$N$29)*(1 - CUSTOS!$M$40)</f>
        <v>0</v>
      </c>
      <c r="O29" s="20">
        <f>('TE BE'!$O$29+'TE BF'!$O$29+'TE CVA'!$O$29)*(1 - CUSTOS!$M$40)</f>
        <v>0</v>
      </c>
      <c r="P29" s="20">
        <f>('TE BE'!$P$29+'TE BF'!$P$29+'TE CVA'!$P$29)*(1 - CUSTOS!$M$40)</f>
        <v>0</v>
      </c>
      <c r="Q29" s="20">
        <f>('TE BE'!$R$29+'TE BF'!$R$29+'TE CVA'!$R$29)*(1 - CUSTOS!$M$40)</f>
        <v>181.84944640697969</v>
      </c>
      <c r="R29" s="20">
        <f>('TE BE'!$T$29+'TE BF'!$T$29+'TE CVA'!$T$29)*(1 - CUSTOS!$M$40)</f>
        <v>0</v>
      </c>
      <c r="S29" s="20">
        <f>('TE BE'!$U$29+'TE BF'!$U$29+'TE CVA'!$U$29)*(1 - CUSTOS!$M$40)</f>
        <v>0</v>
      </c>
      <c r="T29" s="20">
        <f>('TE BE'!$V$29+'TE BF'!$V$29+'TE CVA'!$V$29)*(1 - CUSTOS!$M$40)</f>
        <v>0</v>
      </c>
      <c r="U29" s="20">
        <f>('TE BE'!$X$29+'TE BF'!$X$29+'TE CVA'!$X$29)*(1 - CUSTOS!$M$40)</f>
        <v>0</v>
      </c>
      <c r="V29" s="20">
        <f>('TE BE'!$Z$29+'TE BF'!$Z$29+'TE CVA'!$Z$29)*(1 - CUSTOS!$M$40)</f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245.15679767144101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4" ht="11.25" customHeight="1" x14ac:dyDescent="0.3">
      <c r="A30" s="99"/>
      <c r="B30" s="99"/>
      <c r="C30" s="99"/>
      <c r="D30" s="99"/>
      <c r="E30" s="99"/>
      <c r="F30" s="99"/>
      <c r="G30" s="23" t="s">
        <v>91</v>
      </c>
      <c r="H30" s="23" t="s">
        <v>79</v>
      </c>
      <c r="I30" s="23">
        <f>'MERCADO TE'!$U$27</f>
        <v>0</v>
      </c>
      <c r="J30" s="15"/>
      <c r="L30" s="20">
        <f>('TE BE'!$L$30+'TE BF'!$L$30+'TE CVA'!$L$30)*(1 - CUSTOS!$M$40)</f>
        <v>0</v>
      </c>
      <c r="M30" s="20">
        <f>('TE BE'!$M$30+'TE BF'!$M$30+'TE CVA'!$M$30)*(1 - CUSTOS!$M$40)</f>
        <v>14.821982150844667</v>
      </c>
      <c r="N30" s="20">
        <f>('TE BE'!$N$30+'TE BF'!$N$30+'TE CVA'!$N$30)*(1 - CUSTOS!$M$40)</f>
        <v>0</v>
      </c>
      <c r="O30" s="20">
        <f>('TE BE'!$O$30+'TE BF'!$O$30+'TE CVA'!$O$30)*(1 - CUSTOS!$M$40)</f>
        <v>0</v>
      </c>
      <c r="P30" s="20">
        <f>('TE BE'!$P$30+'TE BF'!$P$30+'TE CVA'!$P$30)*(1 - CUSTOS!$M$40)</f>
        <v>0</v>
      </c>
      <c r="Q30" s="20">
        <f>('TE BE'!$R$30+'TE BF'!$R$30+'TE CVA'!$R$30)*(1 - CUSTOS!$M$40)</f>
        <v>181.84944640697969</v>
      </c>
      <c r="R30" s="20">
        <f>('TE BE'!$T$30+'TE BF'!$T$30+'TE CVA'!$T$30)*(1 - CUSTOS!$M$40)</f>
        <v>0</v>
      </c>
      <c r="S30" s="20">
        <f>('TE BE'!$U$30+'TE BF'!$U$30+'TE CVA'!$U$30)*(1 - CUSTOS!$M$40)</f>
        <v>0</v>
      </c>
      <c r="T30" s="20">
        <f>('TE BE'!$V$30+'TE BF'!$V$30+'TE CVA'!$V$30)*(1 - CUSTOS!$M$40)</f>
        <v>0</v>
      </c>
      <c r="U30" s="20">
        <f>('TE BE'!$X$30+'TE BF'!$X$30+'TE CVA'!$X$30)*(1 - CUSTOS!$M$40)</f>
        <v>0</v>
      </c>
      <c r="V30" s="20">
        <f>('TE BE'!$Z$30+'TE BF'!$Z$30+'TE CVA'!$Z$30)*(1 - CUSTOS!$M$40)</f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245.15679767144101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ht="11.25" customHeight="1" x14ac:dyDescent="0.3">
      <c r="A31" s="99"/>
      <c r="B31" s="99"/>
      <c r="C31" s="99"/>
      <c r="D31" s="99"/>
      <c r="E31" s="99"/>
      <c r="F31" s="99"/>
      <c r="G31" s="23" t="s">
        <v>81</v>
      </c>
      <c r="H31" s="23" t="s">
        <v>79</v>
      </c>
      <c r="I31" s="23">
        <f>'MERCADO TE'!$U$28</f>
        <v>0</v>
      </c>
      <c r="J31" s="15"/>
      <c r="L31" s="20">
        <f>('TE BE'!$L$31+'TE BF'!$L$31+'TE CVA'!$L$31)*(1 - CUSTOS!$M$40)</f>
        <v>0</v>
      </c>
      <c r="M31" s="20">
        <f>('TE BE'!$M$31+'TE BF'!$M$31+'TE CVA'!$M$31)*(1 - CUSTOS!$M$40)</f>
        <v>14.821982150844667</v>
      </c>
      <c r="N31" s="20">
        <f>('TE BE'!$N$31+'TE BF'!$N$31+'TE CVA'!$N$31)*(1 - CUSTOS!$M$40)</f>
        <v>0</v>
      </c>
      <c r="O31" s="20">
        <f>('TE BE'!$O$31+'TE BF'!$O$31+'TE CVA'!$O$31)*(1 - CUSTOS!$M$40)</f>
        <v>0</v>
      </c>
      <c r="P31" s="20">
        <f>('TE BE'!$P$31+'TE BF'!$P$31+'TE CVA'!$P$31)*(1 - CUSTOS!$M$40)</f>
        <v>0</v>
      </c>
      <c r="Q31" s="20">
        <f>('TE BE'!$R$31+'TE BF'!$R$31+'TE CVA'!$R$31)*(1 - CUSTOS!$M$40)</f>
        <v>181.84944640697969</v>
      </c>
      <c r="R31" s="20">
        <f>('TE BE'!$T$31+'TE BF'!$T$31+'TE CVA'!$T$31)*(1 - CUSTOS!$M$40)</f>
        <v>0</v>
      </c>
      <c r="S31" s="20">
        <f>('TE BE'!$U$31+'TE BF'!$U$31+'TE CVA'!$U$31)*(1 - CUSTOS!$M$40)</f>
        <v>0</v>
      </c>
      <c r="T31" s="20">
        <f>('TE BE'!$V$31+'TE BF'!$V$31+'TE CVA'!$V$31)*(1 - CUSTOS!$M$40)</f>
        <v>0</v>
      </c>
      <c r="U31" s="20">
        <f>('TE BE'!$X$31+'TE BF'!$X$31+'TE CVA'!$X$31)*(1 - CUSTOS!$M$40)</f>
        <v>0</v>
      </c>
      <c r="V31" s="20">
        <f>('TE BE'!$Z$31+'TE BF'!$Z$31+'TE CVA'!$Z$31)*(1 - CUSTOS!$M$40)</f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245.15679767144101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4" ht="11.25" customHeight="1" x14ac:dyDescent="0.3">
      <c r="A32" s="99"/>
      <c r="B32" s="22" t="s">
        <v>82</v>
      </c>
      <c r="C32" s="22" t="s">
        <v>41</v>
      </c>
      <c r="D32" s="22" t="s">
        <v>96</v>
      </c>
      <c r="E32" s="22" t="s">
        <v>25</v>
      </c>
      <c r="F32" s="22" t="s">
        <v>25</v>
      </c>
      <c r="G32" s="23" t="s">
        <v>83</v>
      </c>
      <c r="H32" s="23" t="s">
        <v>79</v>
      </c>
      <c r="I32" s="23">
        <f>'MERCADO TE'!$U$29</f>
        <v>0</v>
      </c>
      <c r="J32" s="15"/>
      <c r="L32" s="20">
        <f>('TE BE'!$L$32+'TE BF'!$L$32+'TE CVA'!$L$32)*(1 - CUSTOS!$M$40)</f>
        <v>0</v>
      </c>
      <c r="M32" s="20">
        <f>('TE BE'!$M$32+'TE BF'!$M$32+'TE CVA'!$M$32)*(1 - CUSTOS!$M$40)</f>
        <v>14.821982150844667</v>
      </c>
      <c r="N32" s="20">
        <f>('TE BE'!$N$32+'TE BF'!$N$32+'TE CVA'!$N$32)*(1 - CUSTOS!$M$40)</f>
        <v>0</v>
      </c>
      <c r="O32" s="20">
        <f>('TE BE'!$O$32+'TE BF'!$O$32+'TE CVA'!$O$32)*(1 - CUSTOS!$M$40)</f>
        <v>0</v>
      </c>
      <c r="P32" s="20">
        <f>('TE BE'!$P$32+'TE BF'!$P$32+'TE CVA'!$P$32)*(1 - CUSTOS!$M$40)</f>
        <v>0</v>
      </c>
      <c r="Q32" s="20">
        <f>('TE BE'!$R$32+'TE BF'!$R$32+'TE CVA'!$R$32)*(1 - CUSTOS!$M$40)</f>
        <v>181.84944640697969</v>
      </c>
      <c r="R32" s="20">
        <f>('TE BE'!$T$32+'TE BF'!$T$32+'TE CVA'!$T$32)*(1 - CUSTOS!$M$40)</f>
        <v>0</v>
      </c>
      <c r="S32" s="20">
        <f>('TE BE'!$U$32+'TE BF'!$U$32+'TE CVA'!$U$32)*(1 - CUSTOS!$M$40)</f>
        <v>0</v>
      </c>
      <c r="T32" s="20">
        <f>('TE BE'!$V$32+'TE BF'!$V$32+'TE CVA'!$V$32)*(1 - CUSTOS!$M$40)</f>
        <v>0</v>
      </c>
      <c r="U32" s="20">
        <f>('TE BE'!$X$32+'TE BF'!$X$32+'TE CVA'!$X$32)*(1 - CUSTOS!$M$40)</f>
        <v>0</v>
      </c>
      <c r="V32" s="20">
        <f>('TE BE'!$Z$32+'TE BF'!$Z$32+'TE CVA'!$Z$32)*(1 - CUSTOS!$M$40)</f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245.15679767144101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ht="11.25" customHeight="1" x14ac:dyDescent="0.3">
      <c r="A33" s="99"/>
      <c r="B33" s="99" t="s">
        <v>93</v>
      </c>
      <c r="C33" s="99" t="s">
        <v>41</v>
      </c>
      <c r="D33" s="22" t="s">
        <v>25</v>
      </c>
      <c r="E33" s="22" t="s">
        <v>25</v>
      </c>
      <c r="F33" s="22" t="s">
        <v>25</v>
      </c>
      <c r="G33" s="23" t="s">
        <v>83</v>
      </c>
      <c r="H33" s="23" t="s">
        <v>79</v>
      </c>
      <c r="I33" s="23">
        <f>'MERCADO TE'!$U$30</f>
        <v>0</v>
      </c>
      <c r="J33" s="15"/>
      <c r="L33" s="20">
        <f>('TE BE'!$L$33+'TE BF'!$L$33+'TE CVA'!$L$33)*(1 - CUSTOS!$M$38)</f>
        <v>0</v>
      </c>
      <c r="M33" s="20">
        <f>('TE BE'!$M$33+'TE BF'!$M$33+'TE CVA'!$M$33)*(1 - CUSTOS!$M$38)</f>
        <v>15.144199154123898</v>
      </c>
      <c r="N33" s="20">
        <f>('TE BE'!$N$33+'TE BF'!$N$33+'TE CVA'!$N$33)*(1 - CUSTOS!$M$38)</f>
        <v>0</v>
      </c>
      <c r="O33" s="20">
        <f>('TE BE'!$O$33+'TE BF'!$O$33+'TE CVA'!$O$33)*(1 - CUSTOS!$M$38)</f>
        <v>0</v>
      </c>
      <c r="P33" s="20">
        <f>('TE BE'!$P$33+'TE BF'!$P$33+'TE CVA'!$P$33)*(1 - CUSTOS!$M$38)</f>
        <v>0</v>
      </c>
      <c r="Q33" s="20">
        <f>('TE BE'!$R$33+'TE BF'!$R$33+'TE CVA'!$R$33)*(1 - CUSTOS!$M$38)</f>
        <v>185.80269524191399</v>
      </c>
      <c r="R33" s="20">
        <f>('TE BE'!$T$33+'TE BF'!$T$33+'TE CVA'!$T$33)*(1 - CUSTOS!$M$38)</f>
        <v>0</v>
      </c>
      <c r="S33" s="20">
        <f>('TE BE'!$U$33+'TE BF'!$U$33+'TE CVA'!$U$33)*(1 - CUSTOS!$M$38)</f>
        <v>0</v>
      </c>
      <c r="T33" s="20">
        <f>('TE BE'!$V$33+'TE BF'!$V$33+'TE CVA'!$V$33)*(1 - CUSTOS!$M$38)</f>
        <v>0</v>
      </c>
      <c r="U33" s="20">
        <f>('TE BE'!$X$33+'TE BF'!$X$33+'TE CVA'!$X$33)*(1 - CUSTOS!$M$38)</f>
        <v>0</v>
      </c>
      <c r="V33" s="20">
        <f>('TE BE'!$Z$33+'TE BF'!$Z$33+'TE CVA'!$Z$33)*(1 - CUSTOS!$M$38)</f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256.83093089389098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</row>
    <row r="34" spans="1:34" ht="11.25" customHeight="1" x14ac:dyDescent="0.3">
      <c r="A34" s="99"/>
      <c r="B34" s="99"/>
      <c r="C34" s="99"/>
      <c r="D34" s="22" t="s">
        <v>95</v>
      </c>
      <c r="E34" s="22" t="s">
        <v>25</v>
      </c>
      <c r="F34" s="22" t="s">
        <v>25</v>
      </c>
      <c r="G34" s="23" t="s">
        <v>83</v>
      </c>
      <c r="H34" s="23" t="s">
        <v>79</v>
      </c>
      <c r="I34" s="23">
        <f>'MERCADO TE'!$U$31</f>
        <v>0</v>
      </c>
      <c r="J34" s="15"/>
      <c r="L34" s="20">
        <f>('TE BE'!$L$34+'TE BF'!$L$34+'TE CVA'!$L$34)*(1 - CUSTOS!$M$39)</f>
        <v>0</v>
      </c>
      <c r="M34" s="20">
        <f>('TE BE'!$M$34+'TE BF'!$M$34+'TE CVA'!$M$34)*(1 - CUSTOS!$M$39)</f>
        <v>15.144199154123898</v>
      </c>
      <c r="N34" s="20">
        <f>('TE BE'!$N$34+'TE BF'!$N$34+'TE CVA'!$N$34)*(1 - CUSTOS!$M$39)</f>
        <v>0</v>
      </c>
      <c r="O34" s="20">
        <f>('TE BE'!$O$34+'TE BF'!$O$34+'TE CVA'!$O$34)*(1 - CUSTOS!$M$39)</f>
        <v>0</v>
      </c>
      <c r="P34" s="20">
        <f>('TE BE'!$P$34+'TE BF'!$P$34+'TE CVA'!$P$34)*(1 - CUSTOS!$M$39)</f>
        <v>0</v>
      </c>
      <c r="Q34" s="20">
        <f>('TE BE'!$R$34+'TE BF'!$R$34+'TE CVA'!$R$34)*(1 - CUSTOS!$M$39)</f>
        <v>185.80269524191399</v>
      </c>
      <c r="R34" s="20">
        <f>('TE BE'!$T$34+'TE BF'!$T$34+'TE CVA'!$T$34)*(1 - CUSTOS!$M$39)</f>
        <v>0</v>
      </c>
      <c r="S34" s="20">
        <f>('TE BE'!$U$34+'TE BF'!$U$34+'TE CVA'!$U$34)*(1 - CUSTOS!$M$39)</f>
        <v>0</v>
      </c>
      <c r="T34" s="20">
        <f>('TE BE'!$V$34+'TE BF'!$V$34+'TE CVA'!$V$34)*(1 - CUSTOS!$M$39)</f>
        <v>0</v>
      </c>
      <c r="U34" s="20">
        <f>('TE BE'!$X$34+'TE BF'!$X$34+'TE CVA'!$X$34)*(1 - CUSTOS!$M$39)</f>
        <v>0</v>
      </c>
      <c r="V34" s="20">
        <f>('TE BE'!$Z$34+'TE BF'!$Z$34+'TE CVA'!$Z$34)*(1 - CUSTOS!$M$39)</f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256.83093089389098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ht="11.25" customHeight="1" x14ac:dyDescent="0.3">
      <c r="A35" s="99"/>
      <c r="B35" s="99"/>
      <c r="C35" s="99"/>
      <c r="D35" s="22" t="s">
        <v>96</v>
      </c>
      <c r="E35" s="22" t="s">
        <v>25</v>
      </c>
      <c r="F35" s="22" t="s">
        <v>25</v>
      </c>
      <c r="G35" s="23" t="s">
        <v>83</v>
      </c>
      <c r="H35" s="23" t="s">
        <v>79</v>
      </c>
      <c r="I35" s="23">
        <f>'MERCADO TE'!$U$32</f>
        <v>0</v>
      </c>
      <c r="J35" s="15"/>
      <c r="L35" s="20">
        <f>('TE BE'!$L$35+'TE BF'!$L$35+'TE CVA'!$L$35)*(1 - CUSTOS!$M$40)</f>
        <v>0</v>
      </c>
      <c r="M35" s="20">
        <f>('TE BE'!$M$35+'TE BF'!$M$35+'TE CVA'!$M$35)*(1 - CUSTOS!$M$40)</f>
        <v>14.821982150844667</v>
      </c>
      <c r="N35" s="20">
        <f>('TE BE'!$N$35+'TE BF'!$N$35+'TE CVA'!$N$35)*(1 - CUSTOS!$M$40)</f>
        <v>0</v>
      </c>
      <c r="O35" s="20">
        <f>('TE BE'!$O$35+'TE BF'!$O$35+'TE CVA'!$O$35)*(1 - CUSTOS!$M$40)</f>
        <v>0</v>
      </c>
      <c r="P35" s="20">
        <f>('TE BE'!$P$35+'TE BF'!$P$35+'TE CVA'!$P$35)*(1 - CUSTOS!$M$40)</f>
        <v>0</v>
      </c>
      <c r="Q35" s="20">
        <f>('TE BE'!$R$35+'TE BF'!$R$35+'TE CVA'!$R$35)*(1 - CUSTOS!$M$40)</f>
        <v>181.84944640697969</v>
      </c>
      <c r="R35" s="20">
        <f>('TE BE'!$T$35+'TE BF'!$T$35+'TE CVA'!$T$35)*(1 - CUSTOS!$M$40)</f>
        <v>0</v>
      </c>
      <c r="S35" s="20">
        <f>('TE BE'!$U$35+'TE BF'!$U$35+'TE CVA'!$U$35)*(1 - CUSTOS!$M$40)</f>
        <v>0</v>
      </c>
      <c r="T35" s="20">
        <f>('TE BE'!$V$35+'TE BF'!$V$35+'TE CVA'!$V$35)*(1 - CUSTOS!$M$40)</f>
        <v>0</v>
      </c>
      <c r="U35" s="20">
        <f>('TE BE'!$X$35+'TE BF'!$X$35+'TE CVA'!$X$35)*(1 - CUSTOS!$M$40)</f>
        <v>0</v>
      </c>
      <c r="V35" s="20">
        <f>('TE BE'!$Z$35+'TE BF'!$Z$35+'TE CVA'!$Z$35)*(1 - CUSTOS!$M$40)</f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245.15679767144101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</row>
    <row r="36" spans="1:34" ht="11.25" customHeight="1" x14ac:dyDescent="0.3">
      <c r="A36" s="99" t="s">
        <v>32</v>
      </c>
      <c r="B36" s="99" t="s">
        <v>78</v>
      </c>
      <c r="C36" s="99" t="s">
        <v>25</v>
      </c>
      <c r="D36" s="99" t="s">
        <v>25</v>
      </c>
      <c r="E36" s="99" t="s">
        <v>25</v>
      </c>
      <c r="F36" s="99" t="s">
        <v>25</v>
      </c>
      <c r="G36" s="23" t="s">
        <v>80</v>
      </c>
      <c r="H36" s="23" t="s">
        <v>79</v>
      </c>
      <c r="I36" s="23">
        <f>'MERCADO TE'!$U$33</f>
        <v>0</v>
      </c>
      <c r="J36" s="15"/>
      <c r="L36" s="20">
        <f>('TE BE'!$L$36+'TE BF'!$L$36+'TE CVA'!$L$36)*1</f>
        <v>0</v>
      </c>
      <c r="M36" s="20">
        <f>('TE BE'!$M$36+'TE BF'!$M$36+'TE CVA'!$M$36)*1</f>
        <v>16.110850163961594</v>
      </c>
      <c r="N36" s="20">
        <f>('TE BE'!$N$36+'TE BF'!$N$36+'TE CVA'!$N$36)*1</f>
        <v>0</v>
      </c>
      <c r="O36" s="20">
        <f>('TE BE'!$O$36+'TE BF'!$O$36+'TE CVA'!$O$36)*1</f>
        <v>0</v>
      </c>
      <c r="P36" s="20">
        <f>('TE BE'!$P$36+'TE BF'!$P$36+'TE CVA'!$P$36)*1</f>
        <v>0</v>
      </c>
      <c r="Q36" s="20">
        <f>('TE BE'!$R$36+'TE BF'!$R$36+'TE CVA'!$R$36)*1</f>
        <v>197.66244174671704</v>
      </c>
      <c r="R36" s="20">
        <f>('TE BE'!$T$36+'TE BF'!$T$36+'TE CVA'!$T$36)*1</f>
        <v>0</v>
      </c>
      <c r="S36" s="20">
        <f>('TE BE'!$U$36+'TE BF'!$U$36+'TE CVA'!$U$36)*1</f>
        <v>0</v>
      </c>
      <c r="T36" s="20">
        <f>('TE BE'!$V$36+'TE BF'!$V$36+'TE CVA'!$V$36)*1</f>
        <v>0</v>
      </c>
      <c r="U36" s="20">
        <f>('TE BE'!$X$36+'TE BF'!$X$36+'TE CVA'!$X$36)*1</f>
        <v>0</v>
      </c>
      <c r="V36" s="20">
        <f>('TE BE'!$Z$36+'TE BF'!$Z$36+'TE CVA'!$Z$36)*1</f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291.85333056123898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ht="11.25" customHeight="1" x14ac:dyDescent="0.3">
      <c r="A37" s="99"/>
      <c r="B37" s="99"/>
      <c r="C37" s="99"/>
      <c r="D37" s="99"/>
      <c r="E37" s="99"/>
      <c r="F37" s="99"/>
      <c r="G37" s="23" t="s">
        <v>91</v>
      </c>
      <c r="H37" s="23" t="s">
        <v>79</v>
      </c>
      <c r="I37" s="23">
        <f>'MERCADO TE'!$U$34</f>
        <v>0</v>
      </c>
      <c r="J37" s="15"/>
      <c r="L37" s="20">
        <f>('TE BE'!$L$37+'TE BF'!$L$37+'TE CVA'!$L$37)*1</f>
        <v>0</v>
      </c>
      <c r="M37" s="20">
        <f>('TE BE'!$M$37+'TE BF'!$M$37+'TE CVA'!$M$37)*1</f>
        <v>16.110850163961594</v>
      </c>
      <c r="N37" s="20">
        <f>('TE BE'!$N$37+'TE BF'!$N$37+'TE CVA'!$N$37)*1</f>
        <v>0</v>
      </c>
      <c r="O37" s="20">
        <f>('TE BE'!$O$37+'TE BF'!$O$37+'TE CVA'!$O$37)*1</f>
        <v>0</v>
      </c>
      <c r="P37" s="20">
        <f>('TE BE'!$P$37+'TE BF'!$P$37+'TE CVA'!$P$37)*1</f>
        <v>0</v>
      </c>
      <c r="Q37" s="20">
        <f>('TE BE'!$R$37+'TE BF'!$R$37+'TE CVA'!$R$37)*1</f>
        <v>197.66244174671704</v>
      </c>
      <c r="R37" s="20">
        <f>('TE BE'!$T$37+'TE BF'!$T$37+'TE CVA'!$T$37)*1</f>
        <v>0</v>
      </c>
      <c r="S37" s="20">
        <f>('TE BE'!$U$37+'TE BF'!$U$37+'TE CVA'!$U$37)*1</f>
        <v>0</v>
      </c>
      <c r="T37" s="20">
        <f>('TE BE'!$V$37+'TE BF'!$V$37+'TE CVA'!$V$37)*1</f>
        <v>0</v>
      </c>
      <c r="U37" s="20">
        <f>('TE BE'!$X$37+'TE BF'!$X$37+'TE CVA'!$X$37)*1</f>
        <v>0</v>
      </c>
      <c r="V37" s="20">
        <f>('TE BE'!$Z$37+'TE BF'!$Z$37+'TE CVA'!$Z$37)*1</f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291.85333056123898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</row>
    <row r="38" spans="1:34" ht="11.25" customHeight="1" x14ac:dyDescent="0.3">
      <c r="A38" s="99"/>
      <c r="B38" s="99"/>
      <c r="C38" s="99"/>
      <c r="D38" s="99"/>
      <c r="E38" s="99"/>
      <c r="F38" s="99"/>
      <c r="G38" s="23" t="s">
        <v>81</v>
      </c>
      <c r="H38" s="23" t="s">
        <v>79</v>
      </c>
      <c r="I38" s="23">
        <f>'MERCADO TE'!$U$35</f>
        <v>0</v>
      </c>
      <c r="J38" s="15"/>
      <c r="L38" s="20">
        <f>('TE BE'!$L$38+'TE BF'!$L$38+'TE CVA'!$L$38)*1</f>
        <v>0</v>
      </c>
      <c r="M38" s="20">
        <f>('TE BE'!$M$38+'TE BF'!$M$38+'TE CVA'!$M$38)*1</f>
        <v>16.110850163961594</v>
      </c>
      <c r="N38" s="20">
        <f>('TE BE'!$N$38+'TE BF'!$N$38+'TE CVA'!$N$38)*1</f>
        <v>0</v>
      </c>
      <c r="O38" s="20">
        <f>('TE BE'!$O$38+'TE BF'!$O$38+'TE CVA'!$O$38)*1</f>
        <v>0</v>
      </c>
      <c r="P38" s="20">
        <f>('TE BE'!$P$38+'TE BF'!$P$38+'TE CVA'!$P$38)*1</f>
        <v>0</v>
      </c>
      <c r="Q38" s="20">
        <f>('TE BE'!$R$38+'TE BF'!$R$38+'TE CVA'!$R$38)*1</f>
        <v>197.66244174671704</v>
      </c>
      <c r="R38" s="20">
        <f>('TE BE'!$T$38+'TE BF'!$T$38+'TE CVA'!$T$38)*1</f>
        <v>0</v>
      </c>
      <c r="S38" s="20">
        <f>('TE BE'!$U$38+'TE BF'!$U$38+'TE CVA'!$U$38)*1</f>
        <v>0</v>
      </c>
      <c r="T38" s="20">
        <f>('TE BE'!$V$38+'TE BF'!$V$38+'TE CVA'!$V$38)*1</f>
        <v>0</v>
      </c>
      <c r="U38" s="20">
        <f>('TE BE'!$X$38+'TE BF'!$X$38+'TE CVA'!$X$38)*1</f>
        <v>0</v>
      </c>
      <c r="V38" s="20">
        <f>('TE BE'!$Z$38+'TE BF'!$Z$38+'TE CVA'!$Z$38)*1</f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291.85333056123898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ht="11.25" customHeight="1" x14ac:dyDescent="0.3">
      <c r="A39" s="99"/>
      <c r="B39" s="22" t="s">
        <v>82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83</v>
      </c>
      <c r="H39" s="23" t="s">
        <v>79</v>
      </c>
      <c r="I39" s="23">
        <f>'MERCADO TE'!$U$36</f>
        <v>7750.1880000000001</v>
      </c>
      <c r="J39" s="15"/>
      <c r="L39" s="20">
        <f>('TE BE'!$L$39+'TE BF'!$L$39+'TE CVA'!$L$39)*1</f>
        <v>0</v>
      </c>
      <c r="M39" s="20">
        <f>('TE BE'!$M$39+'TE BF'!$M$39+'TE CVA'!$M$39)*1</f>
        <v>16.110850163961594</v>
      </c>
      <c r="N39" s="20">
        <f>('TE BE'!$N$39+'TE BF'!$N$39+'TE CVA'!$N$39)*1</f>
        <v>0</v>
      </c>
      <c r="O39" s="20">
        <f>('TE BE'!$O$39+'TE BF'!$O$39+'TE CVA'!$O$39)*1</f>
        <v>0</v>
      </c>
      <c r="P39" s="20">
        <f>('TE BE'!$P$39+'TE BF'!$P$39+'TE CVA'!$P$39)*1</f>
        <v>0</v>
      </c>
      <c r="Q39" s="20">
        <f>('TE BE'!$R$39+'TE BF'!$R$39+'TE CVA'!$R$39)*1</f>
        <v>197.66244174671704</v>
      </c>
      <c r="R39" s="20">
        <f>('TE BE'!$T$39+'TE BF'!$T$39+'TE CVA'!$T$39)*1</f>
        <v>0</v>
      </c>
      <c r="S39" s="20">
        <f>('TE BE'!$U$39+'TE BF'!$U$39+'TE CVA'!$U$39)*1</f>
        <v>0</v>
      </c>
      <c r="T39" s="20">
        <f>('TE BE'!$V$39+'TE BF'!$V$39+'TE CVA'!$V$39)*1</f>
        <v>0</v>
      </c>
      <c r="U39" s="20">
        <f>('TE BE'!$X$39+'TE BF'!$X$39+'TE CVA'!$X$39)*1</f>
        <v>0</v>
      </c>
      <c r="V39" s="20">
        <f>('TE BE'!$Z$39+'TE BF'!$Z$39+'TE CVA'!$Z$39)*1</f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291.85333056123898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</row>
    <row r="40" spans="1:34" ht="11.25" customHeight="1" x14ac:dyDescent="0.3">
      <c r="A40" s="99"/>
      <c r="B40" s="22" t="s">
        <v>93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83</v>
      </c>
      <c r="H40" s="23" t="s">
        <v>79</v>
      </c>
      <c r="I40" s="23">
        <f>'MERCADO TE'!$U$37</f>
        <v>0</v>
      </c>
      <c r="J40" s="15"/>
      <c r="L40" s="20">
        <f>('TE BE'!$L$40+'TE BF'!$L$40+'TE CVA'!$L$40)*1</f>
        <v>0</v>
      </c>
      <c r="M40" s="20">
        <f>('TE BE'!$M$40+'TE BF'!$M$40+'TE CVA'!$M$40)*1</f>
        <v>16.110850163961594</v>
      </c>
      <c r="N40" s="20">
        <f>('TE BE'!$N$40+'TE BF'!$N$40+'TE CVA'!$N$40)*1</f>
        <v>0</v>
      </c>
      <c r="O40" s="20">
        <f>('TE BE'!$O$40+'TE BF'!$O$40+'TE CVA'!$O$40)*1</f>
        <v>0</v>
      </c>
      <c r="P40" s="20">
        <f>('TE BE'!$P$40+'TE BF'!$P$40+'TE CVA'!$P$40)*1</f>
        <v>0</v>
      </c>
      <c r="Q40" s="20">
        <f>('TE BE'!$R$40+'TE BF'!$R$40+'TE CVA'!$R$40)*1</f>
        <v>197.66244174671704</v>
      </c>
      <c r="R40" s="20">
        <f>('TE BE'!$T$40+'TE BF'!$T$40+'TE CVA'!$T$40)*1</f>
        <v>0</v>
      </c>
      <c r="S40" s="20">
        <f>('TE BE'!$U$40+'TE BF'!$U$40+'TE CVA'!$U$40)*1</f>
        <v>0</v>
      </c>
      <c r="T40" s="20">
        <f>('TE BE'!$V$40+'TE BF'!$V$40+'TE CVA'!$V$40)*1</f>
        <v>0</v>
      </c>
      <c r="U40" s="20">
        <f>('TE BE'!$X$40+'TE BF'!$X$40+'TE CVA'!$X$40)*1</f>
        <v>0</v>
      </c>
      <c r="V40" s="20">
        <f>('TE BE'!$Z$40+'TE BF'!$Z$40+'TE CVA'!$Z$40)*1</f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291.85333056123898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ht="11.25" customHeight="1" x14ac:dyDescent="0.3">
      <c r="A41" s="99" t="s">
        <v>43</v>
      </c>
      <c r="B41" s="99" t="s">
        <v>82</v>
      </c>
      <c r="C41" s="99" t="s">
        <v>44</v>
      </c>
      <c r="D41" s="22" t="s">
        <v>97</v>
      </c>
      <c r="E41" s="22" t="s">
        <v>25</v>
      </c>
      <c r="F41" s="22" t="s">
        <v>25</v>
      </c>
      <c r="G41" s="23" t="s">
        <v>83</v>
      </c>
      <c r="H41" s="23" t="s">
        <v>79</v>
      </c>
      <c r="I41" s="23">
        <f>'MERCADO TE'!$U$38</f>
        <v>0</v>
      </c>
      <c r="J41" s="15"/>
      <c r="L41" s="20">
        <f>('TE BE'!$L$41+'TE BF'!$L$41+'TE CVA'!$L$41)*1</f>
        <v>0</v>
      </c>
      <c r="M41" s="20">
        <f>('TE BE'!$M$41+'TE BF'!$M$41+'TE CVA'!$M$41)*1</f>
        <v>8.8609675901788769</v>
      </c>
      <c r="N41" s="20">
        <f>('TE BE'!$N$41+'TE BF'!$N$41+'TE CVA'!$N$41)*1</f>
        <v>0</v>
      </c>
      <c r="O41" s="20">
        <f>('TE BE'!$O$41+'TE BF'!$O$41+'TE CVA'!$O$41)*1</f>
        <v>0</v>
      </c>
      <c r="P41" s="20">
        <f>('TE BE'!$P$41+'TE BF'!$P$41+'TE CVA'!$P$41)*1</f>
        <v>0</v>
      </c>
      <c r="Q41" s="20">
        <f>('TE BE'!$R$41+'TE BF'!$R$41+'TE CVA'!$R$41)*1</f>
        <v>108.71434296069438</v>
      </c>
      <c r="R41" s="20">
        <f>('TE BE'!$T$41+'TE BF'!$T$41+'TE CVA'!$T$41)*1</f>
        <v>0</v>
      </c>
      <c r="S41" s="20">
        <f>('TE BE'!$U$41+'TE BF'!$U$41+'TE CVA'!$U$41)*1</f>
        <v>0</v>
      </c>
      <c r="T41" s="20">
        <f>('TE BE'!$V$41+'TE BF'!$V$41+'TE CVA'!$V$41)*1</f>
        <v>0</v>
      </c>
      <c r="U41" s="20">
        <f>('TE BE'!$X$41+'TE BF'!$X$41+'TE CVA'!$X$41)*1</f>
        <v>0</v>
      </c>
      <c r="V41" s="20">
        <f>('TE BE'!$Z$41+'TE BF'!$Z$41+'TE CVA'!$Z$41)*1</f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160.51933180868201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</row>
    <row r="42" spans="1:34" ht="11.25" customHeight="1" x14ac:dyDescent="0.3">
      <c r="A42" s="99"/>
      <c r="B42" s="99"/>
      <c r="C42" s="99"/>
      <c r="D42" s="23" t="s">
        <v>45</v>
      </c>
      <c r="E42" s="23" t="s">
        <v>25</v>
      </c>
      <c r="F42" s="23" t="s">
        <v>25</v>
      </c>
      <c r="G42" s="23" t="s">
        <v>83</v>
      </c>
      <c r="H42" s="23" t="s">
        <v>79</v>
      </c>
      <c r="I42" s="23">
        <f>'MERCADO TE'!$U$39</f>
        <v>1776.7269999999999</v>
      </c>
      <c r="J42" s="15"/>
      <c r="L42" s="20">
        <f>('TE BE'!$L$42+'TE BF'!$L$42+'TE CVA'!$L$42)*1</f>
        <v>0</v>
      </c>
      <c r="M42" s="20">
        <f>('TE BE'!$M$42+'TE BF'!$M$42+'TE CVA'!$M$42)*1</f>
        <v>9.6665100983769552</v>
      </c>
      <c r="N42" s="20">
        <f>('TE BE'!$N$42+'TE BF'!$N$42+'TE CVA'!$N$42)*1</f>
        <v>0</v>
      </c>
      <c r="O42" s="20">
        <f>('TE BE'!$O$42+'TE BF'!$O$42+'TE CVA'!$O$42)*1</f>
        <v>0</v>
      </c>
      <c r="P42" s="20">
        <f>('TE BE'!$P$42+'TE BF'!$P$42+'TE CVA'!$P$42)*1</f>
        <v>0</v>
      </c>
      <c r="Q42" s="20">
        <f>('TE BE'!$R$42+'TE BF'!$R$42+'TE CVA'!$R$42)*1</f>
        <v>118.59746504803022</v>
      </c>
      <c r="R42" s="20">
        <f>('TE BE'!$T$42+'TE BF'!$T$42+'TE CVA'!$T$42)*1</f>
        <v>0</v>
      </c>
      <c r="S42" s="20">
        <f>('TE BE'!$U$42+'TE BF'!$U$42+'TE CVA'!$U$42)*1</f>
        <v>0</v>
      </c>
      <c r="T42" s="20">
        <f>('TE BE'!$V$42+'TE BF'!$V$42+'TE CVA'!$V$42)*1</f>
        <v>0</v>
      </c>
      <c r="U42" s="20">
        <f>('TE BE'!$X$42+'TE BF'!$X$42+'TE CVA'!$X$42)*1</f>
        <v>0</v>
      </c>
      <c r="V42" s="20">
        <f>('TE BE'!$Z$42+'TE BF'!$Z$42+'TE CVA'!$Z$42)*1</f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175.11199833674399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</row>
    <row r="44" spans="1:34" ht="11.25" customHeight="1" x14ac:dyDescent="0.3">
      <c r="L44" s="101" t="s">
        <v>865</v>
      </c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X44" s="101" t="s">
        <v>866</v>
      </c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</row>
    <row r="45" spans="1:34" ht="11.25" customHeight="1" x14ac:dyDescent="0.3">
      <c r="L45" s="101" t="s">
        <v>421</v>
      </c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X45" s="101" t="s">
        <v>421</v>
      </c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</row>
    <row r="46" spans="1:34" ht="11.25" customHeight="1" x14ac:dyDescent="0.3">
      <c r="L46" s="101" t="s">
        <v>394</v>
      </c>
      <c r="M46" s="101"/>
      <c r="N46" s="101"/>
      <c r="O46" s="101"/>
      <c r="P46" s="101"/>
      <c r="Q46" s="24" t="s">
        <v>425</v>
      </c>
      <c r="R46" s="101" t="s">
        <v>403</v>
      </c>
      <c r="S46" s="101"/>
      <c r="T46" s="101"/>
      <c r="U46" s="24" t="s">
        <v>413</v>
      </c>
      <c r="V46" s="24" t="s">
        <v>416</v>
      </c>
      <c r="X46" s="101" t="s">
        <v>394</v>
      </c>
      <c r="Y46" s="101"/>
      <c r="Z46" s="101"/>
      <c r="AA46" s="101"/>
      <c r="AB46" s="101"/>
      <c r="AC46" s="24" t="s">
        <v>425</v>
      </c>
      <c r="AD46" s="101" t="s">
        <v>403</v>
      </c>
      <c r="AE46" s="101"/>
      <c r="AF46" s="101"/>
      <c r="AG46" s="24" t="s">
        <v>413</v>
      </c>
      <c r="AH46" s="24" t="s">
        <v>416</v>
      </c>
    </row>
    <row r="47" spans="1:34" ht="11.25" customHeight="1" x14ac:dyDescent="0.3">
      <c r="L47" s="24" t="s">
        <v>396</v>
      </c>
      <c r="M47" s="24" t="s">
        <v>422</v>
      </c>
      <c r="N47" s="24" t="s">
        <v>423</v>
      </c>
      <c r="O47" s="24" t="s">
        <v>482</v>
      </c>
      <c r="P47" s="24" t="s">
        <v>424</v>
      </c>
      <c r="Q47" s="24" t="s">
        <v>426</v>
      </c>
      <c r="R47" s="24" t="s">
        <v>427</v>
      </c>
      <c r="S47" s="24" t="s">
        <v>428</v>
      </c>
      <c r="T47" s="24" t="s">
        <v>429</v>
      </c>
      <c r="U47" s="24" t="s">
        <v>414</v>
      </c>
      <c r="V47" s="24" t="s">
        <v>430</v>
      </c>
      <c r="X47" s="24" t="s">
        <v>396</v>
      </c>
      <c r="Y47" s="24" t="s">
        <v>422</v>
      </c>
      <c r="Z47" s="24" t="s">
        <v>423</v>
      </c>
      <c r="AA47" s="24" t="s">
        <v>482</v>
      </c>
      <c r="AB47" s="24" t="s">
        <v>424</v>
      </c>
      <c r="AC47" s="24" t="s">
        <v>426</v>
      </c>
      <c r="AD47" s="24" t="s">
        <v>427</v>
      </c>
      <c r="AE47" s="24" t="s">
        <v>428</v>
      </c>
      <c r="AF47" s="24" t="s">
        <v>429</v>
      </c>
      <c r="AG47" s="24" t="s">
        <v>414</v>
      </c>
      <c r="AH47" s="24" t="s">
        <v>430</v>
      </c>
    </row>
    <row r="48" spans="1:34" ht="11.25" customHeight="1" x14ac:dyDescent="0.3">
      <c r="A48" s="9" t="s">
        <v>34</v>
      </c>
      <c r="B48" s="9" t="s">
        <v>867</v>
      </c>
      <c r="C48" s="9" t="s">
        <v>868</v>
      </c>
      <c r="D48" s="9" t="s">
        <v>869</v>
      </c>
      <c r="E48" s="9" t="s">
        <v>870</v>
      </c>
      <c r="F48" s="9" t="s">
        <v>871</v>
      </c>
      <c r="G48" s="9" t="s">
        <v>872</v>
      </c>
      <c r="L48" s="20">
        <f>$I$5*$L$5</f>
        <v>0</v>
      </c>
      <c r="M48" s="20">
        <f>$I$5*$M$5</f>
        <v>5012.9393610671423</v>
      </c>
      <c r="N48" s="20">
        <f>$I$5*$N$5</f>
        <v>0</v>
      </c>
      <c r="O48" s="20">
        <f>$I$5*$O$5</f>
        <v>0</v>
      </c>
      <c r="P48" s="20">
        <f>$I$5*$P$5</f>
        <v>0</v>
      </c>
      <c r="Q48" s="20">
        <f>$I$5*$Q$5</f>
        <v>61503.261736816246</v>
      </c>
      <c r="R48" s="20">
        <f>$I$5*$R$5</f>
        <v>0</v>
      </c>
      <c r="S48" s="20">
        <f>$I$5*$S$5</f>
        <v>0</v>
      </c>
      <c r="T48" s="20">
        <f>$I$5*$T$5</f>
        <v>0</v>
      </c>
      <c r="U48" s="20">
        <f>$I$5*$U$5</f>
        <v>0</v>
      </c>
      <c r="V48" s="20">
        <f>$I$5*$V$5</f>
        <v>0</v>
      </c>
      <c r="X48" s="20">
        <f>$I$5*$X$5</f>
        <v>0</v>
      </c>
      <c r="Y48" s="20">
        <f>$I$5*$Y$5</f>
        <v>0</v>
      </c>
      <c r="Z48" s="20">
        <f>$I$5*$Z$5</f>
        <v>0</v>
      </c>
      <c r="AA48" s="20">
        <f>$I$5*$AA$5</f>
        <v>0</v>
      </c>
      <c r="AB48" s="20">
        <f>$I$5*$AB$5</f>
        <v>0</v>
      </c>
      <c r="AC48" s="20">
        <f>$I$5*$AC$5</f>
        <v>90811.039364121199</v>
      </c>
      <c r="AD48" s="20">
        <f>$I$5*$AD$5</f>
        <v>0</v>
      </c>
      <c r="AE48" s="20">
        <f>$I$5*$AE$5</f>
        <v>0</v>
      </c>
      <c r="AF48" s="20">
        <f>$I$5*$AF$5</f>
        <v>0</v>
      </c>
      <c r="AG48" s="20">
        <f>$I$5*$AG$5</f>
        <v>0</v>
      </c>
      <c r="AH48" s="20">
        <f>$I$5*$AH$5</f>
        <v>0</v>
      </c>
    </row>
    <row r="49" spans="1:34" ht="11.25" customHeight="1" x14ac:dyDescent="0.3">
      <c r="A49" s="9" t="s">
        <v>34</v>
      </c>
      <c r="B49" s="9" t="s">
        <v>867</v>
      </c>
      <c r="C49" s="9" t="s">
        <v>868</v>
      </c>
      <c r="D49" s="9" t="s">
        <v>869</v>
      </c>
      <c r="E49" s="9" t="s">
        <v>870</v>
      </c>
      <c r="F49" s="9" t="s">
        <v>871</v>
      </c>
      <c r="G49" s="9" t="s">
        <v>873</v>
      </c>
      <c r="L49" s="20">
        <f>$I$6*$L$6</f>
        <v>0</v>
      </c>
      <c r="M49" s="20">
        <f>$I$6*$M$6</f>
        <v>119853.51206816013</v>
      </c>
      <c r="N49" s="20">
        <f>$I$6*$N$6</f>
        <v>0</v>
      </c>
      <c r="O49" s="20">
        <f>$I$6*$O$6</f>
        <v>0</v>
      </c>
      <c r="P49" s="20">
        <f>$I$6*$P$6</f>
        <v>0</v>
      </c>
      <c r="Q49" s="20">
        <f>$I$6*$Q$6</f>
        <v>1470470.9935361189</v>
      </c>
      <c r="R49" s="20">
        <f>$I$6*$R$6</f>
        <v>0</v>
      </c>
      <c r="S49" s="20">
        <f>$I$6*$S$6</f>
        <v>0</v>
      </c>
      <c r="T49" s="20">
        <f>$I$6*$T$6</f>
        <v>0</v>
      </c>
      <c r="U49" s="20">
        <f>$I$6*$U$6</f>
        <v>0</v>
      </c>
      <c r="V49" s="20">
        <f>$I$6*$V$6</f>
        <v>0</v>
      </c>
      <c r="X49" s="20">
        <f>$I$6*$X$6</f>
        <v>0</v>
      </c>
      <c r="Y49" s="20">
        <f>$I$6*$Y$6</f>
        <v>0</v>
      </c>
      <c r="Z49" s="20">
        <f>$I$6*$Z$6</f>
        <v>0</v>
      </c>
      <c r="AA49" s="20">
        <f>$I$6*$AA$6</f>
        <v>0</v>
      </c>
      <c r="AB49" s="20">
        <f>$I$6*$AB$6</f>
        <v>0</v>
      </c>
      <c r="AC49" s="20">
        <f>$I$6*$AC$6</f>
        <v>2171185.6494575473</v>
      </c>
      <c r="AD49" s="20">
        <f>$I$6*$AD$6</f>
        <v>0</v>
      </c>
      <c r="AE49" s="20">
        <f>$I$6*$AE$6</f>
        <v>0</v>
      </c>
      <c r="AF49" s="20">
        <f>$I$6*$AF$6</f>
        <v>0</v>
      </c>
      <c r="AG49" s="20">
        <f>$I$6*$AG$6</f>
        <v>0</v>
      </c>
      <c r="AH49" s="20">
        <f>$I$6*$AH$6</f>
        <v>0</v>
      </c>
    </row>
    <row r="50" spans="1:34" ht="11.25" customHeight="1" x14ac:dyDescent="0.3">
      <c r="A50" s="9" t="s">
        <v>34</v>
      </c>
      <c r="B50" s="9" t="s">
        <v>874</v>
      </c>
      <c r="C50" s="9" t="s">
        <v>875</v>
      </c>
      <c r="D50" s="9" t="s">
        <v>876</v>
      </c>
      <c r="E50" s="9" t="s">
        <v>877</v>
      </c>
      <c r="F50" s="9" t="s">
        <v>878</v>
      </c>
      <c r="G50" s="9" t="s">
        <v>879</v>
      </c>
      <c r="L50" s="20">
        <f>$I$7*$L$7</f>
        <v>0</v>
      </c>
      <c r="M50" s="20">
        <f>$I$7*$M$7</f>
        <v>0</v>
      </c>
      <c r="N50" s="20">
        <f>$I$7*$N$7</f>
        <v>0</v>
      </c>
      <c r="O50" s="20">
        <f>$I$7*$O$7</f>
        <v>0</v>
      </c>
      <c r="P50" s="20">
        <f>$I$7*$P$7</f>
        <v>0</v>
      </c>
      <c r="Q50" s="20">
        <f>$I$7*$Q$7</f>
        <v>0</v>
      </c>
      <c r="R50" s="20">
        <f>$I$7*$R$7</f>
        <v>0</v>
      </c>
      <c r="S50" s="20">
        <f>$I$7*$S$7</f>
        <v>0</v>
      </c>
      <c r="T50" s="20">
        <f>$I$7*$T$7</f>
        <v>0</v>
      </c>
      <c r="U50" s="20">
        <f>$I$7*$U$7</f>
        <v>0</v>
      </c>
      <c r="V50" s="20">
        <f>$I$7*$V$7</f>
        <v>0</v>
      </c>
      <c r="X50" s="20">
        <f>$I$7*$X$7</f>
        <v>0</v>
      </c>
      <c r="Y50" s="20">
        <f>$I$7*$Y$7</f>
        <v>0</v>
      </c>
      <c r="Z50" s="20">
        <f>$I$7*$Z$7</f>
        <v>0</v>
      </c>
      <c r="AA50" s="20">
        <f>$I$7*$AA$7</f>
        <v>0</v>
      </c>
      <c r="AB50" s="20">
        <f>$I$7*$AB$7</f>
        <v>0</v>
      </c>
      <c r="AC50" s="20">
        <f>$I$7*$AC$7</f>
        <v>0</v>
      </c>
      <c r="AD50" s="20">
        <f>$I$7*$AD$7</f>
        <v>0</v>
      </c>
      <c r="AE50" s="20">
        <f>$I$7*$AE$7</f>
        <v>0</v>
      </c>
      <c r="AF50" s="20">
        <f>$I$7*$AF$7</f>
        <v>0</v>
      </c>
      <c r="AG50" s="20">
        <f>$I$7*$AG$7</f>
        <v>0</v>
      </c>
      <c r="AH50" s="20">
        <f>$I$7*$AH$7</f>
        <v>0</v>
      </c>
    </row>
    <row r="51" spans="1:34" ht="11.25" customHeight="1" x14ac:dyDescent="0.3">
      <c r="A51" s="9" t="s">
        <v>22</v>
      </c>
      <c r="B51" s="9" t="s">
        <v>880</v>
      </c>
      <c r="C51" s="9" t="s">
        <v>881</v>
      </c>
      <c r="D51" s="9" t="s">
        <v>882</v>
      </c>
      <c r="E51" s="9" t="s">
        <v>883</v>
      </c>
      <c r="F51" s="9" t="s">
        <v>884</v>
      </c>
      <c r="G51" s="9" t="s">
        <v>885</v>
      </c>
      <c r="L51" s="20">
        <f>$I$8*$L$8</f>
        <v>0</v>
      </c>
      <c r="M51" s="20">
        <f>$I$8*$M$8</f>
        <v>0</v>
      </c>
      <c r="N51" s="20">
        <f>$I$8*$N$8</f>
        <v>0</v>
      </c>
      <c r="O51" s="20">
        <f>$I$8*$O$8</f>
        <v>0</v>
      </c>
      <c r="P51" s="20">
        <f>$I$8*$P$8</f>
        <v>0</v>
      </c>
      <c r="Q51" s="20">
        <f>$I$8*$Q$8</f>
        <v>0</v>
      </c>
      <c r="R51" s="20">
        <f>$I$8*$R$8</f>
        <v>0</v>
      </c>
      <c r="S51" s="20">
        <f>$I$8*$S$8</f>
        <v>0</v>
      </c>
      <c r="T51" s="20">
        <f>$I$8*$T$8</f>
        <v>0</v>
      </c>
      <c r="U51" s="20">
        <f>$I$8*$U$8</f>
        <v>0</v>
      </c>
      <c r="V51" s="20">
        <f>$I$8*$V$8</f>
        <v>0</v>
      </c>
      <c r="X51" s="20">
        <f>$I$8*$X$8</f>
        <v>0</v>
      </c>
      <c r="Y51" s="20">
        <f>$I$8*$Y$8</f>
        <v>0</v>
      </c>
      <c r="Z51" s="20">
        <f>$I$8*$Z$8</f>
        <v>0</v>
      </c>
      <c r="AA51" s="20">
        <f>$I$8*$AA$8</f>
        <v>0</v>
      </c>
      <c r="AB51" s="20">
        <f>$I$8*$AB$8</f>
        <v>0</v>
      </c>
      <c r="AC51" s="20">
        <f>$I$8*$AC$8</f>
        <v>0</v>
      </c>
      <c r="AD51" s="20">
        <f>$I$8*$AD$8</f>
        <v>0</v>
      </c>
      <c r="AE51" s="20">
        <f>$I$8*$AE$8</f>
        <v>0</v>
      </c>
      <c r="AF51" s="20">
        <f>$I$8*$AF$8</f>
        <v>0</v>
      </c>
      <c r="AG51" s="20">
        <f>$I$8*$AG$8</f>
        <v>0</v>
      </c>
      <c r="AH51" s="20">
        <f>$I$8*$AH$8</f>
        <v>0</v>
      </c>
    </row>
    <row r="52" spans="1:34" ht="11.25" customHeight="1" x14ac:dyDescent="0.3">
      <c r="A52" s="9" t="s">
        <v>22</v>
      </c>
      <c r="B52" s="9" t="s">
        <v>880</v>
      </c>
      <c r="C52" s="9" t="s">
        <v>881</v>
      </c>
      <c r="D52" s="9" t="s">
        <v>882</v>
      </c>
      <c r="E52" s="9" t="s">
        <v>883</v>
      </c>
      <c r="F52" s="9" t="s">
        <v>884</v>
      </c>
      <c r="G52" s="9" t="s">
        <v>886</v>
      </c>
      <c r="L52" s="20">
        <f>$I$9*$L$9</f>
        <v>0</v>
      </c>
      <c r="M52" s="20">
        <f>$I$9*$M$9</f>
        <v>0</v>
      </c>
      <c r="N52" s="20">
        <f>$I$9*$N$9</f>
        <v>0</v>
      </c>
      <c r="O52" s="20">
        <f>$I$9*$O$9</f>
        <v>0</v>
      </c>
      <c r="P52" s="20">
        <f>$I$9*$P$9</f>
        <v>0</v>
      </c>
      <c r="Q52" s="20">
        <f>$I$9*$Q$9</f>
        <v>0</v>
      </c>
      <c r="R52" s="20">
        <f>$I$9*$R$9</f>
        <v>0</v>
      </c>
      <c r="S52" s="20">
        <f>$I$9*$S$9</f>
        <v>0</v>
      </c>
      <c r="T52" s="20">
        <f>$I$9*$T$9</f>
        <v>0</v>
      </c>
      <c r="U52" s="20">
        <f>$I$9*$U$9</f>
        <v>0</v>
      </c>
      <c r="V52" s="20">
        <f>$I$9*$V$9</f>
        <v>0</v>
      </c>
      <c r="X52" s="20">
        <f>$I$9*$X$9</f>
        <v>0</v>
      </c>
      <c r="Y52" s="20">
        <f>$I$9*$Y$9</f>
        <v>0</v>
      </c>
      <c r="Z52" s="20">
        <f>$I$9*$Z$9</f>
        <v>0</v>
      </c>
      <c r="AA52" s="20">
        <f>$I$9*$AA$9</f>
        <v>0</v>
      </c>
      <c r="AB52" s="20">
        <f>$I$9*$AB$9</f>
        <v>0</v>
      </c>
      <c r="AC52" s="20">
        <f>$I$9*$AC$9</f>
        <v>0</v>
      </c>
      <c r="AD52" s="20">
        <f>$I$9*$AD$9</f>
        <v>0</v>
      </c>
      <c r="AE52" s="20">
        <f>$I$9*$AE$9</f>
        <v>0</v>
      </c>
      <c r="AF52" s="20">
        <f>$I$9*$AF$9</f>
        <v>0</v>
      </c>
      <c r="AG52" s="20">
        <f>$I$9*$AG$9</f>
        <v>0</v>
      </c>
      <c r="AH52" s="20">
        <f>$I$9*$AH$9</f>
        <v>0</v>
      </c>
    </row>
    <row r="53" spans="1:34" ht="11.25" customHeight="1" x14ac:dyDescent="0.3">
      <c r="A53" s="9" t="s">
        <v>22</v>
      </c>
      <c r="B53" s="9" t="s">
        <v>880</v>
      </c>
      <c r="C53" s="9" t="s">
        <v>881</v>
      </c>
      <c r="D53" s="9" t="s">
        <v>882</v>
      </c>
      <c r="E53" s="9" t="s">
        <v>883</v>
      </c>
      <c r="F53" s="9" t="s">
        <v>884</v>
      </c>
      <c r="G53" s="9" t="s">
        <v>887</v>
      </c>
      <c r="L53" s="20">
        <f>$I$10*$L$10</f>
        <v>0</v>
      </c>
      <c r="M53" s="20">
        <f>$I$10*$M$10</f>
        <v>0</v>
      </c>
      <c r="N53" s="20">
        <f>$I$10*$N$10</f>
        <v>0</v>
      </c>
      <c r="O53" s="20">
        <f>$I$10*$O$10</f>
        <v>0</v>
      </c>
      <c r="P53" s="20">
        <f>$I$10*$P$10</f>
        <v>0</v>
      </c>
      <c r="Q53" s="20">
        <f>$I$10*$Q$10</f>
        <v>0</v>
      </c>
      <c r="R53" s="20">
        <f>$I$10*$R$10</f>
        <v>0</v>
      </c>
      <c r="S53" s="20">
        <f>$I$10*$S$10</f>
        <v>0</v>
      </c>
      <c r="T53" s="20">
        <f>$I$10*$T$10</f>
        <v>0</v>
      </c>
      <c r="U53" s="20">
        <f>$I$10*$U$10</f>
        <v>0</v>
      </c>
      <c r="V53" s="20">
        <f>$I$10*$V$10</f>
        <v>0</v>
      </c>
      <c r="X53" s="20">
        <f>$I$10*$X$10</f>
        <v>0</v>
      </c>
      <c r="Y53" s="20">
        <f>$I$10*$Y$10</f>
        <v>0</v>
      </c>
      <c r="Z53" s="20">
        <f>$I$10*$Z$10</f>
        <v>0</v>
      </c>
      <c r="AA53" s="20">
        <f>$I$10*$AA$10</f>
        <v>0</v>
      </c>
      <c r="AB53" s="20">
        <f>$I$10*$AB$10</f>
        <v>0</v>
      </c>
      <c r="AC53" s="20">
        <f>$I$10*$AC$10</f>
        <v>0</v>
      </c>
      <c r="AD53" s="20">
        <f>$I$10*$AD$10</f>
        <v>0</v>
      </c>
      <c r="AE53" s="20">
        <f>$I$10*$AE$10</f>
        <v>0</v>
      </c>
      <c r="AF53" s="20">
        <f>$I$10*$AF$10</f>
        <v>0</v>
      </c>
      <c r="AG53" s="20">
        <f>$I$10*$AG$10</f>
        <v>0</v>
      </c>
      <c r="AH53" s="20">
        <f>$I$10*$AH$10</f>
        <v>0</v>
      </c>
    </row>
    <row r="54" spans="1:34" ht="11.25" customHeight="1" x14ac:dyDescent="0.3">
      <c r="A54" s="9" t="s">
        <v>22</v>
      </c>
      <c r="B54" s="9" t="s">
        <v>888</v>
      </c>
      <c r="C54" s="9" t="s">
        <v>889</v>
      </c>
      <c r="D54" s="9" t="s">
        <v>890</v>
      </c>
      <c r="E54" s="9" t="s">
        <v>891</v>
      </c>
      <c r="F54" s="9" t="s">
        <v>892</v>
      </c>
      <c r="G54" s="9" t="s">
        <v>893</v>
      </c>
      <c r="L54" s="20">
        <f>$I$11*$L$11</f>
        <v>0</v>
      </c>
      <c r="M54" s="20">
        <f>$I$11*$M$11</f>
        <v>176735.72019250557</v>
      </c>
      <c r="N54" s="20">
        <f>$I$11*$N$11</f>
        <v>0</v>
      </c>
      <c r="O54" s="20">
        <f>$I$11*$O$11</f>
        <v>0</v>
      </c>
      <c r="P54" s="20">
        <f>$I$11*$P$11</f>
        <v>0</v>
      </c>
      <c r="Q54" s="20">
        <f>$I$11*$Q$11</f>
        <v>2168353.2303750925</v>
      </c>
      <c r="R54" s="20">
        <f>$I$11*$R$11</f>
        <v>0</v>
      </c>
      <c r="S54" s="20">
        <f>$I$11*$S$11</f>
        <v>0</v>
      </c>
      <c r="T54" s="20">
        <f>$I$11*$T$11</f>
        <v>0</v>
      </c>
      <c r="U54" s="20">
        <f>$I$11*$U$11</f>
        <v>0</v>
      </c>
      <c r="V54" s="20">
        <f>$I$11*$V$11</f>
        <v>0</v>
      </c>
      <c r="X54" s="20">
        <f>$I$11*$X$11</f>
        <v>0</v>
      </c>
      <c r="Y54" s="20">
        <f>$I$11*$Y$11</f>
        <v>0</v>
      </c>
      <c r="Z54" s="20">
        <f>$I$11*$Z$11</f>
        <v>0</v>
      </c>
      <c r="AA54" s="20">
        <f>$I$11*$AA$11</f>
        <v>0</v>
      </c>
      <c r="AB54" s="20">
        <f>$I$11*$AB$11</f>
        <v>0</v>
      </c>
      <c r="AC54" s="20">
        <f>$I$11*$AC$11</f>
        <v>3201625.4910435108</v>
      </c>
      <c r="AD54" s="20">
        <f>$I$11*$AD$11</f>
        <v>0</v>
      </c>
      <c r="AE54" s="20">
        <f>$I$11*$AE$11</f>
        <v>0</v>
      </c>
      <c r="AF54" s="20">
        <f>$I$11*$AF$11</f>
        <v>0</v>
      </c>
      <c r="AG54" s="20">
        <f>$I$11*$AG$11</f>
        <v>0</v>
      </c>
      <c r="AH54" s="20">
        <f>$I$11*$AH$11</f>
        <v>0</v>
      </c>
    </row>
    <row r="55" spans="1:34" ht="11.25" customHeight="1" x14ac:dyDescent="0.3">
      <c r="A55" s="9" t="s">
        <v>22</v>
      </c>
      <c r="B55" s="9" t="s">
        <v>888</v>
      </c>
      <c r="C55" s="9" t="s">
        <v>889</v>
      </c>
      <c r="D55" s="9" t="s">
        <v>894</v>
      </c>
      <c r="E55" s="9" t="s">
        <v>895</v>
      </c>
      <c r="F55" s="9" t="s">
        <v>896</v>
      </c>
      <c r="G55" s="9" t="s">
        <v>897</v>
      </c>
      <c r="L55" s="20">
        <f>$I$12*$L$12</f>
        <v>0</v>
      </c>
      <c r="M55" s="20">
        <f>$I$12*$M$12</f>
        <v>492.18244479648564</v>
      </c>
      <c r="N55" s="20">
        <f>$I$12*$N$12</f>
        <v>0</v>
      </c>
      <c r="O55" s="20">
        <f>$I$12*$O$12</f>
        <v>0</v>
      </c>
      <c r="P55" s="20">
        <f>$I$12*$P$12</f>
        <v>0</v>
      </c>
      <c r="Q55" s="20">
        <f>$I$12*$Q$12</f>
        <v>6038.5381797517684</v>
      </c>
      <c r="R55" s="20">
        <f>$I$12*$R$12</f>
        <v>0</v>
      </c>
      <c r="S55" s="20">
        <f>$I$12*$S$12</f>
        <v>0</v>
      </c>
      <c r="T55" s="20">
        <f>$I$12*$T$12</f>
        <v>0</v>
      </c>
      <c r="U55" s="20">
        <f>$I$12*$U$12</f>
        <v>0</v>
      </c>
      <c r="V55" s="20">
        <f>$I$12*$V$12</f>
        <v>0</v>
      </c>
      <c r="X55" s="20">
        <f>$I$12*$X$12</f>
        <v>0</v>
      </c>
      <c r="Y55" s="20">
        <f>$I$12*$Y$12</f>
        <v>0</v>
      </c>
      <c r="Z55" s="20">
        <f>$I$12*$Z$12</f>
        <v>0</v>
      </c>
      <c r="AA55" s="20">
        <f>$I$12*$AA$12</f>
        <v>0</v>
      </c>
      <c r="AB55" s="20">
        <f>$I$12*$AB$12</f>
        <v>0</v>
      </c>
      <c r="AC55" s="20">
        <f>$I$12*$AC$12</f>
        <v>8916.0462853132412</v>
      </c>
      <c r="AD55" s="20">
        <f>$I$12*$AD$12</f>
        <v>0</v>
      </c>
      <c r="AE55" s="20">
        <f>$I$12*$AE$12</f>
        <v>0</v>
      </c>
      <c r="AF55" s="20">
        <f>$I$12*$AF$12</f>
        <v>0</v>
      </c>
      <c r="AG55" s="20">
        <f>$I$12*$AG$12</f>
        <v>0</v>
      </c>
      <c r="AH55" s="20">
        <f>$I$12*$AH$12</f>
        <v>0</v>
      </c>
    </row>
    <row r="56" spans="1:34" ht="11.25" customHeight="1" x14ac:dyDescent="0.3">
      <c r="A56" s="9" t="s">
        <v>22</v>
      </c>
      <c r="B56" s="9" t="s">
        <v>888</v>
      </c>
      <c r="C56" s="9" t="s">
        <v>889</v>
      </c>
      <c r="D56" s="9" t="s">
        <v>898</v>
      </c>
      <c r="E56" s="9" t="s">
        <v>899</v>
      </c>
      <c r="F56" s="9" t="s">
        <v>900</v>
      </c>
      <c r="G56" s="9" t="s">
        <v>901</v>
      </c>
      <c r="L56" s="20">
        <f>$I$13*$L$13</f>
        <v>0</v>
      </c>
      <c r="M56" s="20">
        <f>$I$13*$M$13</f>
        <v>1770.5856551894115</v>
      </c>
      <c r="N56" s="20">
        <f>$I$13*$N$13</f>
        <v>0</v>
      </c>
      <c r="O56" s="20">
        <f>$I$13*$O$13</f>
        <v>0</v>
      </c>
      <c r="P56" s="20">
        <f>$I$13*$P$13</f>
        <v>0</v>
      </c>
      <c r="Q56" s="20">
        <f>$I$13*$Q$13</f>
        <v>21723.141880452546</v>
      </c>
      <c r="R56" s="20">
        <f>$I$13*$R$13</f>
        <v>0</v>
      </c>
      <c r="S56" s="20">
        <f>$I$13*$S$13</f>
        <v>0</v>
      </c>
      <c r="T56" s="20">
        <f>$I$13*$T$13</f>
        <v>0</v>
      </c>
      <c r="U56" s="20">
        <f>$I$13*$U$13</f>
        <v>0</v>
      </c>
      <c r="V56" s="20">
        <f>$I$13*$V$13</f>
        <v>0</v>
      </c>
      <c r="X56" s="20">
        <f>$I$13*$X$13</f>
        <v>0</v>
      </c>
      <c r="Y56" s="20">
        <f>$I$13*$Y$13</f>
        <v>0</v>
      </c>
      <c r="Z56" s="20">
        <f>$I$13*$Z$13</f>
        <v>0</v>
      </c>
      <c r="AA56" s="20">
        <f>$I$13*$AA$13</f>
        <v>0</v>
      </c>
      <c r="AB56" s="20">
        <f>$I$13*$AB$13</f>
        <v>0</v>
      </c>
      <c r="AC56" s="20">
        <f>$I$13*$AC$13</f>
        <v>32074.739399346381</v>
      </c>
      <c r="AD56" s="20">
        <f>$I$13*$AD$13</f>
        <v>0</v>
      </c>
      <c r="AE56" s="20">
        <f>$I$13*$AE$13</f>
        <v>0</v>
      </c>
      <c r="AF56" s="20">
        <f>$I$13*$AF$13</f>
        <v>0</v>
      </c>
      <c r="AG56" s="20">
        <f>$I$13*$AG$13</f>
        <v>0</v>
      </c>
      <c r="AH56" s="20">
        <f>$I$13*$AH$13</f>
        <v>0</v>
      </c>
    </row>
    <row r="57" spans="1:34" ht="11.25" customHeight="1" x14ac:dyDescent="0.3">
      <c r="A57" s="9" t="s">
        <v>22</v>
      </c>
      <c r="B57" s="9" t="s">
        <v>888</v>
      </c>
      <c r="C57" s="9" t="s">
        <v>889</v>
      </c>
      <c r="D57" s="9" t="s">
        <v>902</v>
      </c>
      <c r="E57" s="9" t="s">
        <v>903</v>
      </c>
      <c r="F57" s="9" t="s">
        <v>904</v>
      </c>
      <c r="G57" s="9" t="s">
        <v>905</v>
      </c>
      <c r="L57" s="20">
        <f>$I$14*$L$14</f>
        <v>0</v>
      </c>
      <c r="M57" s="20">
        <f>$I$14*$M$14</f>
        <v>2905.4629402691617</v>
      </c>
      <c r="N57" s="20">
        <f>$I$14*$N$14</f>
        <v>0</v>
      </c>
      <c r="O57" s="20">
        <f>$I$14*$O$14</f>
        <v>0</v>
      </c>
      <c r="P57" s="20">
        <f>$I$14*$P$14</f>
        <v>0</v>
      </c>
      <c r="Q57" s="20">
        <f>$I$14*$Q$14</f>
        <v>35646.840069486447</v>
      </c>
      <c r="R57" s="20">
        <f>$I$14*$R$14</f>
        <v>0</v>
      </c>
      <c r="S57" s="20">
        <f>$I$14*$S$14</f>
        <v>0</v>
      </c>
      <c r="T57" s="20">
        <f>$I$14*$T$14</f>
        <v>0</v>
      </c>
      <c r="U57" s="20">
        <f>$I$14*$U$14</f>
        <v>0</v>
      </c>
      <c r="V57" s="20">
        <f>$I$14*$V$14</f>
        <v>0</v>
      </c>
      <c r="X57" s="20">
        <f>$I$14*$X$14</f>
        <v>0</v>
      </c>
      <c r="Y57" s="20">
        <f>$I$14*$Y$14</f>
        <v>0</v>
      </c>
      <c r="Z57" s="20">
        <f>$I$14*$Z$14</f>
        <v>0</v>
      </c>
      <c r="AA57" s="20">
        <f>$I$14*$AA$14</f>
        <v>0</v>
      </c>
      <c r="AB57" s="20">
        <f>$I$14*$AB$14</f>
        <v>0</v>
      </c>
      <c r="AC57" s="20">
        <f>$I$14*$AC$14</f>
        <v>52633.413340074942</v>
      </c>
      <c r="AD57" s="20">
        <f>$I$14*$AD$14</f>
        <v>0</v>
      </c>
      <c r="AE57" s="20">
        <f>$I$14*$AE$14</f>
        <v>0</v>
      </c>
      <c r="AF57" s="20">
        <f>$I$14*$AF$14</f>
        <v>0</v>
      </c>
      <c r="AG57" s="20">
        <f>$I$14*$AG$14</f>
        <v>0</v>
      </c>
      <c r="AH57" s="20">
        <f>$I$14*$AH$14</f>
        <v>0</v>
      </c>
    </row>
    <row r="58" spans="1:34" ht="11.25" customHeight="1" x14ac:dyDescent="0.3">
      <c r="A58" s="9" t="s">
        <v>22</v>
      </c>
      <c r="B58" s="9" t="s">
        <v>888</v>
      </c>
      <c r="C58" s="9" t="s">
        <v>889</v>
      </c>
      <c r="D58" s="9" t="s">
        <v>906</v>
      </c>
      <c r="E58" s="9" t="s">
        <v>907</v>
      </c>
      <c r="F58" s="9" t="s">
        <v>908</v>
      </c>
      <c r="G58" s="9" t="s">
        <v>909</v>
      </c>
      <c r="L58" s="20">
        <f>$I$15*$L$15</f>
        <v>0</v>
      </c>
      <c r="M58" s="20">
        <f>$I$15*$M$15</f>
        <v>1304.2699858736746</v>
      </c>
      <c r="N58" s="20">
        <f>$I$15*$N$15</f>
        <v>0</v>
      </c>
      <c r="O58" s="20">
        <f>$I$15*$O$15</f>
        <v>0</v>
      </c>
      <c r="P58" s="20">
        <f>$I$15*$P$15</f>
        <v>0</v>
      </c>
      <c r="Q58" s="20">
        <f>$I$15*$Q$15</f>
        <v>16001.960634047222</v>
      </c>
      <c r="R58" s="20">
        <f>$I$15*$R$15</f>
        <v>0</v>
      </c>
      <c r="S58" s="20">
        <f>$I$15*$S$15</f>
        <v>0</v>
      </c>
      <c r="T58" s="20">
        <f>$I$15*$T$15</f>
        <v>0</v>
      </c>
      <c r="U58" s="20">
        <f>$I$15*$U$15</f>
        <v>0</v>
      </c>
      <c r="V58" s="20">
        <f>$I$15*$V$15</f>
        <v>0</v>
      </c>
      <c r="X58" s="20">
        <f>$I$15*$X$15</f>
        <v>0</v>
      </c>
      <c r="Y58" s="20">
        <f>$I$15*$Y$15</f>
        <v>0</v>
      </c>
      <c r="Z58" s="20">
        <f>$I$15*$Z$15</f>
        <v>0</v>
      </c>
      <c r="AA58" s="20">
        <f>$I$15*$AA$15</f>
        <v>0</v>
      </c>
      <c r="AB58" s="20">
        <f>$I$15*$AB$15</f>
        <v>0</v>
      </c>
      <c r="AC58" s="20">
        <f>$I$15*$AC$15</f>
        <v>23627.27822891566</v>
      </c>
      <c r="AD58" s="20">
        <f>$I$15*$AD$15</f>
        <v>0</v>
      </c>
      <c r="AE58" s="20">
        <f>$I$15*$AE$15</f>
        <v>0</v>
      </c>
      <c r="AF58" s="20">
        <f>$I$15*$AF$15</f>
        <v>0</v>
      </c>
      <c r="AG58" s="20">
        <f>$I$15*$AG$15</f>
        <v>0</v>
      </c>
      <c r="AH58" s="20">
        <f>$I$15*$AH$15</f>
        <v>0</v>
      </c>
    </row>
    <row r="59" spans="1:34" ht="11.25" customHeight="1" x14ac:dyDescent="0.3">
      <c r="A59" s="9" t="s">
        <v>22</v>
      </c>
      <c r="B59" s="9" t="s">
        <v>910</v>
      </c>
      <c r="C59" s="9" t="s">
        <v>911</v>
      </c>
      <c r="D59" s="9" t="s">
        <v>912</v>
      </c>
      <c r="E59" s="9" t="s">
        <v>913</v>
      </c>
      <c r="F59" s="9" t="s">
        <v>914</v>
      </c>
      <c r="G59" s="9" t="s">
        <v>915</v>
      </c>
      <c r="L59" s="20">
        <f>$I$16*$L$16</f>
        <v>0</v>
      </c>
      <c r="M59" s="20">
        <f>$I$16*$M$16</f>
        <v>0</v>
      </c>
      <c r="N59" s="20">
        <f>$I$16*$N$16</f>
        <v>0</v>
      </c>
      <c r="O59" s="20">
        <f>$I$16*$O$16</f>
        <v>0</v>
      </c>
      <c r="P59" s="20">
        <f>$I$16*$P$16</f>
        <v>0</v>
      </c>
      <c r="Q59" s="20">
        <f>$I$16*$Q$16</f>
        <v>0</v>
      </c>
      <c r="R59" s="20">
        <f>$I$16*$R$16</f>
        <v>0</v>
      </c>
      <c r="S59" s="20">
        <f>$I$16*$S$16</f>
        <v>0</v>
      </c>
      <c r="T59" s="20">
        <f>$I$16*$T$16</f>
        <v>0</v>
      </c>
      <c r="U59" s="20">
        <f>$I$16*$U$16</f>
        <v>0</v>
      </c>
      <c r="V59" s="20">
        <f>$I$16*$V$16</f>
        <v>0</v>
      </c>
      <c r="X59" s="20">
        <f>$I$16*$X$16</f>
        <v>0</v>
      </c>
      <c r="Y59" s="20">
        <f>$I$16*$Y$16</f>
        <v>0</v>
      </c>
      <c r="Z59" s="20">
        <f>$I$16*$Z$16</f>
        <v>0</v>
      </c>
      <c r="AA59" s="20">
        <f>$I$16*$AA$16</f>
        <v>0</v>
      </c>
      <c r="AB59" s="20">
        <f>$I$16*$AB$16</f>
        <v>0</v>
      </c>
      <c r="AC59" s="20">
        <f>$I$16*$AC$16</f>
        <v>0</v>
      </c>
      <c r="AD59" s="20">
        <f>$I$16*$AD$16</f>
        <v>0</v>
      </c>
      <c r="AE59" s="20">
        <f>$I$16*$AE$16</f>
        <v>0</v>
      </c>
      <c r="AF59" s="20">
        <f>$I$16*$AF$16</f>
        <v>0</v>
      </c>
      <c r="AG59" s="20">
        <f>$I$16*$AG$16</f>
        <v>0</v>
      </c>
      <c r="AH59" s="20">
        <f>$I$16*$AH$16</f>
        <v>0</v>
      </c>
    </row>
    <row r="60" spans="1:34" ht="11.25" customHeight="1" x14ac:dyDescent="0.3">
      <c r="A60" s="9" t="s">
        <v>22</v>
      </c>
      <c r="B60" s="9" t="s">
        <v>910</v>
      </c>
      <c r="C60" s="9" t="s">
        <v>911</v>
      </c>
      <c r="D60" s="9" t="s">
        <v>916</v>
      </c>
      <c r="E60" s="9" t="s">
        <v>917</v>
      </c>
      <c r="F60" s="9" t="s">
        <v>918</v>
      </c>
      <c r="G60" s="9" t="s">
        <v>919</v>
      </c>
      <c r="L60" s="20">
        <f>$I$17*$L$17</f>
        <v>0</v>
      </c>
      <c r="M60" s="20">
        <f>$I$17*$M$17</f>
        <v>0</v>
      </c>
      <c r="N60" s="20">
        <f>$I$17*$N$17</f>
        <v>0</v>
      </c>
      <c r="O60" s="20">
        <f>$I$17*$O$17</f>
        <v>0</v>
      </c>
      <c r="P60" s="20">
        <f>$I$17*$P$17</f>
        <v>0</v>
      </c>
      <c r="Q60" s="20">
        <f>$I$17*$Q$17</f>
        <v>0</v>
      </c>
      <c r="R60" s="20">
        <f>$I$17*$R$17</f>
        <v>0</v>
      </c>
      <c r="S60" s="20">
        <f>$I$17*$S$17</f>
        <v>0</v>
      </c>
      <c r="T60" s="20">
        <f>$I$17*$T$17</f>
        <v>0</v>
      </c>
      <c r="U60" s="20">
        <f>$I$17*$U$17</f>
        <v>0</v>
      </c>
      <c r="V60" s="20">
        <f>$I$17*$V$17</f>
        <v>0</v>
      </c>
      <c r="X60" s="20">
        <f>$I$17*$X$17</f>
        <v>0</v>
      </c>
      <c r="Y60" s="20">
        <f>$I$17*$Y$17</f>
        <v>0</v>
      </c>
      <c r="Z60" s="20">
        <f>$I$17*$Z$17</f>
        <v>0</v>
      </c>
      <c r="AA60" s="20">
        <f>$I$17*$AA$17</f>
        <v>0</v>
      </c>
      <c r="AB60" s="20">
        <f>$I$17*$AB$17</f>
        <v>0</v>
      </c>
      <c r="AC60" s="20">
        <f>$I$17*$AC$17</f>
        <v>0</v>
      </c>
      <c r="AD60" s="20">
        <f>$I$17*$AD$17</f>
        <v>0</v>
      </c>
      <c r="AE60" s="20">
        <f>$I$17*$AE$17</f>
        <v>0</v>
      </c>
      <c r="AF60" s="20">
        <f>$I$17*$AF$17</f>
        <v>0</v>
      </c>
      <c r="AG60" s="20">
        <f>$I$17*$AG$17</f>
        <v>0</v>
      </c>
      <c r="AH60" s="20">
        <f>$I$17*$AH$17</f>
        <v>0</v>
      </c>
    </row>
    <row r="61" spans="1:34" ht="11.25" customHeight="1" x14ac:dyDescent="0.3">
      <c r="A61" s="9" t="s">
        <v>22</v>
      </c>
      <c r="B61" s="9" t="s">
        <v>910</v>
      </c>
      <c r="C61" s="9" t="s">
        <v>911</v>
      </c>
      <c r="D61" s="9" t="s">
        <v>920</v>
      </c>
      <c r="E61" s="9" t="s">
        <v>921</v>
      </c>
      <c r="F61" s="9" t="s">
        <v>922</v>
      </c>
      <c r="G61" s="9" t="s">
        <v>923</v>
      </c>
      <c r="L61" s="20">
        <f>$I$18*$L$18</f>
        <v>0</v>
      </c>
      <c r="M61" s="20">
        <f>$I$18*$M$18</f>
        <v>0</v>
      </c>
      <c r="N61" s="20">
        <f>$I$18*$N$18</f>
        <v>0</v>
      </c>
      <c r="O61" s="20">
        <f>$I$18*$O$18</f>
        <v>0</v>
      </c>
      <c r="P61" s="20">
        <f>$I$18*$P$18</f>
        <v>0</v>
      </c>
      <c r="Q61" s="20">
        <f>$I$18*$Q$18</f>
        <v>0</v>
      </c>
      <c r="R61" s="20">
        <f>$I$18*$R$18</f>
        <v>0</v>
      </c>
      <c r="S61" s="20">
        <f>$I$18*$S$18</f>
        <v>0</v>
      </c>
      <c r="T61" s="20">
        <f>$I$18*$T$18</f>
        <v>0</v>
      </c>
      <c r="U61" s="20">
        <f>$I$18*$U$18</f>
        <v>0</v>
      </c>
      <c r="V61" s="20">
        <f>$I$18*$V$18</f>
        <v>0</v>
      </c>
      <c r="X61" s="20">
        <f>$I$18*$X$18</f>
        <v>0</v>
      </c>
      <c r="Y61" s="20">
        <f>$I$18*$Y$18</f>
        <v>0</v>
      </c>
      <c r="Z61" s="20">
        <f>$I$18*$Z$18</f>
        <v>0</v>
      </c>
      <c r="AA61" s="20">
        <f>$I$18*$AA$18</f>
        <v>0</v>
      </c>
      <c r="AB61" s="20">
        <f>$I$18*$AB$18</f>
        <v>0</v>
      </c>
      <c r="AC61" s="20">
        <f>$I$18*$AC$18</f>
        <v>0</v>
      </c>
      <c r="AD61" s="20">
        <f>$I$18*$AD$18</f>
        <v>0</v>
      </c>
      <c r="AE61" s="20">
        <f>$I$18*$AE$18</f>
        <v>0</v>
      </c>
      <c r="AF61" s="20">
        <f>$I$18*$AF$18</f>
        <v>0</v>
      </c>
      <c r="AG61" s="20">
        <f>$I$18*$AG$18</f>
        <v>0</v>
      </c>
      <c r="AH61" s="20">
        <f>$I$18*$AH$18</f>
        <v>0</v>
      </c>
    </row>
    <row r="62" spans="1:34" ht="11.25" customHeight="1" x14ac:dyDescent="0.3">
      <c r="A62" s="9" t="s">
        <v>22</v>
      </c>
      <c r="B62" s="9" t="s">
        <v>910</v>
      </c>
      <c r="C62" s="9" t="s">
        <v>911</v>
      </c>
      <c r="D62" s="9" t="s">
        <v>924</v>
      </c>
      <c r="E62" s="9" t="s">
        <v>925</v>
      </c>
      <c r="F62" s="9" t="s">
        <v>926</v>
      </c>
      <c r="G62" s="9" t="s">
        <v>927</v>
      </c>
      <c r="L62" s="20">
        <f>$I$19*$L$19</f>
        <v>0</v>
      </c>
      <c r="M62" s="20">
        <f>$I$19*$M$19</f>
        <v>0</v>
      </c>
      <c r="N62" s="20">
        <f>$I$19*$N$19</f>
        <v>0</v>
      </c>
      <c r="O62" s="20">
        <f>$I$19*$O$19</f>
        <v>0</v>
      </c>
      <c r="P62" s="20">
        <f>$I$19*$P$19</f>
        <v>0</v>
      </c>
      <c r="Q62" s="20">
        <f>$I$19*$Q$19</f>
        <v>0</v>
      </c>
      <c r="R62" s="20">
        <f>$I$19*$R$19</f>
        <v>0</v>
      </c>
      <c r="S62" s="20">
        <f>$I$19*$S$19</f>
        <v>0</v>
      </c>
      <c r="T62" s="20">
        <f>$I$19*$T$19</f>
        <v>0</v>
      </c>
      <c r="U62" s="20">
        <f>$I$19*$U$19</f>
        <v>0</v>
      </c>
      <c r="V62" s="20">
        <f>$I$19*$V$19</f>
        <v>0</v>
      </c>
      <c r="X62" s="20">
        <f>$I$19*$X$19</f>
        <v>0</v>
      </c>
      <c r="Y62" s="20">
        <f>$I$19*$Y$19</f>
        <v>0</v>
      </c>
      <c r="Z62" s="20">
        <f>$I$19*$Z$19</f>
        <v>0</v>
      </c>
      <c r="AA62" s="20">
        <f>$I$19*$AA$19</f>
        <v>0</v>
      </c>
      <c r="AB62" s="20">
        <f>$I$19*$AB$19</f>
        <v>0</v>
      </c>
      <c r="AC62" s="20">
        <f>$I$19*$AC$19</f>
        <v>0</v>
      </c>
      <c r="AD62" s="20">
        <f>$I$19*$AD$19</f>
        <v>0</v>
      </c>
      <c r="AE62" s="20">
        <f>$I$19*$AE$19</f>
        <v>0</v>
      </c>
      <c r="AF62" s="20">
        <f>$I$19*$AF$19</f>
        <v>0</v>
      </c>
      <c r="AG62" s="20">
        <f>$I$19*$AG$19</f>
        <v>0</v>
      </c>
      <c r="AH62" s="20">
        <f>$I$19*$AH$19</f>
        <v>0</v>
      </c>
    </row>
    <row r="63" spans="1:34" ht="11.25" customHeight="1" x14ac:dyDescent="0.3">
      <c r="A63" s="9" t="s">
        <v>22</v>
      </c>
      <c r="B63" s="9" t="s">
        <v>910</v>
      </c>
      <c r="C63" s="9" t="s">
        <v>911</v>
      </c>
      <c r="D63" s="9" t="s">
        <v>928</v>
      </c>
      <c r="E63" s="9" t="s">
        <v>929</v>
      </c>
      <c r="F63" s="9" t="s">
        <v>930</v>
      </c>
      <c r="G63" s="9" t="s">
        <v>931</v>
      </c>
      <c r="L63" s="20">
        <f>$I$20*$L$20</f>
        <v>0</v>
      </c>
      <c r="M63" s="20">
        <f>$I$20*$M$20</f>
        <v>0</v>
      </c>
      <c r="N63" s="20">
        <f>$I$20*$N$20</f>
        <v>0</v>
      </c>
      <c r="O63" s="20">
        <f>$I$20*$O$20</f>
        <v>0</v>
      </c>
      <c r="P63" s="20">
        <f>$I$20*$P$20</f>
        <v>0</v>
      </c>
      <c r="Q63" s="20">
        <f>$I$20*$Q$20</f>
        <v>0</v>
      </c>
      <c r="R63" s="20">
        <f>$I$20*$R$20</f>
        <v>0</v>
      </c>
      <c r="S63" s="20">
        <f>$I$20*$S$20</f>
        <v>0</v>
      </c>
      <c r="T63" s="20">
        <f>$I$20*$T$20</f>
        <v>0</v>
      </c>
      <c r="U63" s="20">
        <f>$I$20*$U$20</f>
        <v>0</v>
      </c>
      <c r="V63" s="20">
        <f>$I$20*$V$20</f>
        <v>0</v>
      </c>
      <c r="X63" s="20">
        <f>$I$20*$X$20</f>
        <v>0</v>
      </c>
      <c r="Y63" s="20">
        <f>$I$20*$Y$20</f>
        <v>0</v>
      </c>
      <c r="Z63" s="20">
        <f>$I$20*$Z$20</f>
        <v>0</v>
      </c>
      <c r="AA63" s="20">
        <f>$I$20*$AA$20</f>
        <v>0</v>
      </c>
      <c r="AB63" s="20">
        <f>$I$20*$AB$20</f>
        <v>0</v>
      </c>
      <c r="AC63" s="20">
        <f>$I$20*$AC$20</f>
        <v>0</v>
      </c>
      <c r="AD63" s="20">
        <f>$I$20*$AD$20</f>
        <v>0</v>
      </c>
      <c r="AE63" s="20">
        <f>$I$20*$AE$20</f>
        <v>0</v>
      </c>
      <c r="AF63" s="20">
        <f>$I$20*$AF$20</f>
        <v>0</v>
      </c>
      <c r="AG63" s="20">
        <f>$I$20*$AG$20</f>
        <v>0</v>
      </c>
      <c r="AH63" s="20">
        <f>$I$20*$AH$20</f>
        <v>0</v>
      </c>
    </row>
    <row r="64" spans="1:34" ht="11.25" customHeight="1" x14ac:dyDescent="0.3">
      <c r="A64" s="9" t="s">
        <v>40</v>
      </c>
      <c r="B64" s="9" t="s">
        <v>932</v>
      </c>
      <c r="C64" s="9" t="s">
        <v>933</v>
      </c>
      <c r="D64" s="9" t="s">
        <v>934</v>
      </c>
      <c r="E64" s="9" t="s">
        <v>935</v>
      </c>
      <c r="F64" s="9" t="s">
        <v>936</v>
      </c>
      <c r="G64" s="9" t="s">
        <v>937</v>
      </c>
      <c r="L64" s="20">
        <f>$I$21*$L$21</f>
        <v>0</v>
      </c>
      <c r="M64" s="20">
        <f>$I$21*$M$21</f>
        <v>0</v>
      </c>
      <c r="N64" s="20">
        <f>$I$21*$N$21</f>
        <v>0</v>
      </c>
      <c r="O64" s="20">
        <f>$I$21*$O$21</f>
        <v>0</v>
      </c>
      <c r="P64" s="20">
        <f>$I$21*$P$21</f>
        <v>0</v>
      </c>
      <c r="Q64" s="20">
        <f>$I$21*$Q$21</f>
        <v>0</v>
      </c>
      <c r="R64" s="20">
        <f>$I$21*$R$21</f>
        <v>0</v>
      </c>
      <c r="S64" s="20">
        <f>$I$21*$S$21</f>
        <v>0</v>
      </c>
      <c r="T64" s="20">
        <f>$I$21*$T$21</f>
        <v>0</v>
      </c>
      <c r="U64" s="20">
        <f>$I$21*$U$21</f>
        <v>0</v>
      </c>
      <c r="V64" s="20">
        <f>$I$21*$V$21</f>
        <v>0</v>
      </c>
      <c r="X64" s="20">
        <f>$I$21*$X$21</f>
        <v>0</v>
      </c>
      <c r="Y64" s="20">
        <f>$I$21*$Y$21</f>
        <v>0</v>
      </c>
      <c r="Z64" s="20">
        <f>$I$21*$Z$21</f>
        <v>0</v>
      </c>
      <c r="AA64" s="20">
        <f>$I$21*$AA$21</f>
        <v>0</v>
      </c>
      <c r="AB64" s="20">
        <f>$I$21*$AB$21</f>
        <v>0</v>
      </c>
      <c r="AC64" s="20">
        <f>$I$21*$AC$21</f>
        <v>0</v>
      </c>
      <c r="AD64" s="20">
        <f>$I$21*$AD$21</f>
        <v>0</v>
      </c>
      <c r="AE64" s="20">
        <f>$I$21*$AE$21</f>
        <v>0</v>
      </c>
      <c r="AF64" s="20">
        <f>$I$21*$AF$21</f>
        <v>0</v>
      </c>
      <c r="AG64" s="20">
        <f>$I$21*$AG$21</f>
        <v>0</v>
      </c>
      <c r="AH64" s="20">
        <f>$I$21*$AH$21</f>
        <v>0</v>
      </c>
    </row>
    <row r="65" spans="1:34" ht="11.25" customHeight="1" x14ac:dyDescent="0.3">
      <c r="A65" s="9" t="s">
        <v>40</v>
      </c>
      <c r="B65" s="9" t="s">
        <v>932</v>
      </c>
      <c r="C65" s="9" t="s">
        <v>933</v>
      </c>
      <c r="D65" s="9" t="s">
        <v>934</v>
      </c>
      <c r="E65" s="9" t="s">
        <v>935</v>
      </c>
      <c r="F65" s="9" t="s">
        <v>936</v>
      </c>
      <c r="G65" s="9" t="s">
        <v>938</v>
      </c>
      <c r="L65" s="20">
        <f>$I$22*$L$22</f>
        <v>0</v>
      </c>
      <c r="M65" s="20">
        <f>$I$22*$M$22</f>
        <v>0</v>
      </c>
      <c r="N65" s="20">
        <f>$I$22*$N$22</f>
        <v>0</v>
      </c>
      <c r="O65" s="20">
        <f>$I$22*$O$22</f>
        <v>0</v>
      </c>
      <c r="P65" s="20">
        <f>$I$22*$P$22</f>
        <v>0</v>
      </c>
      <c r="Q65" s="20">
        <f>$I$22*$Q$22</f>
        <v>0</v>
      </c>
      <c r="R65" s="20">
        <f>$I$22*$R$22</f>
        <v>0</v>
      </c>
      <c r="S65" s="20">
        <f>$I$22*$S$22</f>
        <v>0</v>
      </c>
      <c r="T65" s="20">
        <f>$I$22*$T$22</f>
        <v>0</v>
      </c>
      <c r="U65" s="20">
        <f>$I$22*$U$22</f>
        <v>0</v>
      </c>
      <c r="V65" s="20">
        <f>$I$22*$V$22</f>
        <v>0</v>
      </c>
      <c r="X65" s="20">
        <f>$I$22*$X$22</f>
        <v>0</v>
      </c>
      <c r="Y65" s="20">
        <f>$I$22*$Y$22</f>
        <v>0</v>
      </c>
      <c r="Z65" s="20">
        <f>$I$22*$Z$22</f>
        <v>0</v>
      </c>
      <c r="AA65" s="20">
        <f>$I$22*$AA$22</f>
        <v>0</v>
      </c>
      <c r="AB65" s="20">
        <f>$I$22*$AB$22</f>
        <v>0</v>
      </c>
      <c r="AC65" s="20">
        <f>$I$22*$AC$22</f>
        <v>0</v>
      </c>
      <c r="AD65" s="20">
        <f>$I$22*$AD$22</f>
        <v>0</v>
      </c>
      <c r="AE65" s="20">
        <f>$I$22*$AE$22</f>
        <v>0</v>
      </c>
      <c r="AF65" s="20">
        <f>$I$22*$AF$22</f>
        <v>0</v>
      </c>
      <c r="AG65" s="20">
        <f>$I$22*$AG$22</f>
        <v>0</v>
      </c>
      <c r="AH65" s="20">
        <f>$I$22*$AH$22</f>
        <v>0</v>
      </c>
    </row>
    <row r="66" spans="1:34" ht="11.25" customHeight="1" x14ac:dyDescent="0.3">
      <c r="A66" s="9" t="s">
        <v>40</v>
      </c>
      <c r="B66" s="9" t="s">
        <v>932</v>
      </c>
      <c r="C66" s="9" t="s">
        <v>933</v>
      </c>
      <c r="D66" s="9" t="s">
        <v>934</v>
      </c>
      <c r="E66" s="9" t="s">
        <v>935</v>
      </c>
      <c r="F66" s="9" t="s">
        <v>936</v>
      </c>
      <c r="G66" s="9" t="s">
        <v>939</v>
      </c>
      <c r="L66" s="20">
        <f>$I$23*$L$23</f>
        <v>0</v>
      </c>
      <c r="M66" s="20">
        <f>$I$23*$M$23</f>
        <v>0</v>
      </c>
      <c r="N66" s="20">
        <f>$I$23*$N$23</f>
        <v>0</v>
      </c>
      <c r="O66" s="20">
        <f>$I$23*$O$23</f>
        <v>0</v>
      </c>
      <c r="P66" s="20">
        <f>$I$23*$P$23</f>
        <v>0</v>
      </c>
      <c r="Q66" s="20">
        <f>$I$23*$Q$23</f>
        <v>0</v>
      </c>
      <c r="R66" s="20">
        <f>$I$23*$R$23</f>
        <v>0</v>
      </c>
      <c r="S66" s="20">
        <f>$I$23*$S$23</f>
        <v>0</v>
      </c>
      <c r="T66" s="20">
        <f>$I$23*$T$23</f>
        <v>0</v>
      </c>
      <c r="U66" s="20">
        <f>$I$23*$U$23</f>
        <v>0</v>
      </c>
      <c r="V66" s="20">
        <f>$I$23*$V$23</f>
        <v>0</v>
      </c>
      <c r="X66" s="20">
        <f>$I$23*$X$23</f>
        <v>0</v>
      </c>
      <c r="Y66" s="20">
        <f>$I$23*$Y$23</f>
        <v>0</v>
      </c>
      <c r="Z66" s="20">
        <f>$I$23*$Z$23</f>
        <v>0</v>
      </c>
      <c r="AA66" s="20">
        <f>$I$23*$AA$23</f>
        <v>0</v>
      </c>
      <c r="AB66" s="20">
        <f>$I$23*$AB$23</f>
        <v>0</v>
      </c>
      <c r="AC66" s="20">
        <f>$I$23*$AC$23</f>
        <v>0</v>
      </c>
      <c r="AD66" s="20">
        <f>$I$23*$AD$23</f>
        <v>0</v>
      </c>
      <c r="AE66" s="20">
        <f>$I$23*$AE$23</f>
        <v>0</v>
      </c>
      <c r="AF66" s="20">
        <f>$I$23*$AF$23</f>
        <v>0</v>
      </c>
      <c r="AG66" s="20">
        <f>$I$23*$AG$23</f>
        <v>0</v>
      </c>
      <c r="AH66" s="20">
        <f>$I$23*$AH$23</f>
        <v>0</v>
      </c>
    </row>
    <row r="67" spans="1:34" ht="11.25" customHeight="1" x14ac:dyDescent="0.3">
      <c r="A67" s="9" t="s">
        <v>40</v>
      </c>
      <c r="B67" s="9" t="s">
        <v>940</v>
      </c>
      <c r="C67" s="9" t="s">
        <v>941</v>
      </c>
      <c r="D67" s="9" t="s">
        <v>942</v>
      </c>
      <c r="E67" s="9" t="s">
        <v>943</v>
      </c>
      <c r="F67" s="9" t="s">
        <v>944</v>
      </c>
      <c r="G67" s="9" t="s">
        <v>945</v>
      </c>
      <c r="L67" s="20">
        <f>$I$24*$L$24</f>
        <v>0</v>
      </c>
      <c r="M67" s="20">
        <f>$I$24*$M$24</f>
        <v>228966.76744050873</v>
      </c>
      <c r="N67" s="20">
        <f>$I$24*$N$24</f>
        <v>0</v>
      </c>
      <c r="O67" s="20">
        <f>$I$24*$O$24</f>
        <v>0</v>
      </c>
      <c r="P67" s="20">
        <f>$I$24*$P$24</f>
        <v>0</v>
      </c>
      <c r="Q67" s="20">
        <f>$I$24*$Q$24</f>
        <v>2809170.8302508891</v>
      </c>
      <c r="R67" s="20">
        <f>$I$24*$R$24</f>
        <v>0</v>
      </c>
      <c r="S67" s="20">
        <f>$I$24*$S$24</f>
        <v>0</v>
      </c>
      <c r="T67" s="20">
        <f>$I$24*$T$24</f>
        <v>0</v>
      </c>
      <c r="U67" s="20">
        <f>$I$24*$U$24</f>
        <v>0</v>
      </c>
      <c r="V67" s="20">
        <f>$I$24*$V$24</f>
        <v>0</v>
      </c>
      <c r="X67" s="20">
        <f>$I$24*$X$24</f>
        <v>0</v>
      </c>
      <c r="Y67" s="20">
        <f>$I$24*$Y$24</f>
        <v>0</v>
      </c>
      <c r="Z67" s="20">
        <f>$I$24*$Z$24</f>
        <v>0</v>
      </c>
      <c r="AA67" s="20">
        <f>$I$24*$AA$24</f>
        <v>0</v>
      </c>
      <c r="AB67" s="20">
        <f>$I$24*$AB$24</f>
        <v>0</v>
      </c>
      <c r="AC67" s="20">
        <f>$I$24*$AC$24</f>
        <v>3883054.3250943436</v>
      </c>
      <c r="AD67" s="20">
        <f>$I$24*$AD$24</f>
        <v>0</v>
      </c>
      <c r="AE67" s="20">
        <f>$I$24*$AE$24</f>
        <v>0</v>
      </c>
      <c r="AF67" s="20">
        <f>$I$24*$AF$24</f>
        <v>0</v>
      </c>
      <c r="AG67" s="20">
        <f>$I$24*$AG$24</f>
        <v>0</v>
      </c>
      <c r="AH67" s="20">
        <f>$I$24*$AH$24</f>
        <v>0</v>
      </c>
    </row>
    <row r="68" spans="1:34" ht="11.25" customHeight="1" x14ac:dyDescent="0.3">
      <c r="A68" s="9" t="s">
        <v>40</v>
      </c>
      <c r="B68" s="9" t="s">
        <v>932</v>
      </c>
      <c r="C68" s="9" t="s">
        <v>933</v>
      </c>
      <c r="D68" s="9" t="s">
        <v>946</v>
      </c>
      <c r="E68" s="9" t="s">
        <v>947</v>
      </c>
      <c r="F68" s="9" t="s">
        <v>948</v>
      </c>
      <c r="G68" s="9" t="s">
        <v>949</v>
      </c>
      <c r="L68" s="20">
        <f>$I$25*$L$25</f>
        <v>0</v>
      </c>
      <c r="M68" s="20">
        <f>$I$25*$M$25</f>
        <v>0</v>
      </c>
      <c r="N68" s="20">
        <f>$I$25*$N$25</f>
        <v>0</v>
      </c>
      <c r="O68" s="20">
        <f>$I$25*$O$25</f>
        <v>0</v>
      </c>
      <c r="P68" s="20">
        <f>$I$25*$P$25</f>
        <v>0</v>
      </c>
      <c r="Q68" s="20">
        <f>$I$25*$Q$25</f>
        <v>0</v>
      </c>
      <c r="R68" s="20">
        <f>$I$25*$R$25</f>
        <v>0</v>
      </c>
      <c r="S68" s="20">
        <f>$I$25*$S$25</f>
        <v>0</v>
      </c>
      <c r="T68" s="20">
        <f>$I$25*$T$25</f>
        <v>0</v>
      </c>
      <c r="U68" s="20">
        <f>$I$25*$U$25</f>
        <v>0</v>
      </c>
      <c r="V68" s="20">
        <f>$I$25*$V$25</f>
        <v>0</v>
      </c>
      <c r="X68" s="20">
        <f>$I$25*$X$25</f>
        <v>0</v>
      </c>
      <c r="Y68" s="20">
        <f>$I$25*$Y$25</f>
        <v>0</v>
      </c>
      <c r="Z68" s="20">
        <f>$I$25*$Z$25</f>
        <v>0</v>
      </c>
      <c r="AA68" s="20">
        <f>$I$25*$AA$25</f>
        <v>0</v>
      </c>
      <c r="AB68" s="20">
        <f>$I$25*$AB$25</f>
        <v>0</v>
      </c>
      <c r="AC68" s="20">
        <f>$I$25*$AC$25</f>
        <v>0</v>
      </c>
      <c r="AD68" s="20">
        <f>$I$25*$AD$25</f>
        <v>0</v>
      </c>
      <c r="AE68" s="20">
        <f>$I$25*$AE$25</f>
        <v>0</v>
      </c>
      <c r="AF68" s="20">
        <f>$I$25*$AF$25</f>
        <v>0</v>
      </c>
      <c r="AG68" s="20">
        <f>$I$25*$AG$25</f>
        <v>0</v>
      </c>
      <c r="AH68" s="20">
        <f>$I$25*$AH$25</f>
        <v>0</v>
      </c>
    </row>
    <row r="69" spans="1:34" ht="11.25" customHeight="1" x14ac:dyDescent="0.3">
      <c r="A69" s="9" t="s">
        <v>40</v>
      </c>
      <c r="B69" s="9" t="s">
        <v>932</v>
      </c>
      <c r="C69" s="9" t="s">
        <v>933</v>
      </c>
      <c r="D69" s="9" t="s">
        <v>946</v>
      </c>
      <c r="E69" s="9" t="s">
        <v>947</v>
      </c>
      <c r="F69" s="9" t="s">
        <v>948</v>
      </c>
      <c r="G69" s="9" t="s">
        <v>950</v>
      </c>
      <c r="L69" s="20">
        <f>$I$26*$L$26</f>
        <v>0</v>
      </c>
      <c r="M69" s="20">
        <f>$I$26*$M$26</f>
        <v>0</v>
      </c>
      <c r="N69" s="20">
        <f>$I$26*$N$26</f>
        <v>0</v>
      </c>
      <c r="O69" s="20">
        <f>$I$26*$O$26</f>
        <v>0</v>
      </c>
      <c r="P69" s="20">
        <f>$I$26*$P$26</f>
        <v>0</v>
      </c>
      <c r="Q69" s="20">
        <f>$I$26*$Q$26</f>
        <v>0</v>
      </c>
      <c r="R69" s="20">
        <f>$I$26*$R$26</f>
        <v>0</v>
      </c>
      <c r="S69" s="20">
        <f>$I$26*$S$26</f>
        <v>0</v>
      </c>
      <c r="T69" s="20">
        <f>$I$26*$T$26</f>
        <v>0</v>
      </c>
      <c r="U69" s="20">
        <f>$I$26*$U$26</f>
        <v>0</v>
      </c>
      <c r="V69" s="20">
        <f>$I$26*$V$26</f>
        <v>0</v>
      </c>
      <c r="X69" s="20">
        <f>$I$26*$X$26</f>
        <v>0</v>
      </c>
      <c r="Y69" s="20">
        <f>$I$26*$Y$26</f>
        <v>0</v>
      </c>
      <c r="Z69" s="20">
        <f>$I$26*$Z$26</f>
        <v>0</v>
      </c>
      <c r="AA69" s="20">
        <f>$I$26*$AA$26</f>
        <v>0</v>
      </c>
      <c r="AB69" s="20">
        <f>$I$26*$AB$26</f>
        <v>0</v>
      </c>
      <c r="AC69" s="20">
        <f>$I$26*$AC$26</f>
        <v>0</v>
      </c>
      <c r="AD69" s="20">
        <f>$I$26*$AD$26</f>
        <v>0</v>
      </c>
      <c r="AE69" s="20">
        <f>$I$26*$AE$26</f>
        <v>0</v>
      </c>
      <c r="AF69" s="20">
        <f>$I$26*$AF$26</f>
        <v>0</v>
      </c>
      <c r="AG69" s="20">
        <f>$I$26*$AG$26</f>
        <v>0</v>
      </c>
      <c r="AH69" s="20">
        <f>$I$26*$AH$26</f>
        <v>0</v>
      </c>
    </row>
    <row r="70" spans="1:34" ht="11.25" customHeight="1" x14ac:dyDescent="0.3">
      <c r="A70" s="9" t="s">
        <v>40</v>
      </c>
      <c r="B70" s="9" t="s">
        <v>932</v>
      </c>
      <c r="C70" s="9" t="s">
        <v>933</v>
      </c>
      <c r="D70" s="9" t="s">
        <v>946</v>
      </c>
      <c r="E70" s="9" t="s">
        <v>947</v>
      </c>
      <c r="F70" s="9" t="s">
        <v>948</v>
      </c>
      <c r="G70" s="9" t="s">
        <v>951</v>
      </c>
      <c r="L70" s="20">
        <f>$I$27*$L$27</f>
        <v>0</v>
      </c>
      <c r="M70" s="20">
        <f>$I$27*$M$27</f>
        <v>0</v>
      </c>
      <c r="N70" s="20">
        <f>$I$27*$N$27</f>
        <v>0</v>
      </c>
      <c r="O70" s="20">
        <f>$I$27*$O$27</f>
        <v>0</v>
      </c>
      <c r="P70" s="20">
        <f>$I$27*$P$27</f>
        <v>0</v>
      </c>
      <c r="Q70" s="20">
        <f>$I$27*$Q$27</f>
        <v>0</v>
      </c>
      <c r="R70" s="20">
        <f>$I$27*$R$27</f>
        <v>0</v>
      </c>
      <c r="S70" s="20">
        <f>$I$27*$S$27</f>
        <v>0</v>
      </c>
      <c r="T70" s="20">
        <f>$I$27*$T$27</f>
        <v>0</v>
      </c>
      <c r="U70" s="20">
        <f>$I$27*$U$27</f>
        <v>0</v>
      </c>
      <c r="V70" s="20">
        <f>$I$27*$V$27</f>
        <v>0</v>
      </c>
      <c r="X70" s="20">
        <f>$I$27*$X$27</f>
        <v>0</v>
      </c>
      <c r="Y70" s="20">
        <f>$I$27*$Y$27</f>
        <v>0</v>
      </c>
      <c r="Z70" s="20">
        <f>$I$27*$Z$27</f>
        <v>0</v>
      </c>
      <c r="AA70" s="20">
        <f>$I$27*$AA$27</f>
        <v>0</v>
      </c>
      <c r="AB70" s="20">
        <f>$I$27*$AB$27</f>
        <v>0</v>
      </c>
      <c r="AC70" s="20">
        <f>$I$27*$AC$27</f>
        <v>0</v>
      </c>
      <c r="AD70" s="20">
        <f>$I$27*$AD$27</f>
        <v>0</v>
      </c>
      <c r="AE70" s="20">
        <f>$I$27*$AE$27</f>
        <v>0</v>
      </c>
      <c r="AF70" s="20">
        <f>$I$27*$AF$27</f>
        <v>0</v>
      </c>
      <c r="AG70" s="20">
        <f>$I$27*$AG$27</f>
        <v>0</v>
      </c>
      <c r="AH70" s="20">
        <f>$I$27*$AH$27</f>
        <v>0</v>
      </c>
    </row>
    <row r="71" spans="1:34" ht="11.25" customHeight="1" x14ac:dyDescent="0.3">
      <c r="A71" s="9" t="s">
        <v>40</v>
      </c>
      <c r="B71" s="9" t="s">
        <v>940</v>
      </c>
      <c r="C71" s="9" t="s">
        <v>941</v>
      </c>
      <c r="D71" s="9" t="s">
        <v>952</v>
      </c>
      <c r="E71" s="9" t="s">
        <v>953</v>
      </c>
      <c r="F71" s="9" t="s">
        <v>954</v>
      </c>
      <c r="G71" s="9" t="s">
        <v>955</v>
      </c>
      <c r="L71" s="20">
        <f>$I$28*$L$28</f>
        <v>0</v>
      </c>
      <c r="M71" s="20">
        <f>$I$28*$M$28</f>
        <v>0</v>
      </c>
      <c r="N71" s="20">
        <f>$I$28*$N$28</f>
        <v>0</v>
      </c>
      <c r="O71" s="20">
        <f>$I$28*$O$28</f>
        <v>0</v>
      </c>
      <c r="P71" s="20">
        <f>$I$28*$P$28</f>
        <v>0</v>
      </c>
      <c r="Q71" s="20">
        <f>$I$28*$Q$28</f>
        <v>0</v>
      </c>
      <c r="R71" s="20">
        <f>$I$28*$R$28</f>
        <v>0</v>
      </c>
      <c r="S71" s="20">
        <f>$I$28*$S$28</f>
        <v>0</v>
      </c>
      <c r="T71" s="20">
        <f>$I$28*$T$28</f>
        <v>0</v>
      </c>
      <c r="U71" s="20">
        <f>$I$28*$U$28</f>
        <v>0</v>
      </c>
      <c r="V71" s="20">
        <f>$I$28*$V$28</f>
        <v>0</v>
      </c>
      <c r="X71" s="20">
        <f>$I$28*$X$28</f>
        <v>0</v>
      </c>
      <c r="Y71" s="20">
        <f>$I$28*$Y$28</f>
        <v>0</v>
      </c>
      <c r="Z71" s="20">
        <f>$I$28*$Z$28</f>
        <v>0</v>
      </c>
      <c r="AA71" s="20">
        <f>$I$28*$AA$28</f>
        <v>0</v>
      </c>
      <c r="AB71" s="20">
        <f>$I$28*$AB$28</f>
        <v>0</v>
      </c>
      <c r="AC71" s="20">
        <f>$I$28*$AC$28</f>
        <v>0</v>
      </c>
      <c r="AD71" s="20">
        <f>$I$28*$AD$28</f>
        <v>0</v>
      </c>
      <c r="AE71" s="20">
        <f>$I$28*$AE$28</f>
        <v>0</v>
      </c>
      <c r="AF71" s="20">
        <f>$I$28*$AF$28</f>
        <v>0</v>
      </c>
      <c r="AG71" s="20">
        <f>$I$28*$AG$28</f>
        <v>0</v>
      </c>
      <c r="AH71" s="20">
        <f>$I$28*$AH$28</f>
        <v>0</v>
      </c>
    </row>
    <row r="72" spans="1:34" ht="11.25" customHeight="1" x14ac:dyDescent="0.3">
      <c r="A72" s="9" t="s">
        <v>40</v>
      </c>
      <c r="B72" s="9" t="s">
        <v>932</v>
      </c>
      <c r="C72" s="9" t="s">
        <v>933</v>
      </c>
      <c r="D72" s="9" t="s">
        <v>956</v>
      </c>
      <c r="E72" s="9" t="s">
        <v>957</v>
      </c>
      <c r="F72" s="9" t="s">
        <v>958</v>
      </c>
      <c r="G72" s="9" t="s">
        <v>959</v>
      </c>
      <c r="L72" s="20">
        <f>$I$29*$L$29</f>
        <v>0</v>
      </c>
      <c r="M72" s="20">
        <f>$I$29*$M$29</f>
        <v>0</v>
      </c>
      <c r="N72" s="20">
        <f>$I$29*$N$29</f>
        <v>0</v>
      </c>
      <c r="O72" s="20">
        <f>$I$29*$O$29</f>
        <v>0</v>
      </c>
      <c r="P72" s="20">
        <f>$I$29*$P$29</f>
        <v>0</v>
      </c>
      <c r="Q72" s="20">
        <f>$I$29*$Q$29</f>
        <v>0</v>
      </c>
      <c r="R72" s="20">
        <f>$I$29*$R$29</f>
        <v>0</v>
      </c>
      <c r="S72" s="20">
        <f>$I$29*$S$29</f>
        <v>0</v>
      </c>
      <c r="T72" s="20">
        <f>$I$29*$T$29</f>
        <v>0</v>
      </c>
      <c r="U72" s="20">
        <f>$I$29*$U$29</f>
        <v>0</v>
      </c>
      <c r="V72" s="20">
        <f>$I$29*$V$29</f>
        <v>0</v>
      </c>
      <c r="X72" s="20">
        <f>$I$29*$X$29</f>
        <v>0</v>
      </c>
      <c r="Y72" s="20">
        <f>$I$29*$Y$29</f>
        <v>0</v>
      </c>
      <c r="Z72" s="20">
        <f>$I$29*$Z$29</f>
        <v>0</v>
      </c>
      <c r="AA72" s="20">
        <f>$I$29*$AA$29</f>
        <v>0</v>
      </c>
      <c r="AB72" s="20">
        <f>$I$29*$AB$29</f>
        <v>0</v>
      </c>
      <c r="AC72" s="20">
        <f>$I$29*$AC$29</f>
        <v>0</v>
      </c>
      <c r="AD72" s="20">
        <f>$I$29*$AD$29</f>
        <v>0</v>
      </c>
      <c r="AE72" s="20">
        <f>$I$29*$AE$29</f>
        <v>0</v>
      </c>
      <c r="AF72" s="20">
        <f>$I$29*$AF$29</f>
        <v>0</v>
      </c>
      <c r="AG72" s="20">
        <f>$I$29*$AG$29</f>
        <v>0</v>
      </c>
      <c r="AH72" s="20">
        <f>$I$29*$AH$29</f>
        <v>0</v>
      </c>
    </row>
    <row r="73" spans="1:34" ht="11.25" customHeight="1" x14ac:dyDescent="0.3">
      <c r="A73" s="9" t="s">
        <v>40</v>
      </c>
      <c r="B73" s="9" t="s">
        <v>932</v>
      </c>
      <c r="C73" s="9" t="s">
        <v>933</v>
      </c>
      <c r="D73" s="9" t="s">
        <v>956</v>
      </c>
      <c r="E73" s="9" t="s">
        <v>957</v>
      </c>
      <c r="F73" s="9" t="s">
        <v>958</v>
      </c>
      <c r="G73" s="9" t="s">
        <v>960</v>
      </c>
      <c r="L73" s="20">
        <f>$I$30*$L$30</f>
        <v>0</v>
      </c>
      <c r="M73" s="20">
        <f>$I$30*$M$30</f>
        <v>0</v>
      </c>
      <c r="N73" s="20">
        <f>$I$30*$N$30</f>
        <v>0</v>
      </c>
      <c r="O73" s="20">
        <f>$I$30*$O$30</f>
        <v>0</v>
      </c>
      <c r="P73" s="20">
        <f>$I$30*$P$30</f>
        <v>0</v>
      </c>
      <c r="Q73" s="20">
        <f>$I$30*$Q$30</f>
        <v>0</v>
      </c>
      <c r="R73" s="20">
        <f>$I$30*$R$30</f>
        <v>0</v>
      </c>
      <c r="S73" s="20">
        <f>$I$30*$S$30</f>
        <v>0</v>
      </c>
      <c r="T73" s="20">
        <f>$I$30*$T$30</f>
        <v>0</v>
      </c>
      <c r="U73" s="20">
        <f>$I$30*$U$30</f>
        <v>0</v>
      </c>
      <c r="V73" s="20">
        <f>$I$30*$V$30</f>
        <v>0</v>
      </c>
      <c r="X73" s="20">
        <f>$I$30*$X$30</f>
        <v>0</v>
      </c>
      <c r="Y73" s="20">
        <f>$I$30*$Y$30</f>
        <v>0</v>
      </c>
      <c r="Z73" s="20">
        <f>$I$30*$Z$30</f>
        <v>0</v>
      </c>
      <c r="AA73" s="20">
        <f>$I$30*$AA$30</f>
        <v>0</v>
      </c>
      <c r="AB73" s="20">
        <f>$I$30*$AB$30</f>
        <v>0</v>
      </c>
      <c r="AC73" s="20">
        <f>$I$30*$AC$30</f>
        <v>0</v>
      </c>
      <c r="AD73" s="20">
        <f>$I$30*$AD$30</f>
        <v>0</v>
      </c>
      <c r="AE73" s="20">
        <f>$I$30*$AE$30</f>
        <v>0</v>
      </c>
      <c r="AF73" s="20">
        <f>$I$30*$AF$30</f>
        <v>0</v>
      </c>
      <c r="AG73" s="20">
        <f>$I$30*$AG$30</f>
        <v>0</v>
      </c>
      <c r="AH73" s="20">
        <f>$I$30*$AH$30</f>
        <v>0</v>
      </c>
    </row>
    <row r="74" spans="1:34" ht="11.25" customHeight="1" x14ac:dyDescent="0.3">
      <c r="A74" s="9" t="s">
        <v>40</v>
      </c>
      <c r="B74" s="9" t="s">
        <v>932</v>
      </c>
      <c r="C74" s="9" t="s">
        <v>933</v>
      </c>
      <c r="D74" s="9" t="s">
        <v>956</v>
      </c>
      <c r="E74" s="9" t="s">
        <v>957</v>
      </c>
      <c r="F74" s="9" t="s">
        <v>958</v>
      </c>
      <c r="G74" s="9" t="s">
        <v>961</v>
      </c>
      <c r="L74" s="20">
        <f>$I$31*$L$31</f>
        <v>0</v>
      </c>
      <c r="M74" s="20">
        <f>$I$31*$M$31</f>
        <v>0</v>
      </c>
      <c r="N74" s="20">
        <f>$I$31*$N$31</f>
        <v>0</v>
      </c>
      <c r="O74" s="20">
        <f>$I$31*$O$31</f>
        <v>0</v>
      </c>
      <c r="P74" s="20">
        <f>$I$31*$P$31</f>
        <v>0</v>
      </c>
      <c r="Q74" s="20">
        <f>$I$31*$Q$31</f>
        <v>0</v>
      </c>
      <c r="R74" s="20">
        <f>$I$31*$R$31</f>
        <v>0</v>
      </c>
      <c r="S74" s="20">
        <f>$I$31*$S$31</f>
        <v>0</v>
      </c>
      <c r="T74" s="20">
        <f>$I$31*$T$31</f>
        <v>0</v>
      </c>
      <c r="U74" s="20">
        <f>$I$31*$U$31</f>
        <v>0</v>
      </c>
      <c r="V74" s="20">
        <f>$I$31*$V$31</f>
        <v>0</v>
      </c>
      <c r="X74" s="20">
        <f>$I$31*$X$31</f>
        <v>0</v>
      </c>
      <c r="Y74" s="20">
        <f>$I$31*$Y$31</f>
        <v>0</v>
      </c>
      <c r="Z74" s="20">
        <f>$I$31*$Z$31</f>
        <v>0</v>
      </c>
      <c r="AA74" s="20">
        <f>$I$31*$AA$31</f>
        <v>0</v>
      </c>
      <c r="AB74" s="20">
        <f>$I$31*$AB$31</f>
        <v>0</v>
      </c>
      <c r="AC74" s="20">
        <f>$I$31*$AC$31</f>
        <v>0</v>
      </c>
      <c r="AD74" s="20">
        <f>$I$31*$AD$31</f>
        <v>0</v>
      </c>
      <c r="AE74" s="20">
        <f>$I$31*$AE$31</f>
        <v>0</v>
      </c>
      <c r="AF74" s="20">
        <f>$I$31*$AF$31</f>
        <v>0</v>
      </c>
      <c r="AG74" s="20">
        <f>$I$31*$AG$31</f>
        <v>0</v>
      </c>
      <c r="AH74" s="20">
        <f>$I$31*$AH$31</f>
        <v>0</v>
      </c>
    </row>
    <row r="75" spans="1:34" ht="11.25" customHeight="1" x14ac:dyDescent="0.3">
      <c r="A75" s="9" t="s">
        <v>40</v>
      </c>
      <c r="B75" s="9" t="s">
        <v>940</v>
      </c>
      <c r="C75" s="9" t="s">
        <v>941</v>
      </c>
      <c r="D75" s="9" t="s">
        <v>962</v>
      </c>
      <c r="E75" s="9" t="s">
        <v>963</v>
      </c>
      <c r="F75" s="9" t="s">
        <v>964</v>
      </c>
      <c r="G75" s="9" t="s">
        <v>965</v>
      </c>
      <c r="L75" s="20">
        <f>$I$32*$L$32</f>
        <v>0</v>
      </c>
      <c r="M75" s="20">
        <f>$I$32*$M$32</f>
        <v>0</v>
      </c>
      <c r="N75" s="20">
        <f>$I$32*$N$32</f>
        <v>0</v>
      </c>
      <c r="O75" s="20">
        <f>$I$32*$O$32</f>
        <v>0</v>
      </c>
      <c r="P75" s="20">
        <f>$I$32*$P$32</f>
        <v>0</v>
      </c>
      <c r="Q75" s="20">
        <f>$I$32*$Q$32</f>
        <v>0</v>
      </c>
      <c r="R75" s="20">
        <f>$I$32*$R$32</f>
        <v>0</v>
      </c>
      <c r="S75" s="20">
        <f>$I$32*$S$32</f>
        <v>0</v>
      </c>
      <c r="T75" s="20">
        <f>$I$32*$T$32</f>
        <v>0</v>
      </c>
      <c r="U75" s="20">
        <f>$I$32*$U$32</f>
        <v>0</v>
      </c>
      <c r="V75" s="20">
        <f>$I$32*$V$32</f>
        <v>0</v>
      </c>
      <c r="X75" s="20">
        <f>$I$32*$X$32</f>
        <v>0</v>
      </c>
      <c r="Y75" s="20">
        <f>$I$32*$Y$32</f>
        <v>0</v>
      </c>
      <c r="Z75" s="20">
        <f>$I$32*$Z$32</f>
        <v>0</v>
      </c>
      <c r="AA75" s="20">
        <f>$I$32*$AA$32</f>
        <v>0</v>
      </c>
      <c r="AB75" s="20">
        <f>$I$32*$AB$32</f>
        <v>0</v>
      </c>
      <c r="AC75" s="20">
        <f>$I$32*$AC$32</f>
        <v>0</v>
      </c>
      <c r="AD75" s="20">
        <f>$I$32*$AD$32</f>
        <v>0</v>
      </c>
      <c r="AE75" s="20">
        <f>$I$32*$AE$32</f>
        <v>0</v>
      </c>
      <c r="AF75" s="20">
        <f>$I$32*$AF$32</f>
        <v>0</v>
      </c>
      <c r="AG75" s="20">
        <f>$I$32*$AG$32</f>
        <v>0</v>
      </c>
      <c r="AH75" s="20">
        <f>$I$32*$AH$32</f>
        <v>0</v>
      </c>
    </row>
    <row r="76" spans="1:34" ht="11.25" customHeight="1" x14ac:dyDescent="0.3">
      <c r="A76" s="9" t="s">
        <v>40</v>
      </c>
      <c r="B76" s="9" t="s">
        <v>966</v>
      </c>
      <c r="C76" s="9" t="s">
        <v>967</v>
      </c>
      <c r="D76" s="9" t="s">
        <v>968</v>
      </c>
      <c r="E76" s="9" t="s">
        <v>969</v>
      </c>
      <c r="F76" s="9" t="s">
        <v>970</v>
      </c>
      <c r="G76" s="9" t="s">
        <v>971</v>
      </c>
      <c r="L76" s="20">
        <f>$I$33*$L$33</f>
        <v>0</v>
      </c>
      <c r="M76" s="20">
        <f>$I$33*$M$33</f>
        <v>0</v>
      </c>
      <c r="N76" s="20">
        <f>$I$33*$N$33</f>
        <v>0</v>
      </c>
      <c r="O76" s="20">
        <f>$I$33*$O$33</f>
        <v>0</v>
      </c>
      <c r="P76" s="20">
        <f>$I$33*$P$33</f>
        <v>0</v>
      </c>
      <c r="Q76" s="20">
        <f>$I$33*$Q$33</f>
        <v>0</v>
      </c>
      <c r="R76" s="20">
        <f>$I$33*$R$33</f>
        <v>0</v>
      </c>
      <c r="S76" s="20">
        <f>$I$33*$S$33</f>
        <v>0</v>
      </c>
      <c r="T76" s="20">
        <f>$I$33*$T$33</f>
        <v>0</v>
      </c>
      <c r="U76" s="20">
        <f>$I$33*$U$33</f>
        <v>0</v>
      </c>
      <c r="V76" s="20">
        <f>$I$33*$V$33</f>
        <v>0</v>
      </c>
      <c r="X76" s="20">
        <f>$I$33*$X$33</f>
        <v>0</v>
      </c>
      <c r="Y76" s="20">
        <f>$I$33*$Y$33</f>
        <v>0</v>
      </c>
      <c r="Z76" s="20">
        <f>$I$33*$Z$33</f>
        <v>0</v>
      </c>
      <c r="AA76" s="20">
        <f>$I$33*$AA$33</f>
        <v>0</v>
      </c>
      <c r="AB76" s="20">
        <f>$I$33*$AB$33</f>
        <v>0</v>
      </c>
      <c r="AC76" s="20">
        <f>$I$33*$AC$33</f>
        <v>0</v>
      </c>
      <c r="AD76" s="20">
        <f>$I$33*$AD$33</f>
        <v>0</v>
      </c>
      <c r="AE76" s="20">
        <f>$I$33*$AE$33</f>
        <v>0</v>
      </c>
      <c r="AF76" s="20">
        <f>$I$33*$AF$33</f>
        <v>0</v>
      </c>
      <c r="AG76" s="20">
        <f>$I$33*$AG$33</f>
        <v>0</v>
      </c>
      <c r="AH76" s="20">
        <f>$I$33*$AH$33</f>
        <v>0</v>
      </c>
    </row>
    <row r="77" spans="1:34" ht="11.25" customHeight="1" x14ac:dyDescent="0.3">
      <c r="A77" s="9" t="s">
        <v>40</v>
      </c>
      <c r="B77" s="9" t="s">
        <v>966</v>
      </c>
      <c r="C77" s="9" t="s">
        <v>967</v>
      </c>
      <c r="D77" s="9" t="s">
        <v>972</v>
      </c>
      <c r="E77" s="9" t="s">
        <v>973</v>
      </c>
      <c r="F77" s="9" t="s">
        <v>974</v>
      </c>
      <c r="G77" s="9" t="s">
        <v>975</v>
      </c>
      <c r="L77" s="20">
        <f>$I$34*$L$34</f>
        <v>0</v>
      </c>
      <c r="M77" s="20">
        <f>$I$34*$M$34</f>
        <v>0</v>
      </c>
      <c r="N77" s="20">
        <f>$I$34*$N$34</f>
        <v>0</v>
      </c>
      <c r="O77" s="20">
        <f>$I$34*$O$34</f>
        <v>0</v>
      </c>
      <c r="P77" s="20">
        <f>$I$34*$P$34</f>
        <v>0</v>
      </c>
      <c r="Q77" s="20">
        <f>$I$34*$Q$34</f>
        <v>0</v>
      </c>
      <c r="R77" s="20">
        <f>$I$34*$R$34</f>
        <v>0</v>
      </c>
      <c r="S77" s="20">
        <f>$I$34*$S$34</f>
        <v>0</v>
      </c>
      <c r="T77" s="20">
        <f>$I$34*$T$34</f>
        <v>0</v>
      </c>
      <c r="U77" s="20">
        <f>$I$34*$U$34</f>
        <v>0</v>
      </c>
      <c r="V77" s="20">
        <f>$I$34*$V$34</f>
        <v>0</v>
      </c>
      <c r="X77" s="20">
        <f>$I$34*$X$34</f>
        <v>0</v>
      </c>
      <c r="Y77" s="20">
        <f>$I$34*$Y$34</f>
        <v>0</v>
      </c>
      <c r="Z77" s="20">
        <f>$I$34*$Z$34</f>
        <v>0</v>
      </c>
      <c r="AA77" s="20">
        <f>$I$34*$AA$34</f>
        <v>0</v>
      </c>
      <c r="AB77" s="20">
        <f>$I$34*$AB$34</f>
        <v>0</v>
      </c>
      <c r="AC77" s="20">
        <f>$I$34*$AC$34</f>
        <v>0</v>
      </c>
      <c r="AD77" s="20">
        <f>$I$34*$AD$34</f>
        <v>0</v>
      </c>
      <c r="AE77" s="20">
        <f>$I$34*$AE$34</f>
        <v>0</v>
      </c>
      <c r="AF77" s="20">
        <f>$I$34*$AF$34</f>
        <v>0</v>
      </c>
      <c r="AG77" s="20">
        <f>$I$34*$AG$34</f>
        <v>0</v>
      </c>
      <c r="AH77" s="20">
        <f>$I$34*$AH$34</f>
        <v>0</v>
      </c>
    </row>
    <row r="78" spans="1:34" ht="11.25" customHeight="1" x14ac:dyDescent="0.3">
      <c r="A78" s="9" t="s">
        <v>40</v>
      </c>
      <c r="B78" s="9" t="s">
        <v>966</v>
      </c>
      <c r="C78" s="9" t="s">
        <v>967</v>
      </c>
      <c r="D78" s="9" t="s">
        <v>976</v>
      </c>
      <c r="E78" s="9" t="s">
        <v>977</v>
      </c>
      <c r="F78" s="9" t="s">
        <v>978</v>
      </c>
      <c r="G78" s="9" t="s">
        <v>979</v>
      </c>
      <c r="L78" s="20">
        <f>$I$35*$L$35</f>
        <v>0</v>
      </c>
      <c r="M78" s="20">
        <f>$I$35*$M$35</f>
        <v>0</v>
      </c>
      <c r="N78" s="20">
        <f>$I$35*$N$35</f>
        <v>0</v>
      </c>
      <c r="O78" s="20">
        <f>$I$35*$O$35</f>
        <v>0</v>
      </c>
      <c r="P78" s="20">
        <f>$I$35*$P$35</f>
        <v>0</v>
      </c>
      <c r="Q78" s="20">
        <f>$I$35*$Q$35</f>
        <v>0</v>
      </c>
      <c r="R78" s="20">
        <f>$I$35*$R$35</f>
        <v>0</v>
      </c>
      <c r="S78" s="20">
        <f>$I$35*$S$35</f>
        <v>0</v>
      </c>
      <c r="T78" s="20">
        <f>$I$35*$T$35</f>
        <v>0</v>
      </c>
      <c r="U78" s="20">
        <f>$I$35*$U$35</f>
        <v>0</v>
      </c>
      <c r="V78" s="20">
        <f>$I$35*$V$35</f>
        <v>0</v>
      </c>
      <c r="X78" s="20">
        <f>$I$35*$X$35</f>
        <v>0</v>
      </c>
      <c r="Y78" s="20">
        <f>$I$35*$Y$35</f>
        <v>0</v>
      </c>
      <c r="Z78" s="20">
        <f>$I$35*$Z$35</f>
        <v>0</v>
      </c>
      <c r="AA78" s="20">
        <f>$I$35*$AA$35</f>
        <v>0</v>
      </c>
      <c r="AB78" s="20">
        <f>$I$35*$AB$35</f>
        <v>0</v>
      </c>
      <c r="AC78" s="20">
        <f>$I$35*$AC$35</f>
        <v>0</v>
      </c>
      <c r="AD78" s="20">
        <f>$I$35*$AD$35</f>
        <v>0</v>
      </c>
      <c r="AE78" s="20">
        <f>$I$35*$AE$35</f>
        <v>0</v>
      </c>
      <c r="AF78" s="20">
        <f>$I$35*$AF$35</f>
        <v>0</v>
      </c>
      <c r="AG78" s="20">
        <f>$I$35*$AG$35</f>
        <v>0</v>
      </c>
      <c r="AH78" s="20">
        <f>$I$35*$AH$35</f>
        <v>0</v>
      </c>
    </row>
    <row r="79" spans="1:34" ht="11.25" customHeight="1" x14ac:dyDescent="0.3">
      <c r="A79" s="9" t="s">
        <v>32</v>
      </c>
      <c r="B79" s="9" t="s">
        <v>980</v>
      </c>
      <c r="C79" s="9" t="s">
        <v>981</v>
      </c>
      <c r="D79" s="9" t="s">
        <v>982</v>
      </c>
      <c r="E79" s="9" t="s">
        <v>983</v>
      </c>
      <c r="F79" s="9" t="s">
        <v>984</v>
      </c>
      <c r="G79" s="9" t="s">
        <v>985</v>
      </c>
      <c r="L79" s="20">
        <f>$I$36*$L$36</f>
        <v>0</v>
      </c>
      <c r="M79" s="20">
        <f>$I$36*$M$36</f>
        <v>0</v>
      </c>
      <c r="N79" s="20">
        <f>$I$36*$N$36</f>
        <v>0</v>
      </c>
      <c r="O79" s="20">
        <f>$I$36*$O$36</f>
        <v>0</v>
      </c>
      <c r="P79" s="20">
        <f>$I$36*$P$36</f>
        <v>0</v>
      </c>
      <c r="Q79" s="20">
        <f>$I$36*$Q$36</f>
        <v>0</v>
      </c>
      <c r="R79" s="20">
        <f>$I$36*$R$36</f>
        <v>0</v>
      </c>
      <c r="S79" s="20">
        <f>$I$36*$S$36</f>
        <v>0</v>
      </c>
      <c r="T79" s="20">
        <f>$I$36*$T$36</f>
        <v>0</v>
      </c>
      <c r="U79" s="20">
        <f>$I$36*$U$36</f>
        <v>0</v>
      </c>
      <c r="V79" s="20">
        <f>$I$36*$V$36</f>
        <v>0</v>
      </c>
      <c r="X79" s="20">
        <f>$I$36*$X$36</f>
        <v>0</v>
      </c>
      <c r="Y79" s="20">
        <f>$I$36*$Y$36</f>
        <v>0</v>
      </c>
      <c r="Z79" s="20">
        <f>$I$36*$Z$36</f>
        <v>0</v>
      </c>
      <c r="AA79" s="20">
        <f>$I$36*$AA$36</f>
        <v>0</v>
      </c>
      <c r="AB79" s="20">
        <f>$I$36*$AB$36</f>
        <v>0</v>
      </c>
      <c r="AC79" s="20">
        <f>$I$36*$AC$36</f>
        <v>0</v>
      </c>
      <c r="AD79" s="20">
        <f>$I$36*$AD$36</f>
        <v>0</v>
      </c>
      <c r="AE79" s="20">
        <f>$I$36*$AE$36</f>
        <v>0</v>
      </c>
      <c r="AF79" s="20">
        <f>$I$36*$AF$36</f>
        <v>0</v>
      </c>
      <c r="AG79" s="20">
        <f>$I$36*$AG$36</f>
        <v>0</v>
      </c>
      <c r="AH79" s="20">
        <f>$I$36*$AH$36</f>
        <v>0</v>
      </c>
    </row>
    <row r="80" spans="1:34" ht="11.25" customHeight="1" x14ac:dyDescent="0.3">
      <c r="A80" s="9" t="s">
        <v>32</v>
      </c>
      <c r="B80" s="9" t="s">
        <v>980</v>
      </c>
      <c r="C80" s="9" t="s">
        <v>981</v>
      </c>
      <c r="D80" s="9" t="s">
        <v>982</v>
      </c>
      <c r="E80" s="9" t="s">
        <v>983</v>
      </c>
      <c r="F80" s="9" t="s">
        <v>984</v>
      </c>
      <c r="G80" s="9" t="s">
        <v>986</v>
      </c>
      <c r="L80" s="20">
        <f>$I$37*$L$37</f>
        <v>0</v>
      </c>
      <c r="M80" s="20">
        <f>$I$37*$M$37</f>
        <v>0</v>
      </c>
      <c r="N80" s="20">
        <f>$I$37*$N$37</f>
        <v>0</v>
      </c>
      <c r="O80" s="20">
        <f>$I$37*$O$37</f>
        <v>0</v>
      </c>
      <c r="P80" s="20">
        <f>$I$37*$P$37</f>
        <v>0</v>
      </c>
      <c r="Q80" s="20">
        <f>$I$37*$Q$37</f>
        <v>0</v>
      </c>
      <c r="R80" s="20">
        <f>$I$37*$R$37</f>
        <v>0</v>
      </c>
      <c r="S80" s="20">
        <f>$I$37*$S$37</f>
        <v>0</v>
      </c>
      <c r="T80" s="20">
        <f>$I$37*$T$37</f>
        <v>0</v>
      </c>
      <c r="U80" s="20">
        <f>$I$37*$U$37</f>
        <v>0</v>
      </c>
      <c r="V80" s="20">
        <f>$I$37*$V$37</f>
        <v>0</v>
      </c>
      <c r="X80" s="20">
        <f>$I$37*$X$37</f>
        <v>0</v>
      </c>
      <c r="Y80" s="20">
        <f>$I$37*$Y$37</f>
        <v>0</v>
      </c>
      <c r="Z80" s="20">
        <f>$I$37*$Z$37</f>
        <v>0</v>
      </c>
      <c r="AA80" s="20">
        <f>$I$37*$AA$37</f>
        <v>0</v>
      </c>
      <c r="AB80" s="20">
        <f>$I$37*$AB$37</f>
        <v>0</v>
      </c>
      <c r="AC80" s="20">
        <f>$I$37*$AC$37</f>
        <v>0</v>
      </c>
      <c r="AD80" s="20">
        <f>$I$37*$AD$37</f>
        <v>0</v>
      </c>
      <c r="AE80" s="20">
        <f>$I$37*$AE$37</f>
        <v>0</v>
      </c>
      <c r="AF80" s="20">
        <f>$I$37*$AF$37</f>
        <v>0</v>
      </c>
      <c r="AG80" s="20">
        <f>$I$37*$AG$37</f>
        <v>0</v>
      </c>
      <c r="AH80" s="20">
        <f>$I$37*$AH$37</f>
        <v>0</v>
      </c>
    </row>
    <row r="81" spans="1:34" ht="11.25" customHeight="1" x14ac:dyDescent="0.3">
      <c r="A81" s="9" t="s">
        <v>32</v>
      </c>
      <c r="B81" s="9" t="s">
        <v>980</v>
      </c>
      <c r="C81" s="9" t="s">
        <v>981</v>
      </c>
      <c r="D81" s="9" t="s">
        <v>982</v>
      </c>
      <c r="E81" s="9" t="s">
        <v>983</v>
      </c>
      <c r="F81" s="9" t="s">
        <v>984</v>
      </c>
      <c r="G81" s="9" t="s">
        <v>987</v>
      </c>
      <c r="L81" s="20">
        <f>$I$38*$L$38</f>
        <v>0</v>
      </c>
      <c r="M81" s="20">
        <f>$I$38*$M$38</f>
        <v>0</v>
      </c>
      <c r="N81" s="20">
        <f>$I$38*$N$38</f>
        <v>0</v>
      </c>
      <c r="O81" s="20">
        <f>$I$38*$O$38</f>
        <v>0</v>
      </c>
      <c r="P81" s="20">
        <f>$I$38*$P$38</f>
        <v>0</v>
      </c>
      <c r="Q81" s="20">
        <f>$I$38*$Q$38</f>
        <v>0</v>
      </c>
      <c r="R81" s="20">
        <f>$I$38*$R$38</f>
        <v>0</v>
      </c>
      <c r="S81" s="20">
        <f>$I$38*$S$38</f>
        <v>0</v>
      </c>
      <c r="T81" s="20">
        <f>$I$38*$T$38</f>
        <v>0</v>
      </c>
      <c r="U81" s="20">
        <f>$I$38*$U$38</f>
        <v>0</v>
      </c>
      <c r="V81" s="20">
        <f>$I$38*$V$38</f>
        <v>0</v>
      </c>
      <c r="X81" s="20">
        <f>$I$38*$X$38</f>
        <v>0</v>
      </c>
      <c r="Y81" s="20">
        <f>$I$38*$Y$38</f>
        <v>0</v>
      </c>
      <c r="Z81" s="20">
        <f>$I$38*$Z$38</f>
        <v>0</v>
      </c>
      <c r="AA81" s="20">
        <f>$I$38*$AA$38</f>
        <v>0</v>
      </c>
      <c r="AB81" s="20">
        <f>$I$38*$AB$38</f>
        <v>0</v>
      </c>
      <c r="AC81" s="20">
        <f>$I$38*$AC$38</f>
        <v>0</v>
      </c>
      <c r="AD81" s="20">
        <f>$I$38*$AD$38</f>
        <v>0</v>
      </c>
      <c r="AE81" s="20">
        <f>$I$38*$AE$38</f>
        <v>0</v>
      </c>
      <c r="AF81" s="20">
        <f>$I$38*$AF$38</f>
        <v>0</v>
      </c>
      <c r="AG81" s="20">
        <f>$I$38*$AG$38</f>
        <v>0</v>
      </c>
      <c r="AH81" s="20">
        <f>$I$38*$AH$38</f>
        <v>0</v>
      </c>
    </row>
    <row r="82" spans="1:34" ht="11.25" customHeight="1" x14ac:dyDescent="0.3">
      <c r="A82" s="9" t="s">
        <v>32</v>
      </c>
      <c r="B82" s="9" t="s">
        <v>988</v>
      </c>
      <c r="C82" s="9" t="s">
        <v>989</v>
      </c>
      <c r="D82" s="9" t="s">
        <v>990</v>
      </c>
      <c r="E82" s="9" t="s">
        <v>991</v>
      </c>
      <c r="F82" s="9" t="s">
        <v>992</v>
      </c>
      <c r="G82" s="9" t="s">
        <v>993</v>
      </c>
      <c r="L82" s="20">
        <f>$I$39*$L$39</f>
        <v>0</v>
      </c>
      <c r="M82" s="20">
        <f>$I$39*$M$39</f>
        <v>124862.11761053318</v>
      </c>
      <c r="N82" s="20">
        <f>$I$39*$N$39</f>
        <v>0</v>
      </c>
      <c r="O82" s="20">
        <f>$I$39*$O$39</f>
        <v>0</v>
      </c>
      <c r="P82" s="20">
        <f>$I$39*$P$39</f>
        <v>0</v>
      </c>
      <c r="Q82" s="20">
        <f>$I$39*$Q$39</f>
        <v>1531921.0840761054</v>
      </c>
      <c r="R82" s="20">
        <f>$I$39*$R$39</f>
        <v>0</v>
      </c>
      <c r="S82" s="20">
        <f>$I$39*$S$39</f>
        <v>0</v>
      </c>
      <c r="T82" s="20">
        <f>$I$39*$T$39</f>
        <v>0</v>
      </c>
      <c r="U82" s="20">
        <f>$I$39*$U$39</f>
        <v>0</v>
      </c>
      <c r="V82" s="20">
        <f>$I$39*$V$39</f>
        <v>0</v>
      </c>
      <c r="X82" s="20">
        <f>$I$39*$X$39</f>
        <v>0</v>
      </c>
      <c r="Y82" s="20">
        <f>$I$39*$Y$39</f>
        <v>0</v>
      </c>
      <c r="Z82" s="20">
        <f>$I$39*$Z$39</f>
        <v>0</v>
      </c>
      <c r="AA82" s="20">
        <f>$I$39*$AA$39</f>
        <v>0</v>
      </c>
      <c r="AB82" s="20">
        <f>$I$39*$AB$39</f>
        <v>0</v>
      </c>
      <c r="AC82" s="20">
        <f>$I$39*$AC$39</f>
        <v>2261918.1802757476</v>
      </c>
      <c r="AD82" s="20">
        <f>$I$39*$AD$39</f>
        <v>0</v>
      </c>
      <c r="AE82" s="20">
        <f>$I$39*$AE$39</f>
        <v>0</v>
      </c>
      <c r="AF82" s="20">
        <f>$I$39*$AF$39</f>
        <v>0</v>
      </c>
      <c r="AG82" s="20">
        <f>$I$39*$AG$39</f>
        <v>0</v>
      </c>
      <c r="AH82" s="20">
        <f>$I$39*$AH$39</f>
        <v>0</v>
      </c>
    </row>
    <row r="83" spans="1:34" ht="11.25" customHeight="1" x14ac:dyDescent="0.3">
      <c r="A83" s="9" t="s">
        <v>32</v>
      </c>
      <c r="B83" s="9" t="s">
        <v>994</v>
      </c>
      <c r="C83" s="9" t="s">
        <v>995</v>
      </c>
      <c r="D83" s="9" t="s">
        <v>996</v>
      </c>
      <c r="E83" s="9" t="s">
        <v>997</v>
      </c>
      <c r="F83" s="9" t="s">
        <v>998</v>
      </c>
      <c r="G83" s="9" t="s">
        <v>999</v>
      </c>
      <c r="L83" s="20">
        <f>$I$40*$L$40</f>
        <v>0</v>
      </c>
      <c r="M83" s="20">
        <f>$I$40*$M$40</f>
        <v>0</v>
      </c>
      <c r="N83" s="20">
        <f>$I$40*$N$40</f>
        <v>0</v>
      </c>
      <c r="O83" s="20">
        <f>$I$40*$O$40</f>
        <v>0</v>
      </c>
      <c r="P83" s="20">
        <f>$I$40*$P$40</f>
        <v>0</v>
      </c>
      <c r="Q83" s="20">
        <f>$I$40*$Q$40</f>
        <v>0</v>
      </c>
      <c r="R83" s="20">
        <f>$I$40*$R$40</f>
        <v>0</v>
      </c>
      <c r="S83" s="20">
        <f>$I$40*$S$40</f>
        <v>0</v>
      </c>
      <c r="T83" s="20">
        <f>$I$40*$T$40</f>
        <v>0</v>
      </c>
      <c r="U83" s="20">
        <f>$I$40*$U$40</f>
        <v>0</v>
      </c>
      <c r="V83" s="20">
        <f>$I$40*$V$40</f>
        <v>0</v>
      </c>
      <c r="X83" s="20">
        <f>$I$40*$X$40</f>
        <v>0</v>
      </c>
      <c r="Y83" s="20">
        <f>$I$40*$Y$40</f>
        <v>0</v>
      </c>
      <c r="Z83" s="20">
        <f>$I$40*$Z$40</f>
        <v>0</v>
      </c>
      <c r="AA83" s="20">
        <f>$I$40*$AA$40</f>
        <v>0</v>
      </c>
      <c r="AB83" s="20">
        <f>$I$40*$AB$40</f>
        <v>0</v>
      </c>
      <c r="AC83" s="20">
        <f>$I$40*$AC$40</f>
        <v>0</v>
      </c>
      <c r="AD83" s="20">
        <f>$I$40*$AD$40</f>
        <v>0</v>
      </c>
      <c r="AE83" s="20">
        <f>$I$40*$AE$40</f>
        <v>0</v>
      </c>
      <c r="AF83" s="20">
        <f>$I$40*$AF$40</f>
        <v>0</v>
      </c>
      <c r="AG83" s="20">
        <f>$I$40*$AG$40</f>
        <v>0</v>
      </c>
      <c r="AH83" s="20">
        <f>$I$40*$AH$40</f>
        <v>0</v>
      </c>
    </row>
    <row r="84" spans="1:34" ht="11.25" customHeight="1" x14ac:dyDescent="0.3">
      <c r="A84" s="9" t="s">
        <v>43</v>
      </c>
      <c r="B84" s="9" t="s">
        <v>1000</v>
      </c>
      <c r="C84" s="9" t="s">
        <v>1001</v>
      </c>
      <c r="D84" s="9" t="s">
        <v>1002</v>
      </c>
      <c r="E84" s="9" t="s">
        <v>1003</v>
      </c>
      <c r="F84" s="9" t="s">
        <v>1004</v>
      </c>
      <c r="G84" s="9" t="s">
        <v>1005</v>
      </c>
      <c r="L84" s="20">
        <f>$I$41*$L$41</f>
        <v>0</v>
      </c>
      <c r="M84" s="20">
        <f>$I$41*$M$41</f>
        <v>0</v>
      </c>
      <c r="N84" s="20">
        <f>$I$41*$N$41</f>
        <v>0</v>
      </c>
      <c r="O84" s="20">
        <f>$I$41*$O$41</f>
        <v>0</v>
      </c>
      <c r="P84" s="20">
        <f>$I$41*$P$41</f>
        <v>0</v>
      </c>
      <c r="Q84" s="20">
        <f>$I$41*$Q$41</f>
        <v>0</v>
      </c>
      <c r="R84" s="20">
        <f>$I$41*$R$41</f>
        <v>0</v>
      </c>
      <c r="S84" s="20">
        <f>$I$41*$S$41</f>
        <v>0</v>
      </c>
      <c r="T84" s="20">
        <f>$I$41*$T$41</f>
        <v>0</v>
      </c>
      <c r="U84" s="20">
        <f>$I$41*$U$41</f>
        <v>0</v>
      </c>
      <c r="V84" s="20">
        <f>$I$41*$V$41</f>
        <v>0</v>
      </c>
      <c r="X84" s="20">
        <f>$I$41*$X$41</f>
        <v>0</v>
      </c>
      <c r="Y84" s="20">
        <f>$I$41*$Y$41</f>
        <v>0</v>
      </c>
      <c r="Z84" s="20">
        <f>$I$41*$Z$41</f>
        <v>0</v>
      </c>
      <c r="AA84" s="20">
        <f>$I$41*$AA$41</f>
        <v>0</v>
      </c>
      <c r="AB84" s="20">
        <f>$I$41*$AB$41</f>
        <v>0</v>
      </c>
      <c r="AC84" s="20">
        <f>$I$41*$AC$41</f>
        <v>0</v>
      </c>
      <c r="AD84" s="20">
        <f>$I$41*$AD$41</f>
        <v>0</v>
      </c>
      <c r="AE84" s="20">
        <f>$I$41*$AE$41</f>
        <v>0</v>
      </c>
      <c r="AF84" s="20">
        <f>$I$41*$AF$41</f>
        <v>0</v>
      </c>
      <c r="AG84" s="20">
        <f>$I$41*$AG$41</f>
        <v>0</v>
      </c>
      <c r="AH84" s="20">
        <f>$I$41*$AH$41</f>
        <v>0</v>
      </c>
    </row>
    <row r="85" spans="1:34" ht="11.25" customHeight="1" x14ac:dyDescent="0.3">
      <c r="A85" s="9" t="s">
        <v>43</v>
      </c>
      <c r="B85" s="9" t="s">
        <v>1000</v>
      </c>
      <c r="C85" s="9" t="s">
        <v>1001</v>
      </c>
      <c r="D85" s="9" t="s">
        <v>1006</v>
      </c>
      <c r="E85" s="9" t="s">
        <v>1007</v>
      </c>
      <c r="F85" s="9" t="s">
        <v>1008</v>
      </c>
      <c r="G85" s="9" t="s">
        <v>1009</v>
      </c>
      <c r="L85" s="20">
        <f>$I$42*$L$42</f>
        <v>0</v>
      </c>
      <c r="M85" s="20">
        <f>$I$42*$M$42</f>
        <v>17174.749487558991</v>
      </c>
      <c r="N85" s="20">
        <f>$I$42*$N$42</f>
        <v>0</v>
      </c>
      <c r="O85" s="20">
        <f>$I$42*$O$42</f>
        <v>0</v>
      </c>
      <c r="P85" s="20">
        <f>$I$42*$P$42</f>
        <v>0</v>
      </c>
      <c r="Q85" s="20">
        <f>$I$42*$Q$42</f>
        <v>210715.31828239156</v>
      </c>
      <c r="R85" s="20">
        <f>$I$42*$R$42</f>
        <v>0</v>
      </c>
      <c r="S85" s="20">
        <f>$I$42*$S$42</f>
        <v>0</v>
      </c>
      <c r="T85" s="20">
        <f>$I$42*$T$42</f>
        <v>0</v>
      </c>
      <c r="U85" s="20">
        <f>$I$42*$U$42</f>
        <v>0</v>
      </c>
      <c r="V85" s="20">
        <f>$I$42*$V$42</f>
        <v>0</v>
      </c>
      <c r="X85" s="20">
        <f>$I$42*$X$42</f>
        <v>0</v>
      </c>
      <c r="Y85" s="20">
        <f>$I$42*$Y$42</f>
        <v>0</v>
      </c>
      <c r="Z85" s="20">
        <f>$I$42*$Z$42</f>
        <v>0</v>
      </c>
      <c r="AA85" s="20">
        <f>$I$42*$AA$42</f>
        <v>0</v>
      </c>
      <c r="AB85" s="20">
        <f>$I$42*$AB$42</f>
        <v>0</v>
      </c>
      <c r="AC85" s="20">
        <f>$I$42*$AC$42</f>
        <v>311126.21546884812</v>
      </c>
      <c r="AD85" s="20">
        <f>$I$42*$AD$42</f>
        <v>0</v>
      </c>
      <c r="AE85" s="20">
        <f>$I$42*$AE$42</f>
        <v>0</v>
      </c>
      <c r="AF85" s="20">
        <f>$I$42*$AF$42</f>
        <v>0</v>
      </c>
      <c r="AG85" s="20">
        <f>$I$42*$AG$42</f>
        <v>0</v>
      </c>
      <c r="AH85" s="20">
        <f>$I$42*$AH$42</f>
        <v>0</v>
      </c>
    </row>
  </sheetData>
  <mergeCells count="69">
    <mergeCell ref="F1:F4"/>
    <mergeCell ref="A1:A4"/>
    <mergeCell ref="B1:B4"/>
    <mergeCell ref="C1:C4"/>
    <mergeCell ref="D1:D4"/>
    <mergeCell ref="E1:E4"/>
    <mergeCell ref="H1:H4"/>
    <mergeCell ref="I1:I4"/>
    <mergeCell ref="J1:J4"/>
    <mergeCell ref="L1:V1"/>
    <mergeCell ref="L2:V2"/>
    <mergeCell ref="L3:P3"/>
    <mergeCell ref="R3:T3"/>
    <mergeCell ref="A5:A7"/>
    <mergeCell ref="B5:B6"/>
    <mergeCell ref="C5:C6"/>
    <mergeCell ref="D5:D6"/>
    <mergeCell ref="E5:E6"/>
    <mergeCell ref="A8:A20"/>
    <mergeCell ref="B8:B10"/>
    <mergeCell ref="C8:C10"/>
    <mergeCell ref="D8:D10"/>
    <mergeCell ref="E8:E10"/>
    <mergeCell ref="B11:B15"/>
    <mergeCell ref="C11:C15"/>
    <mergeCell ref="B16:B20"/>
    <mergeCell ref="C16:C20"/>
    <mergeCell ref="A21:A35"/>
    <mergeCell ref="B21:B23"/>
    <mergeCell ref="C21:C23"/>
    <mergeCell ref="D21:D23"/>
    <mergeCell ref="E21:E23"/>
    <mergeCell ref="B25:B27"/>
    <mergeCell ref="C25:C27"/>
    <mergeCell ref="D25:D27"/>
    <mergeCell ref="E25:E27"/>
    <mergeCell ref="X1:AH1"/>
    <mergeCell ref="X2:AH2"/>
    <mergeCell ref="X3:AB3"/>
    <mergeCell ref="AD3:AF3"/>
    <mergeCell ref="B33:B35"/>
    <mergeCell ref="C33:C35"/>
    <mergeCell ref="F25:F27"/>
    <mergeCell ref="B29:B31"/>
    <mergeCell ref="C29:C31"/>
    <mergeCell ref="D29:D31"/>
    <mergeCell ref="E29:E31"/>
    <mergeCell ref="F29:F31"/>
    <mergeCell ref="F21:F23"/>
    <mergeCell ref="F8:F10"/>
    <mergeCell ref="F5:F6"/>
    <mergeCell ref="G1:G4"/>
    <mergeCell ref="E36:E38"/>
    <mergeCell ref="F36:F38"/>
    <mergeCell ref="A41:A42"/>
    <mergeCell ref="B41:B42"/>
    <mergeCell ref="C41:C42"/>
    <mergeCell ref="A36:A40"/>
    <mergeCell ref="B36:B38"/>
    <mergeCell ref="C36:C38"/>
    <mergeCell ref="D36:D38"/>
    <mergeCell ref="L44:V44"/>
    <mergeCell ref="X44:AH44"/>
    <mergeCell ref="L45:V45"/>
    <mergeCell ref="X45:AH45"/>
    <mergeCell ref="L46:P46"/>
    <mergeCell ref="R46:T46"/>
    <mergeCell ref="X46:AB46"/>
    <mergeCell ref="AD46:AF46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A979-CC31-4709-BFA0-4675A0058CFA}">
  <dimension ref="A1:AG15"/>
  <sheetViews>
    <sheetView showGridLines="0" workbookViewId="0">
      <selection activeCell="J15" sqref="J15"/>
    </sheetView>
  </sheetViews>
  <sheetFormatPr defaultRowHeight="10.199999999999999" x14ac:dyDescent="0.2"/>
  <cols>
    <col min="1" max="1" width="18.5546875" style="14" bestFit="1" customWidth="1"/>
    <col min="2" max="2" width="11.88671875" style="14" bestFit="1" customWidth="1"/>
    <col min="3" max="7" width="9.5546875" style="14" bestFit="1" customWidth="1"/>
    <col min="8" max="8" width="7.88671875" style="14" bestFit="1" customWidth="1"/>
    <col min="9" max="9" width="7.6640625" style="14" bestFit="1" customWidth="1"/>
    <col min="10" max="10" width="7" style="14" bestFit="1" customWidth="1"/>
    <col min="11" max="11" width="6.88671875" style="14" bestFit="1" customWidth="1"/>
    <col min="12" max="12" width="9" style="14" bestFit="1" customWidth="1"/>
    <col min="13" max="13" width="9.21875" style="14" bestFit="1" customWidth="1"/>
    <col min="14" max="14" width="9.109375" style="14" bestFit="1" customWidth="1"/>
    <col min="15" max="15" width="6.88671875" style="14" bestFit="1" customWidth="1"/>
    <col min="16" max="16" width="9.21875" style="14" bestFit="1" customWidth="1"/>
    <col min="17" max="17" width="10.6640625" style="14" bestFit="1" customWidth="1"/>
    <col min="18" max="18" width="7.5546875" style="14" bestFit="1" customWidth="1"/>
    <col min="19" max="19" width="6.77734375" style="14" bestFit="1" customWidth="1"/>
    <col min="20" max="20" width="14.44140625" style="14" bestFit="1" customWidth="1"/>
    <col min="21" max="21" width="17.77734375" style="14" bestFit="1" customWidth="1"/>
    <col min="22" max="22" width="18.109375" style="14" bestFit="1" customWidth="1"/>
    <col min="23" max="23" width="5.33203125" style="14" bestFit="1" customWidth="1"/>
    <col min="24" max="24" width="9.88671875" style="14" bestFit="1" customWidth="1"/>
    <col min="25" max="26" width="8.88671875" style="14"/>
    <col min="27" max="27" width="2.5546875" style="14" bestFit="1" customWidth="1"/>
    <col min="28" max="28" width="19.44140625" style="14" bestFit="1" customWidth="1"/>
    <col min="29" max="29" width="12.6640625" style="14" bestFit="1" customWidth="1"/>
    <col min="30" max="30" width="23.109375" style="14" bestFit="1" customWidth="1"/>
    <col min="31" max="33" width="9.5546875" style="14" bestFit="1" customWidth="1"/>
    <col min="34" max="16384" width="8.88671875" style="14"/>
  </cols>
  <sheetData>
    <row r="1" spans="1:33" x14ac:dyDescent="0.2">
      <c r="A1" s="14" t="s">
        <v>69</v>
      </c>
      <c r="B1" s="14" t="s">
        <v>70</v>
      </c>
      <c r="C1" s="14" t="s">
        <v>71</v>
      </c>
      <c r="D1" s="14" t="s">
        <v>72</v>
      </c>
      <c r="E1" s="14" t="s">
        <v>73</v>
      </c>
      <c r="F1" s="14" t="s">
        <v>15</v>
      </c>
      <c r="G1" s="14" t="s">
        <v>75</v>
      </c>
      <c r="I1" s="14" t="s">
        <v>1017</v>
      </c>
      <c r="AA1" s="14" t="s">
        <v>34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34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88</v>
      </c>
      <c r="AB2" s="14" t="s">
        <v>35</v>
      </c>
      <c r="AC2" s="14" t="s">
        <v>24</v>
      </c>
      <c r="AD2" s="14" t="s">
        <v>24</v>
      </c>
      <c r="AE2" s="14" t="s">
        <v>87</v>
      </c>
      <c r="AG2" s="14" t="s">
        <v>85</v>
      </c>
    </row>
    <row r="3" spans="1:33" x14ac:dyDescent="0.2">
      <c r="AA3" s="14" t="s">
        <v>22</v>
      </c>
      <c r="AB3" s="14" t="s">
        <v>56</v>
      </c>
      <c r="AC3" s="14" t="s">
        <v>41</v>
      </c>
      <c r="AD3" s="14" t="s">
        <v>28</v>
      </c>
      <c r="AE3" s="14" t="s">
        <v>89</v>
      </c>
      <c r="AG3" s="14" t="s">
        <v>86</v>
      </c>
    </row>
    <row r="4" spans="1:33" x14ac:dyDescent="0.2">
      <c r="AA4" s="14" t="s">
        <v>40</v>
      </c>
      <c r="AB4" s="14" t="s">
        <v>38</v>
      </c>
      <c r="AC4" s="14" t="s">
        <v>44</v>
      </c>
      <c r="AD4" s="14" t="s">
        <v>29</v>
      </c>
      <c r="AE4" s="14" t="s">
        <v>90</v>
      </c>
      <c r="AG4" s="14" t="s">
        <v>83</v>
      </c>
    </row>
    <row r="5" spans="1:33" x14ac:dyDescent="0.2">
      <c r="A5" s="14" t="s">
        <v>1010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431</v>
      </c>
      <c r="AA5" s="14" t="s">
        <v>32</v>
      </c>
      <c r="AB5" s="14" t="s">
        <v>92</v>
      </c>
      <c r="AD5" s="14" t="s">
        <v>30</v>
      </c>
      <c r="AG5" s="14" t="s">
        <v>9</v>
      </c>
    </row>
    <row r="6" spans="1:33" x14ac:dyDescent="0.2">
      <c r="A6" s="14" t="s">
        <v>1011</v>
      </c>
      <c r="B6" s="39">
        <f>SUM(TUSD!$AI$57:'TUSD'!$AI$103)</f>
        <v>0</v>
      </c>
      <c r="C6" s="39">
        <f>SUM(TUSD!$AJ$57:'TUSD'!$AJ$103)</f>
        <v>49143.76363171493</v>
      </c>
      <c r="D6" s="39">
        <f>SUM(TUSD!$AK$57:'TUSD'!$AK$103)</f>
        <v>0</v>
      </c>
      <c r="E6" s="39">
        <f>SUM(TUSD!$AL$57:'TUSD'!$AL$103)</f>
        <v>0</v>
      </c>
      <c r="F6" s="39">
        <f>SUM(TUSD!$AM$57:'TUSD'!$AM$103)</f>
        <v>0</v>
      </c>
      <c r="G6" s="39">
        <f>SUM(TUSD!$AN$57:'TUSD'!$AN$103)</f>
        <v>2549137.4246253432</v>
      </c>
      <c r="H6" s="39">
        <f>SUM(TUSD!$AO$57:'TUSD'!$AO$103)</f>
        <v>413897.15893209423</v>
      </c>
      <c r="I6" s="39">
        <f>SUM(TUSD!$AP$57:'TUSD'!$AP$103)</f>
        <v>0</v>
      </c>
      <c r="J6" s="39">
        <f>SUM(TUSD!$AQ$57:'TUSD'!$AQ$103)</f>
        <v>0</v>
      </c>
      <c r="K6" s="39">
        <f>SUM(TUSD!$AR$57:'TUSD'!$AR$103)</f>
        <v>0</v>
      </c>
      <c r="L6" s="39">
        <f>SUM(TUSD!$AS$57:'TUSD'!$AS$103)</f>
        <v>0</v>
      </c>
      <c r="M6" s="39">
        <f>SUM(TUSD!$AT$57:'TUSD'!$AT$103)</f>
        <v>0</v>
      </c>
      <c r="N6" s="39">
        <f>SUM(TUSD!$AU$57:'TUSD'!$AU$103)</f>
        <v>2957751.0031144898</v>
      </c>
      <c r="O6" s="39">
        <f>SUM(TUSD!$AV$57:'TUSD'!$AV$103)</f>
        <v>0</v>
      </c>
      <c r="P6" s="39">
        <f>SUM(TUSD!$AW$57:'TUSD'!$AW$103)</f>
        <v>0</v>
      </c>
      <c r="Q6" s="39">
        <f>SUM(TUSD!$AX$57:'TUSD'!$AX$103)</f>
        <v>8716076.268145442</v>
      </c>
      <c r="R6" s="39">
        <f>SUM(TUSD!$AY$57:'TUSD'!$AY$103)</f>
        <v>0</v>
      </c>
      <c r="S6" s="39">
        <f>SUM(TUSD!$AZ$57:'TUSD'!$AZ$103)</f>
        <v>0</v>
      </c>
      <c r="T6" s="39">
        <f>SUM(TUSD!$BA$57:'TUSD'!$BA$103)</f>
        <v>1973061.849055744</v>
      </c>
      <c r="U6" s="39">
        <f>SUM(TUSD!$BB$57:'TUSD'!$BB$103)</f>
        <v>0</v>
      </c>
      <c r="V6" s="39">
        <f>SUM(TUSD!$BC$57:'TUSD'!$BC$103)</f>
        <v>139899.86286361137</v>
      </c>
      <c r="W6" s="39">
        <f>SUM(TUSD!$BD$57:'TUSD'!$BD$103)</f>
        <v>0</v>
      </c>
      <c r="X6" s="39">
        <f t="shared" ref="X6:X11" si="0">SUM(B6:W6)</f>
        <v>16798967.330368441</v>
      </c>
      <c r="AA6" s="14" t="s">
        <v>43</v>
      </c>
      <c r="AB6" s="14" t="s">
        <v>23</v>
      </c>
      <c r="AD6" s="14" t="s">
        <v>31</v>
      </c>
      <c r="AG6" s="14" t="s">
        <v>80</v>
      </c>
    </row>
    <row r="7" spans="1:33" x14ac:dyDescent="0.2">
      <c r="A7" s="14" t="s">
        <v>1012</v>
      </c>
      <c r="B7" s="39">
        <f>SUM(TUSD!$L$57:'TUSD'!$L$103)</f>
        <v>0</v>
      </c>
      <c r="C7" s="39">
        <f>SUM(TUSD!$M$57:'TUSD'!$M$103)</f>
        <v>62297.816017838479</v>
      </c>
      <c r="D7" s="39">
        <f ca="1">SUM(TUSD!$N$57:'TUSD'!$N$103)</f>
        <v>0</v>
      </c>
      <c r="E7" s="39">
        <f>SUM(TUSD!$O$57:'TUSD'!$O$103)</f>
        <v>0</v>
      </c>
      <c r="F7" s="39">
        <f>SUM(TUSD!$P$57:'TUSD'!$P$103)</f>
        <v>0</v>
      </c>
      <c r="G7" s="39">
        <f>SUM(TUSD!$Q$57:'TUSD'!$Q$103)</f>
        <v>4153042.2812253726</v>
      </c>
      <c r="H7" s="39">
        <f>SUM(TUSD!$R$57:'TUSD'!$R$103)</f>
        <v>686742.62711845257</v>
      </c>
      <c r="I7" s="39">
        <f>SUM(TUSD!$S$57:'TUSD'!$S$103)</f>
        <v>0</v>
      </c>
      <c r="J7" s="39">
        <f>SUM(TUSD!$T$57:'TUSD'!$T$103)</f>
        <v>0</v>
      </c>
      <c r="K7" s="39">
        <f>SUM(TUSD!$U$57:'TUSD'!$U$103)</f>
        <v>0</v>
      </c>
      <c r="L7" s="39">
        <f>SUM(TUSD!$V$57:'TUSD'!$V$103)</f>
        <v>0</v>
      </c>
      <c r="M7" s="39">
        <f>SUM(TUSD!$W$57:'TUSD'!$W$103)</f>
        <v>0</v>
      </c>
      <c r="N7" s="39">
        <f>SUM(TUSD!$X$57:'TUSD'!$X$103)</f>
        <v>3382481.1866620472</v>
      </c>
      <c r="O7" s="39">
        <f>SUM(TUSD!$Y$57:'TUSD'!$Y$103)</f>
        <v>0</v>
      </c>
      <c r="P7" s="39">
        <f>SUM(TUSD!$Z$57:'TUSD'!$Z$103)</f>
        <v>0</v>
      </c>
      <c r="Q7" s="39">
        <f>SUM(TUSD!$AA$57:'TUSD'!$AA$103)</f>
        <v>10023234.005644415</v>
      </c>
      <c r="R7" s="39">
        <f ca="1">SUM(TUSD!$AB$57:'TUSD'!$AB$103)</f>
        <v>0</v>
      </c>
      <c r="S7" s="39">
        <f ca="1">SUM(TUSD!$AC$57:'TUSD'!$AC$103)</f>
        <v>0</v>
      </c>
      <c r="T7" s="39">
        <f>SUM(TUSD!$AD$57:'TUSD'!$AD$103)</f>
        <v>1374385.7902622039</v>
      </c>
      <c r="U7" s="39">
        <f>SUM(TUSD!$AE$57:'TUSD'!$AE$103)</f>
        <v>0</v>
      </c>
      <c r="V7" s="39">
        <f ca="1">SUM(TUSD!$AF$57:'TUSD'!$AF$103)</f>
        <v>193681.951930899</v>
      </c>
      <c r="W7" s="39">
        <f ca="1">SUM(TUSD!$AG$57:'TUSD'!$AG$103)</f>
        <v>0</v>
      </c>
      <c r="X7" s="39">
        <f t="shared" ca="1" si="0"/>
        <v>19875865.658861227</v>
      </c>
      <c r="AB7" s="14" t="s">
        <v>94</v>
      </c>
      <c r="AD7" s="14" t="s">
        <v>95</v>
      </c>
      <c r="AG7" s="14" t="s">
        <v>81</v>
      </c>
    </row>
    <row r="8" spans="1:33" x14ac:dyDescent="0.2">
      <c r="A8" s="14" t="s">
        <v>1015</v>
      </c>
      <c r="B8" s="39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39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10562.420060288019</v>
      </c>
      <c r="D8" s="39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39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39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39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672641.27635011089</v>
      </c>
      <c r="H8" s="39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120772.67381841839</v>
      </c>
      <c r="I8" s="39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39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39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39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39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39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863009.52715735277</v>
      </c>
      <c r="O8" s="39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39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39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2445726.5042478675</v>
      </c>
      <c r="R8" s="39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39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39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267985.67115243577</v>
      </c>
      <c r="U8" s="39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39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30013.486796662866</v>
      </c>
      <c r="W8" s="39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39">
        <f t="shared" si="0"/>
        <v>4410711.5595831368</v>
      </c>
      <c r="AD8" s="14" t="s">
        <v>96</v>
      </c>
      <c r="AG8" s="14" t="s">
        <v>91</v>
      </c>
    </row>
    <row r="9" spans="1:33" x14ac:dyDescent="0.2">
      <c r="A9" s="14" t="s">
        <v>1016</v>
      </c>
      <c r="B9" s="39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39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12416.634711172293</v>
      </c>
      <c r="D9" s="39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39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39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39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1046479.3888194772</v>
      </c>
      <c r="H9" s="39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196570.98860286054</v>
      </c>
      <c r="I9" s="39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39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39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39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39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39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1079801.8847676066</v>
      </c>
      <c r="O9" s="39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39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39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2548479.7596380748</v>
      </c>
      <c r="R9" s="39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39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39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227780.54901433212</v>
      </c>
      <c r="U9" s="39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39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42021.712669704008</v>
      </c>
      <c r="W9" s="39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39">
        <f t="shared" ca="1" si="0"/>
        <v>5153550.9182232274</v>
      </c>
      <c r="AD9" s="14" t="s">
        <v>97</v>
      </c>
    </row>
    <row r="10" spans="1:33" x14ac:dyDescent="0.2">
      <c r="A10" s="14" t="s">
        <v>1013</v>
      </c>
      <c r="B10" s="39">
        <f>SUMIF(TUSD!$A$57:'TUSD'!$A$103,$A$2,TUSD!$AI$57:'TUSD'!$AI$103)</f>
        <v>0</v>
      </c>
      <c r="C10" s="39">
        <f>SUMIF(TUSD!$A$57:'TUSD'!$A$103,$A$2,TUSD!$AJ$57:'TUSD'!$AJ$103)</f>
        <v>10562.420060288019</v>
      </c>
      <c r="D10" s="39">
        <f>SUMIF(TUSD!$A$57:'TUSD'!$A$103,$A$2,TUSD!$AK$57:'TUSD'!$AK$103)</f>
        <v>0</v>
      </c>
      <c r="E10" s="39">
        <f>SUMIF(TUSD!$A$57:'TUSD'!$A$103,$A$2,TUSD!$AL$57:'TUSD'!$AL$103)</f>
        <v>0</v>
      </c>
      <c r="F10" s="39">
        <f>SUMIF(TUSD!$A$57:'TUSD'!$A$103,$A$2,TUSD!$AM$57:'TUSD'!$AM$103)</f>
        <v>0</v>
      </c>
      <c r="G10" s="39">
        <f>SUMIF(TUSD!$A$57:'TUSD'!$A$103,$A$2,TUSD!$AN$57:'TUSD'!$AN$103)</f>
        <v>672641.27635011089</v>
      </c>
      <c r="H10" s="39">
        <f>SUMIF(TUSD!$A$57:'TUSD'!$A$103,$A$2,TUSD!$AO$57:'TUSD'!$AO$103)</f>
        <v>120772.67381841839</v>
      </c>
      <c r="I10" s="39">
        <f>SUMIF(TUSD!$A$57:'TUSD'!$A$103,$A$2,TUSD!$AP$57:'TUSD'!$AP$103)</f>
        <v>0</v>
      </c>
      <c r="J10" s="39">
        <f>SUMIF(TUSD!$A$57:'TUSD'!$A$103,$A$2,TUSD!$AQ$57:'TUSD'!$AQ$103)</f>
        <v>0</v>
      </c>
      <c r="K10" s="39">
        <f>SUMIF(TUSD!$A$57:'TUSD'!$A$103,$A$2,TUSD!$AR$57:'TUSD'!$AR$103)</f>
        <v>0</v>
      </c>
      <c r="L10" s="39">
        <f>SUMIF(TUSD!$A$57:'TUSD'!$A$103,$A$2,TUSD!$AS$57:'TUSD'!$AS$103)</f>
        <v>0</v>
      </c>
      <c r="M10" s="39">
        <f>SUMIF(TUSD!$A$57:'TUSD'!$A$103,$A$2,TUSD!$AT$57:'TUSD'!$AT$103)</f>
        <v>0</v>
      </c>
      <c r="N10" s="39">
        <f>SUMIF(TUSD!$A$57:'TUSD'!$A$103,$A$2,TUSD!$AU$57:'TUSD'!$AU$103)</f>
        <v>863009.52715735277</v>
      </c>
      <c r="O10" s="39">
        <f>SUMIF(TUSD!$A$57:'TUSD'!$A$103,$A$2,TUSD!$AV$57:'TUSD'!$AV$103)</f>
        <v>0</v>
      </c>
      <c r="P10" s="39">
        <f>SUMIF(TUSD!$A$57:'TUSD'!$A$103,$A$2,TUSD!$AW$57:'TUSD'!$AW$103)</f>
        <v>0</v>
      </c>
      <c r="Q10" s="39">
        <f>SUMIF(TUSD!$A$57:'TUSD'!$A$103,$A$2,TUSD!$AX$57:'TUSD'!$AX$103)</f>
        <v>2445726.5042478675</v>
      </c>
      <c r="R10" s="39">
        <f>SUMIF(TUSD!$A$57:'TUSD'!$A$103,$A$2,TUSD!$AY$57:'TUSD'!$AY$103)</f>
        <v>0</v>
      </c>
      <c r="S10" s="39">
        <f>SUMIF(TUSD!$A$57:'TUSD'!$A$103,$A$2,TUSD!$AZ$57:'TUSD'!$AZ$103)</f>
        <v>0</v>
      </c>
      <c r="T10" s="39">
        <f>SUMIF(TUSD!$A$57:'TUSD'!$A$103,$A$2,TUSD!$BA$57:'TUSD'!$BA$103)</f>
        <v>267985.67115243577</v>
      </c>
      <c r="U10" s="39">
        <f>SUMIF(TUSD!$A$57:'TUSD'!$A$103,$A$2,TUSD!$BB$57:'TUSD'!$BB$103)</f>
        <v>0</v>
      </c>
      <c r="V10" s="39">
        <f>SUMIF(TUSD!$A$57:'TUSD'!$A$103,$A$2,TUSD!$BC$57:'TUSD'!$BC$103)</f>
        <v>30013.486796662866</v>
      </c>
      <c r="W10" s="39">
        <f>SUMIF(TUSD!$A$57:'TUSD'!$A$103,$A$2,TUSD!$BD$57:'TUSD'!$BD$103)</f>
        <v>0</v>
      </c>
      <c r="X10" s="39">
        <f t="shared" si="0"/>
        <v>4410711.5595831368</v>
      </c>
      <c r="AD10" s="14" t="s">
        <v>45</v>
      </c>
    </row>
    <row r="11" spans="1:33" x14ac:dyDescent="0.2">
      <c r="A11" s="14" t="s">
        <v>1014</v>
      </c>
      <c r="B11" s="39">
        <f>SUMIF(TUSD!$A$57:'TUSD'!$A$103,$A$2,TUSD!$L$57:'TUSD'!$L$103)</f>
        <v>0</v>
      </c>
      <c r="C11" s="39">
        <f>SUMIF(TUSD!$A$57:'TUSD'!$A$103,$A$2,TUSD!$M$57:'TUSD'!$M$103)</f>
        <v>12416.634711172293</v>
      </c>
      <c r="D11" s="39">
        <f ca="1">SUMIF(TUSD!$A$57:'TUSD'!$A$103,$A$2,TUSD!$N$57:'TUSD'!$N$103)</f>
        <v>0</v>
      </c>
      <c r="E11" s="39">
        <f>SUMIF(TUSD!$A$57:'TUSD'!$A$103,$A$2,TUSD!$O$57:'TUSD'!$O$103)</f>
        <v>0</v>
      </c>
      <c r="F11" s="39">
        <f>SUMIF(TUSD!$A$57:'TUSD'!$A$103,$A$2,TUSD!$P$57:'TUSD'!$P$103)</f>
        <v>0</v>
      </c>
      <c r="G11" s="39">
        <f>SUMIF(TUSD!$A$57:'TUSD'!$A$103,$A$2,TUSD!$Q$57:'TUSD'!$Q$103)</f>
        <v>1046479.3888194772</v>
      </c>
      <c r="H11" s="39">
        <f>SUMIF(TUSD!$A$57:'TUSD'!$A$103,$A$2,TUSD!$R$57:'TUSD'!$R$103)</f>
        <v>196570.98860286054</v>
      </c>
      <c r="I11" s="39">
        <f>SUMIF(TUSD!$A$57:'TUSD'!$A$103,$A$2,TUSD!$S$57:'TUSD'!$S$103)</f>
        <v>0</v>
      </c>
      <c r="J11" s="39">
        <f>SUMIF(TUSD!$A$57:'TUSD'!$A$103,$A$2,TUSD!$T$57:'TUSD'!$T$103)</f>
        <v>0</v>
      </c>
      <c r="K11" s="39">
        <f>SUMIF(TUSD!$A$57:'TUSD'!$A$103,$A$2,TUSD!$U$57:'TUSD'!$U$103)</f>
        <v>0</v>
      </c>
      <c r="L11" s="39">
        <f>SUMIF(TUSD!$A$57:'TUSD'!$A$103,$A$2,TUSD!$V$57:'TUSD'!$V$103)</f>
        <v>0</v>
      </c>
      <c r="M11" s="39">
        <f>SUMIF(TUSD!$A$57:'TUSD'!$A$103,$A$2,TUSD!$W$57:'TUSD'!$W$103)</f>
        <v>0</v>
      </c>
      <c r="N11" s="39">
        <f>SUMIF(TUSD!$A$57:'TUSD'!$A$103,$A$2,TUSD!$X$57:'TUSD'!$X$103)</f>
        <v>1079801.8847676066</v>
      </c>
      <c r="O11" s="39">
        <f>SUMIF(TUSD!$A$57:'TUSD'!$A$103,$A$2,TUSD!$Y$57:'TUSD'!$Y$103)</f>
        <v>0</v>
      </c>
      <c r="P11" s="39">
        <f>SUMIF(TUSD!$A$57:'TUSD'!$A$103,$A$2,TUSD!$Z$57:'TUSD'!$Z$103)</f>
        <v>0</v>
      </c>
      <c r="Q11" s="39">
        <f>SUMIF(TUSD!$A$57:'TUSD'!$A$103,$A$2,TUSD!$AA$57:'TUSD'!$AA$103)</f>
        <v>2548479.7596380748</v>
      </c>
      <c r="R11" s="39">
        <f ca="1">SUMIF(TUSD!$A$57:'TUSD'!$A$103,$A$2,TUSD!$AB$57:'TUSD'!$AB$103)</f>
        <v>0</v>
      </c>
      <c r="S11" s="39">
        <f ca="1">SUMIF(TUSD!$A$57:'TUSD'!$A$103,$A$2,TUSD!$AC$57:'TUSD'!$AC$103)</f>
        <v>0</v>
      </c>
      <c r="T11" s="39">
        <f>SUMIF(TUSD!$A$57:'TUSD'!$A$103,$A$2,TUSD!$AD$57:'TUSD'!$AD$103)</f>
        <v>227780.54901433212</v>
      </c>
      <c r="U11" s="39">
        <f>SUMIF(TUSD!$A$57:'TUSD'!$A$103,$A$2,TUSD!$AE$57:'TUSD'!$AE$103)</f>
        <v>0</v>
      </c>
      <c r="V11" s="39">
        <f ca="1">SUMIF(TUSD!$A$57:'TUSD'!$A$103,$A$2,TUSD!$AF$57:'TUSD'!$AF$103)</f>
        <v>42021.712669704008</v>
      </c>
      <c r="W11" s="39">
        <f ca="1">SUMIF(TUSD!$A$57:'TUSD'!$A$103,$A$2,TUSD!$AG$57:'TUSD'!$AG$103)</f>
        <v>0</v>
      </c>
      <c r="X11" s="39">
        <f t="shared" ca="1" si="0"/>
        <v>5153550.9182232274</v>
      </c>
    </row>
    <row r="13" spans="1:33" x14ac:dyDescent="0.2">
      <c r="A13" s="14" t="s">
        <v>1018</v>
      </c>
      <c r="B13" s="57">
        <f t="shared" ref="B13:X13" si="1">IF($X$6&lt;&gt;0,(B$7-B$6)/$X$6,0)</f>
        <v>0</v>
      </c>
      <c r="C13" s="57">
        <f t="shared" si="1"/>
        <v>7.8302744016557656E-4</v>
      </c>
      <c r="D13" s="57">
        <f t="shared" ca="1" si="1"/>
        <v>0</v>
      </c>
      <c r="E13" s="57">
        <f t="shared" si="1"/>
        <v>0</v>
      </c>
      <c r="F13" s="57">
        <f t="shared" si="1"/>
        <v>0</v>
      </c>
      <c r="G13" s="57">
        <f t="shared" si="1"/>
        <v>9.547639596277803E-2</v>
      </c>
      <c r="H13" s="57">
        <f t="shared" si="1"/>
        <v>1.6241800035715303E-2</v>
      </c>
      <c r="I13" s="57">
        <f t="shared" si="1"/>
        <v>0</v>
      </c>
      <c r="J13" s="57">
        <f t="shared" si="1"/>
        <v>0</v>
      </c>
      <c r="K13" s="57">
        <f t="shared" si="1"/>
        <v>0</v>
      </c>
      <c r="L13" s="57">
        <f t="shared" si="1"/>
        <v>0</v>
      </c>
      <c r="M13" s="57">
        <f t="shared" si="1"/>
        <v>0</v>
      </c>
      <c r="N13" s="57">
        <f t="shared" si="1"/>
        <v>2.5283112657749421E-2</v>
      </c>
      <c r="O13" s="57">
        <f t="shared" si="1"/>
        <v>0</v>
      </c>
      <c r="P13" s="57">
        <f t="shared" si="1"/>
        <v>0</v>
      </c>
      <c r="Q13" s="57">
        <f t="shared" si="1"/>
        <v>7.7811791153135343E-2</v>
      </c>
      <c r="R13" s="57">
        <f t="shared" ca="1" si="1"/>
        <v>0</v>
      </c>
      <c r="S13" s="57">
        <f t="shared" ca="1" si="1"/>
        <v>0</v>
      </c>
      <c r="T13" s="57">
        <f t="shared" si="1"/>
        <v>-3.5637670281748787E-2</v>
      </c>
      <c r="U13" s="57">
        <f t="shared" si="1"/>
        <v>0</v>
      </c>
      <c r="V13" s="57">
        <f t="shared" ca="1" si="1"/>
        <v>3.2015116173279719E-3</v>
      </c>
      <c r="W13" s="57">
        <f t="shared" ca="1" si="1"/>
        <v>0</v>
      </c>
      <c r="X13" s="57">
        <f t="shared" ca="1" si="1"/>
        <v>0.18315996858512273</v>
      </c>
    </row>
    <row r="14" spans="1:33" x14ac:dyDescent="0.2">
      <c r="A14" s="14" t="s">
        <v>1019</v>
      </c>
      <c r="B14" s="57">
        <f t="shared" ref="B14:X14" si="2">IF($X$10&lt;&gt;0,(B$9-B$8)/$X$10,0)</f>
        <v>0</v>
      </c>
      <c r="C14" s="57">
        <f t="shared" si="2"/>
        <v>4.2038900658911349E-4</v>
      </c>
      <c r="D14" s="57">
        <f t="shared" ca="1" si="2"/>
        <v>0</v>
      </c>
      <c r="E14" s="57">
        <f t="shared" si="2"/>
        <v>0</v>
      </c>
      <c r="F14" s="57">
        <f t="shared" si="2"/>
        <v>0</v>
      </c>
      <c r="G14" s="57">
        <f t="shared" si="2"/>
        <v>8.475687140709294E-2</v>
      </c>
      <c r="H14" s="57">
        <f t="shared" si="2"/>
        <v>1.718505364962155E-2</v>
      </c>
      <c r="I14" s="57">
        <f t="shared" si="2"/>
        <v>0</v>
      </c>
      <c r="J14" s="57">
        <f t="shared" si="2"/>
        <v>0</v>
      </c>
      <c r="K14" s="57">
        <f t="shared" si="2"/>
        <v>0</v>
      </c>
      <c r="L14" s="57">
        <f t="shared" si="2"/>
        <v>0</v>
      </c>
      <c r="M14" s="57">
        <f t="shared" si="2"/>
        <v>0</v>
      </c>
      <c r="N14" s="57">
        <f t="shared" si="2"/>
        <v>4.915133412866908E-2</v>
      </c>
      <c r="O14" s="57">
        <f t="shared" si="2"/>
        <v>0</v>
      </c>
      <c r="P14" s="57">
        <f t="shared" si="2"/>
        <v>0</v>
      </c>
      <c r="Q14" s="57">
        <f t="shared" si="2"/>
        <v>2.3296299021629666E-2</v>
      </c>
      <c r="R14" s="57">
        <f t="shared" ca="1" si="2"/>
        <v>0</v>
      </c>
      <c r="S14" s="57">
        <f t="shared" ca="1" si="2"/>
        <v>0</v>
      </c>
      <c r="T14" s="57">
        <f t="shared" si="2"/>
        <v>-9.1153369688729974E-3</v>
      </c>
      <c r="U14" s="57">
        <f t="shared" si="2"/>
        <v>0</v>
      </c>
      <c r="V14" s="57">
        <f t="shared" ca="1" si="2"/>
        <v>2.722514431248834E-3</v>
      </c>
      <c r="W14" s="57">
        <f t="shared" ca="1" si="2"/>
        <v>0</v>
      </c>
      <c r="X14" s="57">
        <f t="shared" ca="1" si="2"/>
        <v>0.168417124675978</v>
      </c>
    </row>
    <row r="15" spans="1:33" x14ac:dyDescent="0.2">
      <c r="A15" s="14" t="s">
        <v>1020</v>
      </c>
      <c r="B15" s="57">
        <f t="shared" ref="B15:X15" si="3">IF($X$8&lt;&gt;0,(B$9-B$8)/$X$8,0)</f>
        <v>0</v>
      </c>
      <c r="C15" s="57">
        <f t="shared" si="3"/>
        <v>4.2038900658911349E-4</v>
      </c>
      <c r="D15" s="57">
        <f t="shared" ca="1" si="3"/>
        <v>0</v>
      </c>
      <c r="E15" s="57">
        <f t="shared" si="3"/>
        <v>0</v>
      </c>
      <c r="F15" s="57">
        <f t="shared" si="3"/>
        <v>0</v>
      </c>
      <c r="G15" s="57">
        <f t="shared" si="3"/>
        <v>8.475687140709294E-2</v>
      </c>
      <c r="H15" s="57">
        <f t="shared" si="3"/>
        <v>1.718505364962155E-2</v>
      </c>
      <c r="I15" s="57">
        <f t="shared" si="3"/>
        <v>0</v>
      </c>
      <c r="J15" s="57">
        <f t="shared" si="3"/>
        <v>0</v>
      </c>
      <c r="K15" s="57">
        <f t="shared" si="3"/>
        <v>0</v>
      </c>
      <c r="L15" s="57">
        <f t="shared" si="3"/>
        <v>0</v>
      </c>
      <c r="M15" s="57">
        <f t="shared" si="3"/>
        <v>0</v>
      </c>
      <c r="N15" s="57">
        <f t="shared" si="3"/>
        <v>4.915133412866908E-2</v>
      </c>
      <c r="O15" s="57">
        <f t="shared" si="3"/>
        <v>0</v>
      </c>
      <c r="P15" s="57">
        <f t="shared" si="3"/>
        <v>0</v>
      </c>
      <c r="Q15" s="57">
        <f t="shared" si="3"/>
        <v>2.3296299021629666E-2</v>
      </c>
      <c r="R15" s="57">
        <f t="shared" ca="1" si="3"/>
        <v>0</v>
      </c>
      <c r="S15" s="57">
        <f t="shared" ca="1" si="3"/>
        <v>0</v>
      </c>
      <c r="T15" s="57">
        <f t="shared" si="3"/>
        <v>-9.1153369688729974E-3</v>
      </c>
      <c r="U15" s="57">
        <f t="shared" si="3"/>
        <v>0</v>
      </c>
      <c r="V15" s="57">
        <f t="shared" ca="1" si="3"/>
        <v>2.722514431248834E-3</v>
      </c>
      <c r="W15" s="57">
        <f t="shared" ca="1" si="3"/>
        <v>0</v>
      </c>
      <c r="X15" s="57">
        <f t="shared" ca="1" si="3"/>
        <v>0.168417124675978</v>
      </c>
    </row>
  </sheetData>
  <dataValidations count="6">
    <dataValidation type="list" allowBlank="1" showInputMessage="1" showErrorMessage="1" error="Deve-se selecionar grupo válido" sqref="A2" xr:uid="{547A437B-8FEA-47ED-9E87-794C12BCBB4C}">
      <formula1>AA1:AA6</formula1>
    </dataValidation>
    <dataValidation type="list" allowBlank="1" showInputMessage="1" showErrorMessage="1" error="Deve-se selecionar grupo válido" sqref="B2" xr:uid="{CDC47EF6-BE68-4C09-9E0B-549BD94FCC40}">
      <formula1>AB1:AB7</formula1>
    </dataValidation>
    <dataValidation type="list" allowBlank="1" showInputMessage="1" showErrorMessage="1" error="Deve-se selecionar grupo válido" sqref="C2 E2" xr:uid="{005458AA-73C4-44C9-821F-93E64F2D4AB7}">
      <formula1>AC1:AC4</formula1>
    </dataValidation>
    <dataValidation type="list" allowBlank="1" showInputMessage="1" showErrorMessage="1" error="Deve-se selecionar grupo válido" sqref="D2" xr:uid="{437E198C-35A2-4055-B264-9D95AE707725}">
      <formula1>AD1:AD10</formula1>
    </dataValidation>
    <dataValidation type="list" allowBlank="1" showInputMessage="1" showErrorMessage="1" error="Deve-se selecionar grupo válido" sqref="F2" xr:uid="{47532115-545A-4183-B01D-2021AA514207}">
      <formula1>AF1:AF1</formula1>
    </dataValidation>
    <dataValidation type="list" allowBlank="1" showInputMessage="1" showErrorMessage="1" error="Deve-se selecionar grupo válido" sqref="G2" xr:uid="{E787484B-3A3C-4676-9204-E3139BA7FF76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A54B-0272-4E68-AB3C-F0BB609A65FC}">
  <dimension ref="A1:AG15"/>
  <sheetViews>
    <sheetView showGridLines="0" workbookViewId="0">
      <selection activeCell="J15" sqref="J15"/>
    </sheetView>
  </sheetViews>
  <sheetFormatPr defaultRowHeight="10.199999999999999" x14ac:dyDescent="0.2"/>
  <cols>
    <col min="1" max="1" width="18.5546875" style="14" bestFit="1" customWidth="1"/>
    <col min="2" max="2" width="10.21875" style="14" bestFit="1" customWidth="1"/>
    <col min="3" max="4" width="9.5546875" style="14" bestFit="1" customWidth="1"/>
    <col min="5" max="5" width="9.88671875" style="14" bestFit="1" customWidth="1"/>
    <col min="6" max="6" width="9.5546875" style="14" bestFit="1" customWidth="1"/>
    <col min="7" max="7" width="14.77734375" style="14" bestFit="1" customWidth="1"/>
    <col min="8" max="8" width="5.33203125" style="14" bestFit="1" customWidth="1"/>
    <col min="9" max="9" width="9.21875" style="14" bestFit="1" customWidth="1"/>
    <col min="10" max="10" width="6.109375" style="14" bestFit="1" customWidth="1"/>
    <col min="11" max="11" width="7.5546875" style="14" bestFit="1" customWidth="1"/>
    <col min="12" max="12" width="10.6640625" style="14" bestFit="1" customWidth="1"/>
    <col min="13" max="13" width="9.109375" style="14" bestFit="1" customWidth="1"/>
    <col min="14" max="26" width="8.88671875" style="14"/>
    <col min="27" max="27" width="2.5546875" style="14" bestFit="1" customWidth="1"/>
    <col min="28" max="28" width="24.6640625" style="14" bestFit="1" customWidth="1"/>
    <col min="29" max="29" width="12.6640625" style="14" bestFit="1" customWidth="1"/>
    <col min="30" max="30" width="23.109375" style="14" bestFit="1" customWidth="1"/>
    <col min="31" max="33" width="9.5546875" style="14" bestFit="1" customWidth="1"/>
    <col min="34" max="16384" width="8.88671875" style="14"/>
  </cols>
  <sheetData>
    <row r="1" spans="1:33" x14ac:dyDescent="0.2">
      <c r="A1" s="14" t="s">
        <v>69</v>
      </c>
      <c r="B1" s="14" t="s">
        <v>70</v>
      </c>
      <c r="C1" s="14" t="s">
        <v>71</v>
      </c>
      <c r="D1" s="14" t="s">
        <v>72</v>
      </c>
      <c r="E1" s="14" t="s">
        <v>73</v>
      </c>
      <c r="F1" s="14" t="s">
        <v>15</v>
      </c>
      <c r="G1" s="14" t="s">
        <v>75</v>
      </c>
      <c r="I1" s="14" t="s">
        <v>1017</v>
      </c>
      <c r="AA1" s="14" t="s">
        <v>34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34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78</v>
      </c>
      <c r="AC2" s="14" t="s">
        <v>24</v>
      </c>
      <c r="AD2" s="14" t="s">
        <v>24</v>
      </c>
      <c r="AG2" s="14" t="s">
        <v>80</v>
      </c>
    </row>
    <row r="3" spans="1:33" x14ac:dyDescent="0.2">
      <c r="AA3" s="14" t="s">
        <v>40</v>
      </c>
      <c r="AB3" s="14" t="s">
        <v>82</v>
      </c>
      <c r="AC3" s="14" t="s">
        <v>41</v>
      </c>
      <c r="AD3" s="14" t="s">
        <v>28</v>
      </c>
      <c r="AG3" s="14" t="s">
        <v>81</v>
      </c>
    </row>
    <row r="4" spans="1:33" x14ac:dyDescent="0.2">
      <c r="AA4" s="14" t="s">
        <v>32</v>
      </c>
      <c r="AB4" s="14" t="s">
        <v>93</v>
      </c>
      <c r="AC4" s="14" t="s">
        <v>44</v>
      </c>
      <c r="AD4" s="14" t="s">
        <v>29</v>
      </c>
      <c r="AG4" s="14" t="s">
        <v>83</v>
      </c>
    </row>
    <row r="5" spans="1:33" x14ac:dyDescent="0.2">
      <c r="A5" s="14" t="s">
        <v>1010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431</v>
      </c>
      <c r="AA5" s="14" t="s">
        <v>43</v>
      </c>
      <c r="AD5" s="14" t="s">
        <v>30</v>
      </c>
      <c r="AG5" s="14" t="s">
        <v>91</v>
      </c>
    </row>
    <row r="6" spans="1:33" x14ac:dyDescent="0.2">
      <c r="A6" s="14" t="s">
        <v>1011</v>
      </c>
      <c r="B6" s="39">
        <f>SUM(TE!$X$48:'TE'!$X$85)</f>
        <v>0</v>
      </c>
      <c r="C6" s="39">
        <f>SUM(TE!$Y$48:'TE'!$Y$85)</f>
        <v>0</v>
      </c>
      <c r="D6" s="39">
        <f>SUM(TE!$Z$48:'TE'!$Z$85)</f>
        <v>0</v>
      </c>
      <c r="E6" s="39">
        <f>SUM(TE!$AA$48:'TE'!$AA$85)</f>
        <v>0</v>
      </c>
      <c r="F6" s="39">
        <f>SUM(TE!$AB$48:'TE'!$AB$85)</f>
        <v>0</v>
      </c>
      <c r="G6" s="39">
        <f>SUM(TE!$AC$48:'TE'!$AC$85)</f>
        <v>12036972.377957769</v>
      </c>
      <c r="H6" s="39">
        <f>SUM(TE!$AD$48:'TE'!$AD$85)</f>
        <v>0</v>
      </c>
      <c r="I6" s="39">
        <f>SUM(TE!$AE$48:'TE'!$AE$85)</f>
        <v>0</v>
      </c>
      <c r="J6" s="39">
        <f>SUM(TE!$AF$48:'TE'!$AF$85)</f>
        <v>0</v>
      </c>
      <c r="K6" s="39">
        <f>SUM(TE!$AG$48:'TE'!$AG$85)</f>
        <v>0</v>
      </c>
      <c r="L6" s="39">
        <f>SUM(TE!$AH$48:'TE'!$AH$85)</f>
        <v>0</v>
      </c>
      <c r="M6" s="39">
        <f t="shared" ref="M6:M11" si="0">SUM(B6:L6)</f>
        <v>12036972.377957769</v>
      </c>
      <c r="AD6" s="14" t="s">
        <v>31</v>
      </c>
    </row>
    <row r="7" spans="1:33" x14ac:dyDescent="0.2">
      <c r="A7" s="14" t="s">
        <v>1012</v>
      </c>
      <c r="B7" s="39">
        <f>SUM(TE!$L$48:'TE'!$L$85)</f>
        <v>0</v>
      </c>
      <c r="C7" s="39">
        <f>SUM(TE!$M$48:'TE'!$M$85)</f>
        <v>679078.30718646233</v>
      </c>
      <c r="D7" s="39">
        <f>SUM(TE!$N$48:'TE'!$N$85)</f>
        <v>0</v>
      </c>
      <c r="E7" s="39">
        <f>SUM(TE!$O$48:'TE'!$O$85)</f>
        <v>0</v>
      </c>
      <c r="F7" s="39">
        <f>SUM(TE!$P$48:'TE'!$P$85)</f>
        <v>0</v>
      </c>
      <c r="G7" s="39">
        <f>SUM(TE!$Q$48:'TE'!$Q$85)</f>
        <v>8331545.1990211522</v>
      </c>
      <c r="H7" s="39">
        <f>SUM(TE!$R$48:'TE'!$R$85)</f>
        <v>0</v>
      </c>
      <c r="I7" s="39">
        <f>SUM(TE!$S$48:'TE'!$S$85)</f>
        <v>0</v>
      </c>
      <c r="J7" s="39">
        <f>SUM(TE!$T$48:'TE'!$T$85)</f>
        <v>0</v>
      </c>
      <c r="K7" s="39">
        <f>SUM(TE!$U$48:'TE'!$U$85)</f>
        <v>0</v>
      </c>
      <c r="L7" s="39">
        <f>SUM(TE!$V$48:'TE'!$V$85)</f>
        <v>0</v>
      </c>
      <c r="M7" s="39">
        <f t="shared" si="0"/>
        <v>9010623.5062076151</v>
      </c>
      <c r="AD7" s="14" t="s">
        <v>95</v>
      </c>
    </row>
    <row r="8" spans="1:33" x14ac:dyDescent="0.2">
      <c r="A8" s="14" t="s">
        <v>1015</v>
      </c>
      <c r="B8" s="39">
        <f>IF($G$2&lt;&gt;"Não se aplica",SUMIF(TE!$G$48:'TE'!$G$85,$I$2,TE!$X$48:'TE'!$X$85),IF($F$2&lt;&gt;"Não se aplica",SUMIF(TE!$F$48:'TE'!$F$85,$I$2,TE!$X$48:'TE'!$X$85),IF($E$2&lt;&gt;"Não se aplica",SUMIF(TE!$E$48:'TE'!$E$85,$I$2,TE!$X$48:'TE'!$X$85),IF($D$2&lt;&gt;"Não se aplica",SUMIF(TE!$D$48:'TE'!$D$85,$I$2,TE!$X$48:'TE'!$X$85),IF($C$2&lt;&gt;"Não se aplica",SUMIF(TE!$C$48:'TE'!$C$85,$I$2,TE!$X$48:'TE'!$X$85),IF($B$2&lt;&gt;"Não se aplica",SUMIF(TE!$B$48:'TE'!$B$85,$I$2,TE!$X$48:'TE'!$X$85),SUMIF(TE!$A$48:'TE'!$A$85,$I$2,TE!$X$48:'TE'!$X$85)))))))</f>
        <v>0</v>
      </c>
      <c r="C8" s="39">
        <f>IF($G$2&lt;&gt;"Não se aplica",SUMIF(TE!$G$48:'TE'!$G$85,$I$2,TE!$Y$48:'TE'!$Y$85),IF($F$2&lt;&gt;"Não se aplica",SUMIF(TE!$F$48:'TE'!$F$85,$I$2,TE!$Y$48:'TE'!$Y$85),IF($E$2&lt;&gt;"Não se aplica",SUMIF(TE!$E$48:'TE'!$E$85,$I$2,TE!$Y$48:'TE'!$Y$85),IF($D$2&lt;&gt;"Não se aplica",SUMIF(TE!$D$48:'TE'!$D$85,$I$2,TE!$Y$48:'TE'!$Y$85),IF($C$2&lt;&gt;"Não se aplica",SUMIF(TE!$C$48:'TE'!$C$85,$I$2,TE!$Y$48:'TE'!$Y$85),IF($B$2&lt;&gt;"Não se aplica",SUMIF(TE!$B$48:'TE'!$B$85,$I$2,TE!$Y$48:'TE'!$Y$85),SUMIF(TE!$A$48:'TE'!$A$85,$I$2,TE!$Y$48:'TE'!$Y$85)))))))</f>
        <v>0</v>
      </c>
      <c r="D8" s="39">
        <f>IF($G$2&lt;&gt;"Não se aplica",SUMIF(TE!$G$48:'TE'!$G$85,$I$2,TE!$Z$48:'TE'!$Z$85),IF($F$2&lt;&gt;"Não se aplica",SUMIF(TE!$F$48:'TE'!$F$85,$I$2,TE!$Z$48:'TE'!$Z$85),IF($E$2&lt;&gt;"Não se aplica",SUMIF(TE!$E$48:'TE'!$E$85,$I$2,TE!$Z$48:'TE'!$Z$85),IF($D$2&lt;&gt;"Não se aplica",SUMIF(TE!$D$48:'TE'!$D$85,$I$2,TE!$Z$48:'TE'!$Z$85),IF($C$2&lt;&gt;"Não se aplica",SUMIF(TE!$C$48:'TE'!$C$85,$I$2,TE!$Z$48:'TE'!$Z$85),IF($B$2&lt;&gt;"Não se aplica",SUMIF(TE!$B$48:'TE'!$B$85,$I$2,TE!$Z$48:'TE'!$Z$85),SUMIF(TE!$A$48:'TE'!$A$85,$I$2,TE!$Z$48:'TE'!$Z$85)))))))</f>
        <v>0</v>
      </c>
      <c r="E8" s="39">
        <f>IF($G$2&lt;&gt;"Não se aplica",SUMIF(TE!$G$48:'TE'!$G$85,$I$2,TE!$AA$48:'TE'!$AA$85),IF($F$2&lt;&gt;"Não se aplica",SUMIF(TE!$F$48:'TE'!$F$85,$I$2,TE!$AA$48:'TE'!$AA$85),IF($E$2&lt;&gt;"Não se aplica",SUMIF(TE!$E$48:'TE'!$E$85,$I$2,TE!$AA$48:'TE'!$AA$85),IF($D$2&lt;&gt;"Não se aplica",SUMIF(TE!$D$48:'TE'!$D$85,$I$2,TE!$AA$48:'TE'!$AA$85),IF($C$2&lt;&gt;"Não se aplica",SUMIF(TE!$C$48:'TE'!$C$85,$I$2,TE!$AA$48:'TE'!$AA$85),IF($B$2&lt;&gt;"Não se aplica",SUMIF(TE!$B$48:'TE'!$B$85,$I$2,TE!$AA$48:'TE'!$AA$85),SUMIF(TE!$A$48:'TE'!$A$85,$I$2,TE!$AA$48:'TE'!$AA$85)))))))</f>
        <v>0</v>
      </c>
      <c r="F8" s="39">
        <f>IF($G$2&lt;&gt;"Não se aplica",SUMIF(TE!$G$48:'TE'!$G$85,$I$2,TE!$AB$48:'TE'!$AB$85),IF($F$2&lt;&gt;"Não se aplica",SUMIF(TE!$F$48:'TE'!$F$85,$I$2,TE!$AB$48:'TE'!$AB$85),IF($E$2&lt;&gt;"Não se aplica",SUMIF(TE!$E$48:'TE'!$E$85,$I$2,TE!$AB$48:'TE'!$AB$85),IF($D$2&lt;&gt;"Não se aplica",SUMIF(TE!$D$48:'TE'!$D$85,$I$2,TE!$AB$48:'TE'!$AB$85),IF($C$2&lt;&gt;"Não se aplica",SUMIF(TE!$C$48:'TE'!$C$85,$I$2,TE!$AB$48:'TE'!$AB$85),IF($B$2&lt;&gt;"Não se aplica",SUMIF(TE!$B$48:'TE'!$B$85,$I$2,TE!$AB$48:'TE'!$AB$85),SUMIF(TE!$A$48:'TE'!$A$85,$I$2,TE!$AB$48:'TE'!$AB$85)))))))</f>
        <v>0</v>
      </c>
      <c r="G8" s="39">
        <f>IF($G$2&lt;&gt;"Não se aplica",SUMIF(TE!$G$48:'TE'!$G$85,$I$2,TE!$AC$48:'TE'!$AC$85),IF($F$2&lt;&gt;"Não se aplica",SUMIF(TE!$F$48:'TE'!$F$85,$I$2,TE!$AC$48:'TE'!$AC$85),IF($E$2&lt;&gt;"Não se aplica",SUMIF(TE!$E$48:'TE'!$E$85,$I$2,TE!$AC$48:'TE'!$AC$85),IF($D$2&lt;&gt;"Não se aplica",SUMIF(TE!$D$48:'TE'!$D$85,$I$2,TE!$AC$48:'TE'!$AC$85),IF($C$2&lt;&gt;"Não se aplica",SUMIF(TE!$C$48:'TE'!$C$85,$I$2,TE!$AC$48:'TE'!$AC$85),IF($B$2&lt;&gt;"Não se aplica",SUMIF(TE!$B$48:'TE'!$B$85,$I$2,TE!$AC$48:'TE'!$AC$85),SUMIF(TE!$A$48:'TE'!$A$85,$I$2,TE!$AC$48:'TE'!$AC$85)))))))</f>
        <v>2261996.6888216687</v>
      </c>
      <c r="H8" s="39">
        <f>IF($G$2&lt;&gt;"Não se aplica",SUMIF(TE!$G$48:'TE'!$G$85,$I$2,TE!$AD$48:'TE'!$AD$85),IF($F$2&lt;&gt;"Não se aplica",SUMIF(TE!$F$48:'TE'!$F$85,$I$2,TE!$AD$48:'TE'!$AD$85),IF($E$2&lt;&gt;"Não se aplica",SUMIF(TE!$E$48:'TE'!$E$85,$I$2,TE!$AD$48:'TE'!$AD$85),IF($D$2&lt;&gt;"Não se aplica",SUMIF(TE!$D$48:'TE'!$D$85,$I$2,TE!$AD$48:'TE'!$AD$85),IF($C$2&lt;&gt;"Não se aplica",SUMIF(TE!$C$48:'TE'!$C$85,$I$2,TE!$AD$48:'TE'!$AD$85),IF($B$2&lt;&gt;"Não se aplica",SUMIF(TE!$B$48:'TE'!$B$85,$I$2,TE!$AD$48:'TE'!$AD$85),SUMIF(TE!$A$48:'TE'!$A$85,$I$2,TE!$AD$48:'TE'!$AD$85)))))))</f>
        <v>0</v>
      </c>
      <c r="I8" s="39">
        <f>IF($G$2&lt;&gt;"Não se aplica",SUMIF(TE!$G$48:'TE'!$G$85,$I$2,TE!$AE$48:'TE'!$AE$85),IF($F$2&lt;&gt;"Não se aplica",SUMIF(TE!$F$48:'TE'!$F$85,$I$2,TE!$AE$48:'TE'!$AE$85),IF($E$2&lt;&gt;"Não se aplica",SUMIF(TE!$E$48:'TE'!$E$85,$I$2,TE!$AE$48:'TE'!$AE$85),IF($D$2&lt;&gt;"Não se aplica",SUMIF(TE!$D$48:'TE'!$D$85,$I$2,TE!$AE$48:'TE'!$AE$85),IF($C$2&lt;&gt;"Não se aplica",SUMIF(TE!$C$48:'TE'!$C$85,$I$2,TE!$AE$48:'TE'!$AE$85),IF($B$2&lt;&gt;"Não se aplica",SUMIF(TE!$B$48:'TE'!$B$85,$I$2,TE!$AE$48:'TE'!$AE$85),SUMIF(TE!$A$48:'TE'!$A$85,$I$2,TE!$AE$48:'TE'!$AE$85)))))))</f>
        <v>0</v>
      </c>
      <c r="J8" s="39">
        <f>IF($G$2&lt;&gt;"Não se aplica",SUMIF(TE!$G$48:'TE'!$G$85,$I$2,TE!$AF$48:'TE'!$AF$85),IF($F$2&lt;&gt;"Não se aplica",SUMIF(TE!$F$48:'TE'!$F$85,$I$2,TE!$AF$48:'TE'!$AF$85),IF($E$2&lt;&gt;"Não se aplica",SUMIF(TE!$E$48:'TE'!$E$85,$I$2,TE!$AF$48:'TE'!$AF$85),IF($D$2&lt;&gt;"Não se aplica",SUMIF(TE!$D$48:'TE'!$D$85,$I$2,TE!$AF$48:'TE'!$AF$85),IF($C$2&lt;&gt;"Não se aplica",SUMIF(TE!$C$48:'TE'!$C$85,$I$2,TE!$AF$48:'TE'!$AF$85),IF($B$2&lt;&gt;"Não se aplica",SUMIF(TE!$B$48:'TE'!$B$85,$I$2,TE!$AF$48:'TE'!$AF$85),SUMIF(TE!$A$48:'TE'!$A$85,$I$2,TE!$AF$48:'TE'!$AF$85)))))))</f>
        <v>0</v>
      </c>
      <c r="K8" s="39">
        <f>IF($G$2&lt;&gt;"Não se aplica",SUMIF(TE!$G$48:'TE'!$G$85,$I$2,TE!$AG$48:'TE'!$AG$85),IF($F$2&lt;&gt;"Não se aplica",SUMIF(TE!$F$48:'TE'!$F$85,$I$2,TE!$AG$48:'TE'!$AG$85),IF($E$2&lt;&gt;"Não se aplica",SUMIF(TE!$E$48:'TE'!$E$85,$I$2,TE!$AG$48:'TE'!$AG$85),IF($D$2&lt;&gt;"Não se aplica",SUMIF(TE!$D$48:'TE'!$D$85,$I$2,TE!$AG$48:'TE'!$AG$85),IF($C$2&lt;&gt;"Não se aplica",SUMIF(TE!$C$48:'TE'!$C$85,$I$2,TE!$AG$48:'TE'!$AG$85),IF($B$2&lt;&gt;"Não se aplica",SUMIF(TE!$B$48:'TE'!$B$85,$I$2,TE!$AG$48:'TE'!$AG$85),SUMIF(TE!$A$48:'TE'!$A$85,$I$2,TE!$AG$48:'TE'!$AG$85)))))))</f>
        <v>0</v>
      </c>
      <c r="L8" s="39">
        <f>IF($G$2&lt;&gt;"Não se aplica",SUMIF(TE!$G$48:'TE'!$G$85,$I$2,TE!$AH$48:'TE'!$AH$85),IF($F$2&lt;&gt;"Não se aplica",SUMIF(TE!$F$48:'TE'!$F$85,$I$2,TE!$AH$48:'TE'!$AH$85),IF($E$2&lt;&gt;"Não se aplica",SUMIF(TE!$E$48:'TE'!$E$85,$I$2,TE!$AH$48:'TE'!$AH$85),IF($D$2&lt;&gt;"Não se aplica",SUMIF(TE!$D$48:'TE'!$D$85,$I$2,TE!$AH$48:'TE'!$AH$85),IF($C$2&lt;&gt;"Não se aplica",SUMIF(TE!$C$48:'TE'!$C$85,$I$2,TE!$AH$48:'TE'!$AH$85),IF($B$2&lt;&gt;"Não se aplica",SUMIF(TE!$B$48:'TE'!$B$85,$I$2,TE!$AH$48:'TE'!$AH$85),SUMIF(TE!$A$48:'TE'!$A$85,$I$2,TE!$AH$48:'TE'!$AH$85)))))))</f>
        <v>0</v>
      </c>
      <c r="M8" s="39">
        <f t="shared" si="0"/>
        <v>2261996.6888216687</v>
      </c>
      <c r="AD8" s="14" t="s">
        <v>96</v>
      </c>
    </row>
    <row r="9" spans="1:33" x14ac:dyDescent="0.2">
      <c r="A9" s="14" t="s">
        <v>1016</v>
      </c>
      <c r="B9" s="39">
        <f>IF($G$2&lt;&gt;"Não se aplica",SUMIF(TE!$G$48:'TE'!$G$85,$I$2,TE!$L$48:'TE'!$L$85),IF($F$2&lt;&gt;"Não se aplica",SUMIF(TE!$F$48:'TE'!$F$85,$I$2,TE!$L$48:'TE'!$L$85),IF($E$2&lt;&gt;"Não se aplica",SUMIF(TE!$E$48:'TE'!$E$85,$I$2,TE!$L$48:'TE'!$L$85),IF($D$2&lt;&gt;"Não se aplica",SUMIF(TE!$D$48:'TE'!$D$85,$I$2,TE!$L$48:'TE'!$L$85),IF($C$2&lt;&gt;"Não se aplica",SUMIF(TE!$C$48:'TE'!$C$85,$I$2,TE!$L$48:'TE'!$L$85),IF($B$2&lt;&gt;"Não se aplica",SUMIF(TE!$B$48:'TE'!$B$85,$I$2,TE!$L$48:'TE'!$L$85),SUMIF(TE!$A$48:'TE'!$A$85,$I$2,TE!$L$48:'TE'!$L$85)))))))</f>
        <v>0</v>
      </c>
      <c r="C9" s="39">
        <f>IF($G$2&lt;&gt;"Não se aplica",SUMIF(TE!$G$48:'TE'!$G$85,$I$2,TE!$M$48:'TE'!$M$85),IF($F$2&lt;&gt;"Não se aplica",SUMIF(TE!$F$48:'TE'!$F$85,$I$2,TE!$M$48:'TE'!$M$85),IF($E$2&lt;&gt;"Não se aplica",SUMIF(TE!$E$48:'TE'!$E$85,$I$2,TE!$M$48:'TE'!$M$85),IF($D$2&lt;&gt;"Não se aplica",SUMIF(TE!$D$48:'TE'!$D$85,$I$2,TE!$M$48:'TE'!$M$85),IF($C$2&lt;&gt;"Não se aplica",SUMIF(TE!$C$48:'TE'!$C$85,$I$2,TE!$M$48:'TE'!$M$85),IF($B$2&lt;&gt;"Não se aplica",SUMIF(TE!$B$48:'TE'!$B$85,$I$2,TE!$M$48:'TE'!$M$85),SUMIF(TE!$A$48:'TE'!$A$85,$I$2,TE!$M$48:'TE'!$M$85)))))))</f>
        <v>124866.45142922727</v>
      </c>
      <c r="D9" s="39">
        <f>IF($G$2&lt;&gt;"Não se aplica",SUMIF(TE!$G$48:'TE'!$G$85,$I$2,TE!$N$48:'TE'!$N$85),IF($F$2&lt;&gt;"Não se aplica",SUMIF(TE!$F$48:'TE'!$F$85,$I$2,TE!$N$48:'TE'!$N$85),IF($E$2&lt;&gt;"Não se aplica",SUMIF(TE!$E$48:'TE'!$E$85,$I$2,TE!$N$48:'TE'!$N$85),IF($D$2&lt;&gt;"Não se aplica",SUMIF(TE!$D$48:'TE'!$D$85,$I$2,TE!$N$48:'TE'!$N$85),IF($C$2&lt;&gt;"Não se aplica",SUMIF(TE!$C$48:'TE'!$C$85,$I$2,TE!$N$48:'TE'!$N$85),IF($B$2&lt;&gt;"Não se aplica",SUMIF(TE!$B$48:'TE'!$B$85,$I$2,TE!$N$48:'TE'!$N$85),SUMIF(TE!$A$48:'TE'!$A$85,$I$2,TE!$N$48:'TE'!$N$85)))))))</f>
        <v>0</v>
      </c>
      <c r="E9" s="39">
        <f>IF($G$2&lt;&gt;"Não se aplica",SUMIF(TE!$G$48:'TE'!$G$85,$I$2,TE!$O$48:'TE'!$O$85),IF($F$2&lt;&gt;"Não se aplica",SUMIF(TE!$F$48:'TE'!$F$85,$I$2,TE!$O$48:'TE'!$O$85),IF($E$2&lt;&gt;"Não se aplica",SUMIF(TE!$E$48:'TE'!$E$85,$I$2,TE!$O$48:'TE'!$O$85),IF($D$2&lt;&gt;"Não se aplica",SUMIF(TE!$D$48:'TE'!$D$85,$I$2,TE!$O$48:'TE'!$O$85),IF($C$2&lt;&gt;"Não se aplica",SUMIF(TE!$C$48:'TE'!$C$85,$I$2,TE!$O$48:'TE'!$O$85),IF($B$2&lt;&gt;"Não se aplica",SUMIF(TE!$B$48:'TE'!$B$85,$I$2,TE!$O$48:'TE'!$O$85),SUMIF(TE!$A$48:'TE'!$A$85,$I$2,TE!$O$48:'TE'!$O$85)))))))</f>
        <v>0</v>
      </c>
      <c r="F9" s="39">
        <f>IF($G$2&lt;&gt;"Não se aplica",SUMIF(TE!$G$48:'TE'!$G$85,$I$2,TE!$P$48:'TE'!$P$85),IF($F$2&lt;&gt;"Não se aplica",SUMIF(TE!$F$48:'TE'!$F$85,$I$2,TE!$P$48:'TE'!$P$85),IF($E$2&lt;&gt;"Não se aplica",SUMIF(TE!$E$48:'TE'!$E$85,$I$2,TE!$P$48:'TE'!$P$85),IF($D$2&lt;&gt;"Não se aplica",SUMIF(TE!$D$48:'TE'!$D$85,$I$2,TE!$P$48:'TE'!$P$85),IF($C$2&lt;&gt;"Não se aplica",SUMIF(TE!$C$48:'TE'!$C$85,$I$2,TE!$P$48:'TE'!$P$85),IF($B$2&lt;&gt;"Não se aplica",SUMIF(TE!$B$48:'TE'!$B$85,$I$2,TE!$P$48:'TE'!$P$85),SUMIF(TE!$A$48:'TE'!$A$85,$I$2,TE!$P$48:'TE'!$P$85)))))))</f>
        <v>0</v>
      </c>
      <c r="G9" s="39">
        <f>IF($G$2&lt;&gt;"Não se aplica",SUMIF(TE!$G$48:'TE'!$G$85,$I$2,TE!$Q$48:'TE'!$Q$85),IF($F$2&lt;&gt;"Não se aplica",SUMIF(TE!$F$48:'TE'!$F$85,$I$2,TE!$Q$48:'TE'!$Q$85),IF($E$2&lt;&gt;"Não se aplica",SUMIF(TE!$E$48:'TE'!$E$85,$I$2,TE!$Q$48:'TE'!$Q$85),IF($D$2&lt;&gt;"Não se aplica",SUMIF(TE!$D$48:'TE'!$D$85,$I$2,TE!$Q$48:'TE'!$Q$85),IF($C$2&lt;&gt;"Não se aplica",SUMIF(TE!$C$48:'TE'!$C$85,$I$2,TE!$Q$48:'TE'!$Q$85),IF($B$2&lt;&gt;"Não se aplica",SUMIF(TE!$B$48:'TE'!$B$85,$I$2,TE!$Q$48:'TE'!$Q$85),SUMIF(TE!$A$48:'TE'!$A$85,$I$2,TE!$Q$48:'TE'!$Q$85)))))))</f>
        <v>1531974.2552729351</v>
      </c>
      <c r="H9" s="39">
        <f>IF($G$2&lt;&gt;"Não se aplica",SUMIF(TE!$G$48:'TE'!$G$85,$I$2,TE!$R$48:'TE'!$R$85),IF($F$2&lt;&gt;"Não se aplica",SUMIF(TE!$F$48:'TE'!$F$85,$I$2,TE!$R$48:'TE'!$R$85),IF($E$2&lt;&gt;"Não se aplica",SUMIF(TE!$E$48:'TE'!$E$85,$I$2,TE!$R$48:'TE'!$R$85),IF($D$2&lt;&gt;"Não se aplica",SUMIF(TE!$D$48:'TE'!$D$85,$I$2,TE!$R$48:'TE'!$R$85),IF($C$2&lt;&gt;"Não se aplica",SUMIF(TE!$C$48:'TE'!$C$85,$I$2,TE!$R$48:'TE'!$R$85),IF($B$2&lt;&gt;"Não se aplica",SUMIF(TE!$B$48:'TE'!$B$85,$I$2,TE!$R$48:'TE'!$R$85),SUMIF(TE!$A$48:'TE'!$A$85,$I$2,TE!$R$48:'TE'!$R$85)))))))</f>
        <v>0</v>
      </c>
      <c r="I9" s="39">
        <f>IF($G$2&lt;&gt;"Não se aplica",SUMIF(TE!$G$48:'TE'!$G$85,$I$2,TE!$S$48:'TE'!$S$85),IF($F$2&lt;&gt;"Não se aplica",SUMIF(TE!$F$48:'TE'!$F$85,$I$2,TE!$S$48:'TE'!$S$85),IF($E$2&lt;&gt;"Não se aplica",SUMIF(TE!$E$48:'TE'!$E$85,$I$2,TE!$S$48:'TE'!$S$85),IF($D$2&lt;&gt;"Não se aplica",SUMIF(TE!$D$48:'TE'!$D$85,$I$2,TE!$S$48:'TE'!$S$85),IF($C$2&lt;&gt;"Não se aplica",SUMIF(TE!$C$48:'TE'!$C$85,$I$2,TE!$S$48:'TE'!$S$85),IF($B$2&lt;&gt;"Não se aplica",SUMIF(TE!$B$48:'TE'!$B$85,$I$2,TE!$S$48:'TE'!$S$85),SUMIF(TE!$A$48:'TE'!$A$85,$I$2,TE!$S$48:'TE'!$S$85)))))))</f>
        <v>0</v>
      </c>
      <c r="J9" s="39">
        <f>IF($G$2&lt;&gt;"Não se aplica",SUMIF(TE!$G$48:'TE'!$G$85,$I$2,TE!$T$48:'TE'!$T$85),IF($F$2&lt;&gt;"Não se aplica",SUMIF(TE!$F$48:'TE'!$F$85,$I$2,TE!$T$48:'TE'!$T$85),IF($E$2&lt;&gt;"Não se aplica",SUMIF(TE!$E$48:'TE'!$E$85,$I$2,TE!$T$48:'TE'!$T$85),IF($D$2&lt;&gt;"Não se aplica",SUMIF(TE!$D$48:'TE'!$D$85,$I$2,TE!$T$48:'TE'!$T$85),IF($C$2&lt;&gt;"Não se aplica",SUMIF(TE!$C$48:'TE'!$C$85,$I$2,TE!$T$48:'TE'!$T$85),IF($B$2&lt;&gt;"Não se aplica",SUMIF(TE!$B$48:'TE'!$B$85,$I$2,TE!$T$48:'TE'!$T$85),SUMIF(TE!$A$48:'TE'!$A$85,$I$2,TE!$T$48:'TE'!$T$85)))))))</f>
        <v>0</v>
      </c>
      <c r="K9" s="39">
        <f>IF($G$2&lt;&gt;"Não se aplica",SUMIF(TE!$G$48:'TE'!$G$85,$I$2,TE!$U$48:'TE'!$U$85),IF($F$2&lt;&gt;"Não se aplica",SUMIF(TE!$F$48:'TE'!$F$85,$I$2,TE!$U$48:'TE'!$U$85),IF($E$2&lt;&gt;"Não se aplica",SUMIF(TE!$E$48:'TE'!$E$85,$I$2,TE!$U$48:'TE'!$U$85),IF($D$2&lt;&gt;"Não se aplica",SUMIF(TE!$D$48:'TE'!$D$85,$I$2,TE!$U$48:'TE'!$U$85),IF($C$2&lt;&gt;"Não se aplica",SUMIF(TE!$C$48:'TE'!$C$85,$I$2,TE!$U$48:'TE'!$U$85),IF($B$2&lt;&gt;"Não se aplica",SUMIF(TE!$B$48:'TE'!$B$85,$I$2,TE!$U$48:'TE'!$U$85),SUMIF(TE!$A$48:'TE'!$A$85,$I$2,TE!$U$48:'TE'!$U$85)))))))</f>
        <v>0</v>
      </c>
      <c r="L9" s="39">
        <f>IF($G$2&lt;&gt;"Não se aplica",SUMIF(TE!$G$48:'TE'!$G$85,$I$2,TE!$V$48:'TE'!$V$85),IF($F$2&lt;&gt;"Não se aplica",SUMIF(TE!$F$48:'TE'!$F$85,$I$2,TE!$V$48:'TE'!$V$85),IF($E$2&lt;&gt;"Não se aplica",SUMIF(TE!$E$48:'TE'!$E$85,$I$2,TE!$V$48:'TE'!$V$85),IF($D$2&lt;&gt;"Não se aplica",SUMIF(TE!$D$48:'TE'!$D$85,$I$2,TE!$V$48:'TE'!$V$85),IF($C$2&lt;&gt;"Não se aplica",SUMIF(TE!$C$48:'TE'!$C$85,$I$2,TE!$V$48:'TE'!$V$85),IF($B$2&lt;&gt;"Não se aplica",SUMIF(TE!$B$48:'TE'!$B$85,$I$2,TE!$V$48:'TE'!$V$85),SUMIF(TE!$A$48:'TE'!$A$85,$I$2,TE!$V$48:'TE'!$V$85)))))))</f>
        <v>0</v>
      </c>
      <c r="M9" s="39">
        <f t="shared" si="0"/>
        <v>1656840.7067021625</v>
      </c>
      <c r="AD9" s="14" t="s">
        <v>97</v>
      </c>
    </row>
    <row r="10" spans="1:33" x14ac:dyDescent="0.2">
      <c r="A10" s="14" t="s">
        <v>1013</v>
      </c>
      <c r="B10" s="39">
        <f>SUMIF(TE!$A$48:'TE'!$A$85,$A$2,TE!$X$48:'TE'!$X$85)</f>
        <v>0</v>
      </c>
      <c r="C10" s="39">
        <f>SUMIF(TE!$A$48:'TE'!$A$85,$A$2,TE!$Y$48:'TE'!$Y$85)</f>
        <v>0</v>
      </c>
      <c r="D10" s="39">
        <f>SUMIF(TE!$A$48:'TE'!$A$85,$A$2,TE!$Z$48:'TE'!$Z$85)</f>
        <v>0</v>
      </c>
      <c r="E10" s="39">
        <f>SUMIF(TE!$A$48:'TE'!$A$85,$A$2,TE!$AA$48:'TE'!$AA$85)</f>
        <v>0</v>
      </c>
      <c r="F10" s="39">
        <f>SUMIF(TE!$A$48:'TE'!$A$85,$A$2,TE!$AB$48:'TE'!$AB$85)</f>
        <v>0</v>
      </c>
      <c r="G10" s="39">
        <f>SUMIF(TE!$A$48:'TE'!$A$85,$A$2,TE!$AC$48:'TE'!$AC$85)</f>
        <v>2261996.6888216687</v>
      </c>
      <c r="H10" s="39">
        <f>SUMIF(TE!$A$48:'TE'!$A$85,$A$2,TE!$AD$48:'TE'!$AD$85)</f>
        <v>0</v>
      </c>
      <c r="I10" s="39">
        <f>SUMIF(TE!$A$48:'TE'!$A$85,$A$2,TE!$AE$48:'TE'!$AE$85)</f>
        <v>0</v>
      </c>
      <c r="J10" s="39">
        <f>SUMIF(TE!$A$48:'TE'!$A$85,$A$2,TE!$AF$48:'TE'!$AF$85)</f>
        <v>0</v>
      </c>
      <c r="K10" s="39">
        <f>SUMIF(TE!$A$48:'TE'!$A$85,$A$2,TE!$AG$48:'TE'!$AG$85)</f>
        <v>0</v>
      </c>
      <c r="L10" s="39">
        <f>SUMIF(TE!$A$48:'TE'!$A$85,$A$2,TE!$AH$48:'TE'!$AH$85)</f>
        <v>0</v>
      </c>
      <c r="M10" s="39">
        <f t="shared" si="0"/>
        <v>2261996.6888216687</v>
      </c>
      <c r="AD10" s="14" t="s">
        <v>45</v>
      </c>
    </row>
    <row r="11" spans="1:33" x14ac:dyDescent="0.2">
      <c r="A11" s="14" t="s">
        <v>1014</v>
      </c>
      <c r="B11" s="39">
        <f>SUMIF(TE!$A$48:'TE'!$A$85,$A$2,TE!$L$48:'TE'!$L$85)</f>
        <v>0</v>
      </c>
      <c r="C11" s="39">
        <f>SUMIF(TE!$A$48:'TE'!$A$85,$A$2,TE!$M$48:'TE'!$M$85)</f>
        <v>124866.45142922727</v>
      </c>
      <c r="D11" s="39">
        <f>SUMIF(TE!$A$48:'TE'!$A$85,$A$2,TE!$N$48:'TE'!$N$85)</f>
        <v>0</v>
      </c>
      <c r="E11" s="39">
        <f>SUMIF(TE!$A$48:'TE'!$A$85,$A$2,TE!$O$48:'TE'!$O$85)</f>
        <v>0</v>
      </c>
      <c r="F11" s="39">
        <f>SUMIF(TE!$A$48:'TE'!$A$85,$A$2,TE!$P$48:'TE'!$P$85)</f>
        <v>0</v>
      </c>
      <c r="G11" s="39">
        <f>SUMIF(TE!$A$48:'TE'!$A$85,$A$2,TE!$Q$48:'TE'!$Q$85)</f>
        <v>1531974.2552729351</v>
      </c>
      <c r="H11" s="39">
        <f>SUMIF(TE!$A$48:'TE'!$A$85,$A$2,TE!$R$48:'TE'!$R$85)</f>
        <v>0</v>
      </c>
      <c r="I11" s="39">
        <f>SUMIF(TE!$A$48:'TE'!$A$85,$A$2,TE!$S$48:'TE'!$S$85)</f>
        <v>0</v>
      </c>
      <c r="J11" s="39">
        <f>SUMIF(TE!$A$48:'TE'!$A$85,$A$2,TE!$T$48:'TE'!$T$85)</f>
        <v>0</v>
      </c>
      <c r="K11" s="39">
        <f>SUMIF(TE!$A$48:'TE'!$A$85,$A$2,TE!$U$48:'TE'!$U$85)</f>
        <v>0</v>
      </c>
      <c r="L11" s="39">
        <f>SUMIF(TE!$A$48:'TE'!$A$85,$A$2,TE!$V$48:'TE'!$V$85)</f>
        <v>0</v>
      </c>
      <c r="M11" s="39">
        <f t="shared" si="0"/>
        <v>1656840.7067021625</v>
      </c>
    </row>
    <row r="13" spans="1:33" x14ac:dyDescent="0.2">
      <c r="A13" s="14" t="s">
        <v>1018</v>
      </c>
      <c r="B13" s="57">
        <f t="shared" ref="B13:M13" si="1">IF($M$6&lt;&gt;0,(B$7-B$6)/$M$6,0)</f>
        <v>0</v>
      </c>
      <c r="C13" s="57">
        <f t="shared" si="1"/>
        <v>5.6416039338097822E-2</v>
      </c>
      <c r="D13" s="57">
        <f t="shared" si="1"/>
        <v>0</v>
      </c>
      <c r="E13" s="57">
        <f t="shared" si="1"/>
        <v>0</v>
      </c>
      <c r="F13" s="57">
        <f t="shared" si="1"/>
        <v>0</v>
      </c>
      <c r="G13" s="57">
        <f t="shared" si="1"/>
        <v>-0.30783714231346365</v>
      </c>
      <c r="H13" s="57">
        <f t="shared" si="1"/>
        <v>0</v>
      </c>
      <c r="I13" s="57">
        <f t="shared" si="1"/>
        <v>0</v>
      </c>
      <c r="J13" s="57">
        <f t="shared" si="1"/>
        <v>0</v>
      </c>
      <c r="K13" s="57">
        <f t="shared" si="1"/>
        <v>0</v>
      </c>
      <c r="L13" s="57">
        <f t="shared" si="1"/>
        <v>0</v>
      </c>
      <c r="M13" s="57">
        <f t="shared" si="1"/>
        <v>-0.2514211029753658</v>
      </c>
    </row>
    <row r="14" spans="1:33" x14ac:dyDescent="0.2">
      <c r="A14" s="14" t="s">
        <v>1019</v>
      </c>
      <c r="B14" s="57">
        <f t="shared" ref="B14:M14" si="2">IF($M$10&lt;&gt;0,(B$9-B$8)/$M$10,0)</f>
        <v>0</v>
      </c>
      <c r="C14" s="57">
        <f t="shared" si="2"/>
        <v>5.5201871888801636E-2</v>
      </c>
      <c r="D14" s="57">
        <f t="shared" si="2"/>
        <v>0</v>
      </c>
      <c r="E14" s="57">
        <f t="shared" si="2"/>
        <v>0</v>
      </c>
      <c r="F14" s="57">
        <f t="shared" si="2"/>
        <v>0</v>
      </c>
      <c r="G14" s="57">
        <f t="shared" si="2"/>
        <v>-0.32273364375657893</v>
      </c>
      <c r="H14" s="57">
        <f t="shared" si="2"/>
        <v>0</v>
      </c>
      <c r="I14" s="57">
        <f t="shared" si="2"/>
        <v>0</v>
      </c>
      <c r="J14" s="57">
        <f t="shared" si="2"/>
        <v>0</v>
      </c>
      <c r="K14" s="57">
        <f t="shared" si="2"/>
        <v>0</v>
      </c>
      <c r="L14" s="57">
        <f t="shared" si="2"/>
        <v>0</v>
      </c>
      <c r="M14" s="57">
        <f t="shared" si="2"/>
        <v>-0.26753177186777727</v>
      </c>
    </row>
    <row r="15" spans="1:33" x14ac:dyDescent="0.2">
      <c r="A15" s="14" t="s">
        <v>1020</v>
      </c>
      <c r="B15" s="57">
        <f t="shared" ref="B15:M15" si="3">IF($M$8&lt;&gt;0,(B$9-B$8)/$M$8,0)</f>
        <v>0</v>
      </c>
      <c r="C15" s="57">
        <f t="shared" si="3"/>
        <v>5.5201871888801636E-2</v>
      </c>
      <c r="D15" s="57">
        <f t="shared" si="3"/>
        <v>0</v>
      </c>
      <c r="E15" s="57">
        <f t="shared" si="3"/>
        <v>0</v>
      </c>
      <c r="F15" s="57">
        <f t="shared" si="3"/>
        <v>0</v>
      </c>
      <c r="G15" s="57">
        <f t="shared" si="3"/>
        <v>-0.32273364375657893</v>
      </c>
      <c r="H15" s="57">
        <f t="shared" si="3"/>
        <v>0</v>
      </c>
      <c r="I15" s="57">
        <f t="shared" si="3"/>
        <v>0</v>
      </c>
      <c r="J15" s="57">
        <f t="shared" si="3"/>
        <v>0</v>
      </c>
      <c r="K15" s="57">
        <f t="shared" si="3"/>
        <v>0</v>
      </c>
      <c r="L15" s="57">
        <f t="shared" si="3"/>
        <v>0</v>
      </c>
      <c r="M15" s="57">
        <f t="shared" si="3"/>
        <v>-0.26753177186777727</v>
      </c>
    </row>
  </sheetData>
  <dataValidations count="4">
    <dataValidation type="list" allowBlank="1" showInputMessage="1" showErrorMessage="1" sqref="A2 G2" xr:uid="{CEDB00C5-4654-464D-A7B8-1B6B1B8BA593}">
      <formula1>AA1:AA5</formula1>
    </dataValidation>
    <dataValidation type="list" allowBlank="1" showInputMessage="1" showErrorMessage="1" sqref="B2 C2" xr:uid="{E70A8A33-BB1E-4E88-84BA-1026187927EC}">
      <formula1>AB1:AB4</formula1>
    </dataValidation>
    <dataValidation type="list" allowBlank="1" showInputMessage="1" showErrorMessage="1" sqref="D2" xr:uid="{79B2B789-5AFD-46DE-93B8-7C1BB7D6FCC4}">
      <formula1>AD1:AD10</formula1>
    </dataValidation>
    <dataValidation type="list" allowBlank="1" showInputMessage="1" showErrorMessage="1" sqref="E2 F2" xr:uid="{A901ACDE-F2F6-40D6-BB9F-B5606D21D598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1BA9-4819-4DE8-8791-DB249B0D0EDE}">
  <dimension ref="B1:U16"/>
  <sheetViews>
    <sheetView showGridLines="0" topLeftCell="J1" workbookViewId="0">
      <selection activeCell="U1" sqref="U1"/>
    </sheetView>
  </sheetViews>
  <sheetFormatPr defaultRowHeight="14.4" x14ac:dyDescent="0.3"/>
  <sheetData>
    <row r="1" spans="2:21" x14ac:dyDescent="0.3">
      <c r="B1" s="51" t="s">
        <v>627</v>
      </c>
      <c r="C1" s="51" t="s">
        <v>628</v>
      </c>
      <c r="D1" s="51" t="s">
        <v>629</v>
      </c>
      <c r="E1" s="51" t="s">
        <v>2</v>
      </c>
      <c r="F1" s="51" t="s">
        <v>630</v>
      </c>
      <c r="G1" s="51" t="s">
        <v>536</v>
      </c>
      <c r="H1" s="51" t="s">
        <v>3</v>
      </c>
      <c r="I1" s="51" t="s">
        <v>631</v>
      </c>
      <c r="J1" s="51" t="s">
        <v>5</v>
      </c>
      <c r="K1" s="51" t="s">
        <v>1</v>
      </c>
      <c r="L1" s="51" t="s">
        <v>632</v>
      </c>
      <c r="M1" s="51" t="s">
        <v>633</v>
      </c>
      <c r="N1" s="51" t="s">
        <v>634</v>
      </c>
      <c r="O1" s="51" t="s">
        <v>635</v>
      </c>
      <c r="P1" s="51" t="s">
        <v>636</v>
      </c>
      <c r="Q1" s="51" t="s">
        <v>637</v>
      </c>
      <c r="R1" s="51" t="s">
        <v>638</v>
      </c>
      <c r="S1" s="51" t="s">
        <v>639</v>
      </c>
      <c r="T1" s="51" t="s">
        <v>640</v>
      </c>
      <c r="U1" s="51" t="s">
        <v>641</v>
      </c>
    </row>
    <row r="2" spans="2:21" x14ac:dyDescent="0.3">
      <c r="B2" s="50" t="s">
        <v>612</v>
      </c>
      <c r="C2" s="50">
        <v>6025</v>
      </c>
      <c r="D2" s="50">
        <v>5374</v>
      </c>
      <c r="E2" s="50" t="s">
        <v>23</v>
      </c>
      <c r="F2" s="50">
        <v>1</v>
      </c>
      <c r="G2" s="50" t="s">
        <v>613</v>
      </c>
      <c r="H2" s="50" t="s">
        <v>41</v>
      </c>
      <c r="I2" s="50" t="s">
        <v>25</v>
      </c>
      <c r="J2" s="50" t="s">
        <v>41</v>
      </c>
      <c r="K2" s="50" t="s">
        <v>40</v>
      </c>
      <c r="L2" s="50">
        <v>0.3</v>
      </c>
      <c r="M2" s="50">
        <v>0.24</v>
      </c>
      <c r="N2" s="50">
        <v>0.18</v>
      </c>
      <c r="O2" s="50">
        <v>0.12</v>
      </c>
      <c r="P2" s="50">
        <v>0.06</v>
      </c>
      <c r="Q2" s="50">
        <v>0</v>
      </c>
      <c r="R2" s="50"/>
      <c r="S2" s="50"/>
      <c r="T2" s="50"/>
      <c r="U2" s="50">
        <v>3</v>
      </c>
    </row>
    <row r="3" spans="2:21" x14ac:dyDescent="0.3">
      <c r="B3" s="50" t="s">
        <v>614</v>
      </c>
      <c r="C3" s="50">
        <v>8260</v>
      </c>
      <c r="D3" s="50">
        <v>5374</v>
      </c>
      <c r="E3" s="50" t="s">
        <v>35</v>
      </c>
      <c r="F3" s="50">
        <v>1</v>
      </c>
      <c r="G3" s="50" t="s">
        <v>613</v>
      </c>
      <c r="H3" s="50" t="s">
        <v>41</v>
      </c>
      <c r="I3" s="50" t="s">
        <v>25</v>
      </c>
      <c r="J3" s="50" t="s">
        <v>561</v>
      </c>
      <c r="K3" s="50" t="s">
        <v>34</v>
      </c>
      <c r="L3" s="50">
        <v>0.1</v>
      </c>
      <c r="M3" s="50">
        <v>0.08</v>
      </c>
      <c r="N3" s="50">
        <v>0.06</v>
      </c>
      <c r="O3" s="50">
        <v>0.04</v>
      </c>
      <c r="P3" s="50">
        <v>0.02</v>
      </c>
      <c r="Q3" s="50">
        <v>0</v>
      </c>
      <c r="R3" s="50"/>
      <c r="S3" s="50"/>
      <c r="T3" s="50"/>
      <c r="U3" s="50">
        <v>3</v>
      </c>
    </row>
    <row r="4" spans="2:21" x14ac:dyDescent="0.3">
      <c r="B4" s="50" t="s">
        <v>615</v>
      </c>
      <c r="C4" s="50">
        <v>8261</v>
      </c>
      <c r="D4" s="50">
        <v>5374</v>
      </c>
      <c r="E4" s="50" t="s">
        <v>38</v>
      </c>
      <c r="F4" s="50">
        <v>1</v>
      </c>
      <c r="G4" s="50" t="s">
        <v>613</v>
      </c>
      <c r="H4" s="50" t="s">
        <v>41</v>
      </c>
      <c r="I4" s="50" t="s">
        <v>25</v>
      </c>
      <c r="J4" s="50" t="s">
        <v>561</v>
      </c>
      <c r="K4" s="50" t="s">
        <v>34</v>
      </c>
      <c r="L4" s="50">
        <v>0.1</v>
      </c>
      <c r="M4" s="50">
        <v>0.08</v>
      </c>
      <c r="N4" s="50">
        <v>0.06</v>
      </c>
      <c r="O4" s="50">
        <v>0.04</v>
      </c>
      <c r="P4" s="50">
        <v>0.02</v>
      </c>
      <c r="Q4" s="50">
        <v>0</v>
      </c>
      <c r="R4" s="50"/>
      <c r="S4" s="50"/>
      <c r="T4" s="50"/>
      <c r="U4" s="50">
        <v>3</v>
      </c>
    </row>
    <row r="5" spans="2:21" x14ac:dyDescent="0.3">
      <c r="B5" s="50" t="s">
        <v>616</v>
      </c>
      <c r="C5" s="50">
        <v>8262</v>
      </c>
      <c r="D5" s="50">
        <v>5374</v>
      </c>
      <c r="E5" s="50" t="s">
        <v>23</v>
      </c>
      <c r="F5" s="50">
        <v>1</v>
      </c>
      <c r="G5" s="50" t="s">
        <v>613</v>
      </c>
      <c r="H5" s="50" t="s">
        <v>41</v>
      </c>
      <c r="I5" s="50" t="s">
        <v>25</v>
      </c>
      <c r="J5" s="50" t="s">
        <v>561</v>
      </c>
      <c r="K5" s="50" t="s">
        <v>34</v>
      </c>
      <c r="L5" s="50">
        <v>0.1</v>
      </c>
      <c r="M5" s="50">
        <v>0.08</v>
      </c>
      <c r="N5" s="50">
        <v>0.06</v>
      </c>
      <c r="O5" s="50">
        <v>0.04</v>
      </c>
      <c r="P5" s="50">
        <v>0.02</v>
      </c>
      <c r="Q5" s="50">
        <v>0</v>
      </c>
      <c r="R5" s="50"/>
      <c r="S5" s="50"/>
      <c r="T5" s="50"/>
      <c r="U5" s="50">
        <v>3</v>
      </c>
    </row>
    <row r="6" spans="2:21" x14ac:dyDescent="0.3">
      <c r="B6" s="50" t="s">
        <v>617</v>
      </c>
      <c r="C6" s="50">
        <v>8263</v>
      </c>
      <c r="D6" s="50">
        <v>5374</v>
      </c>
      <c r="E6" s="50" t="s">
        <v>35</v>
      </c>
      <c r="F6" s="50">
        <v>1</v>
      </c>
      <c r="G6" s="50" t="s">
        <v>613</v>
      </c>
      <c r="H6" s="50" t="s">
        <v>46</v>
      </c>
      <c r="I6" s="50" t="s">
        <v>47</v>
      </c>
      <c r="J6" s="50" t="s">
        <v>562</v>
      </c>
      <c r="K6" s="50" t="s">
        <v>34</v>
      </c>
      <c r="L6" s="50">
        <v>0.15</v>
      </c>
      <c r="M6" s="50">
        <v>0.12</v>
      </c>
      <c r="N6" s="50">
        <v>0.09</v>
      </c>
      <c r="O6" s="50">
        <v>0.06</v>
      </c>
      <c r="P6" s="50">
        <v>0.03</v>
      </c>
      <c r="Q6" s="50">
        <v>0</v>
      </c>
      <c r="R6" s="50"/>
      <c r="S6" s="50"/>
      <c r="T6" s="50"/>
      <c r="U6" s="50">
        <v>3</v>
      </c>
    </row>
    <row r="7" spans="2:21" x14ac:dyDescent="0.3">
      <c r="B7" s="50" t="s">
        <v>618</v>
      </c>
      <c r="C7" s="50">
        <v>8264</v>
      </c>
      <c r="D7" s="50">
        <v>5374</v>
      </c>
      <c r="E7" s="50" t="s">
        <v>38</v>
      </c>
      <c r="F7" s="50">
        <v>1</v>
      </c>
      <c r="G7" s="50" t="s">
        <v>613</v>
      </c>
      <c r="H7" s="50" t="s">
        <v>46</v>
      </c>
      <c r="I7" s="50" t="s">
        <v>47</v>
      </c>
      <c r="J7" s="50" t="s">
        <v>562</v>
      </c>
      <c r="K7" s="50" t="s">
        <v>34</v>
      </c>
      <c r="L7" s="50">
        <v>0.15</v>
      </c>
      <c r="M7" s="50">
        <v>0.12</v>
      </c>
      <c r="N7" s="50">
        <v>0.09</v>
      </c>
      <c r="O7" s="50">
        <v>0.06</v>
      </c>
      <c r="P7" s="50">
        <v>0.03</v>
      </c>
      <c r="Q7" s="50">
        <v>0</v>
      </c>
      <c r="R7" s="50"/>
      <c r="S7" s="50"/>
      <c r="T7" s="50"/>
      <c r="U7" s="50">
        <v>3</v>
      </c>
    </row>
    <row r="8" spans="2:21" x14ac:dyDescent="0.3">
      <c r="B8" s="50" t="s">
        <v>619</v>
      </c>
      <c r="C8" s="50">
        <v>8265</v>
      </c>
      <c r="D8" s="50">
        <v>5374</v>
      </c>
      <c r="E8" s="50" t="s">
        <v>564</v>
      </c>
      <c r="F8" s="50">
        <v>1</v>
      </c>
      <c r="G8" s="50" t="s">
        <v>613</v>
      </c>
      <c r="H8" s="50" t="s">
        <v>46</v>
      </c>
      <c r="I8" s="50" t="s">
        <v>47</v>
      </c>
      <c r="J8" s="50" t="s">
        <v>562</v>
      </c>
      <c r="K8" s="50" t="s">
        <v>34</v>
      </c>
      <c r="L8" s="50">
        <v>0.15</v>
      </c>
      <c r="M8" s="50">
        <v>0.12</v>
      </c>
      <c r="N8" s="50">
        <v>0.09</v>
      </c>
      <c r="O8" s="50">
        <v>0.06</v>
      </c>
      <c r="P8" s="50">
        <v>0.03</v>
      </c>
      <c r="Q8" s="50">
        <v>0</v>
      </c>
      <c r="R8" s="50"/>
      <c r="S8" s="50"/>
      <c r="T8" s="50"/>
      <c r="U8" s="50">
        <v>3</v>
      </c>
    </row>
    <row r="9" spans="2:21" x14ac:dyDescent="0.3">
      <c r="B9" s="50" t="s">
        <v>612</v>
      </c>
      <c r="C9" s="50">
        <v>8266</v>
      </c>
      <c r="D9" s="50">
        <v>5374</v>
      </c>
      <c r="E9" s="50" t="s">
        <v>23</v>
      </c>
      <c r="F9" s="50">
        <v>1</v>
      </c>
      <c r="G9" s="50" t="s">
        <v>613</v>
      </c>
      <c r="H9" s="50" t="s">
        <v>41</v>
      </c>
      <c r="I9" s="50" t="s">
        <v>25</v>
      </c>
      <c r="J9" s="50" t="s">
        <v>41</v>
      </c>
      <c r="K9" s="50" t="s">
        <v>40</v>
      </c>
      <c r="L9" s="50">
        <v>0.3</v>
      </c>
      <c r="M9" s="50">
        <v>0.24</v>
      </c>
      <c r="N9" s="50">
        <v>0.18</v>
      </c>
      <c r="O9" s="50">
        <v>0.12</v>
      </c>
      <c r="P9" s="50">
        <v>0.06</v>
      </c>
      <c r="Q9" s="50">
        <v>0</v>
      </c>
      <c r="R9" s="50"/>
      <c r="S9" s="50"/>
      <c r="T9" s="50"/>
      <c r="U9" s="50">
        <v>3</v>
      </c>
    </row>
    <row r="10" spans="2:21" x14ac:dyDescent="0.3">
      <c r="B10" s="50" t="s">
        <v>620</v>
      </c>
      <c r="C10" s="50">
        <v>8267</v>
      </c>
      <c r="D10" s="50">
        <v>5374</v>
      </c>
      <c r="E10" s="50" t="s">
        <v>92</v>
      </c>
      <c r="F10" s="50">
        <v>1</v>
      </c>
      <c r="G10" s="50" t="s">
        <v>613</v>
      </c>
      <c r="H10" s="50" t="s">
        <v>41</v>
      </c>
      <c r="I10" s="50" t="s">
        <v>25</v>
      </c>
      <c r="J10" s="50" t="s">
        <v>41</v>
      </c>
      <c r="K10" s="50" t="s">
        <v>40</v>
      </c>
      <c r="L10" s="50">
        <v>0.3</v>
      </c>
      <c r="M10" s="50">
        <v>0.24</v>
      </c>
      <c r="N10" s="50">
        <v>0.18</v>
      </c>
      <c r="O10" s="50">
        <v>0.12</v>
      </c>
      <c r="P10" s="50">
        <v>0.06</v>
      </c>
      <c r="Q10" s="50">
        <v>0</v>
      </c>
      <c r="R10" s="50"/>
      <c r="S10" s="50"/>
      <c r="T10" s="50"/>
      <c r="U10" s="50">
        <v>3</v>
      </c>
    </row>
    <row r="11" spans="2:21" x14ac:dyDescent="0.3">
      <c r="B11" s="50" t="s">
        <v>621</v>
      </c>
      <c r="C11" s="50">
        <v>8268</v>
      </c>
      <c r="D11" s="50">
        <v>5374</v>
      </c>
      <c r="E11" s="50" t="s">
        <v>23</v>
      </c>
      <c r="F11" s="50">
        <v>1</v>
      </c>
      <c r="G11" s="50" t="s">
        <v>613</v>
      </c>
      <c r="H11" s="50" t="s">
        <v>41</v>
      </c>
      <c r="I11" s="50" t="s">
        <v>95</v>
      </c>
      <c r="J11" s="50" t="s">
        <v>562</v>
      </c>
      <c r="K11" s="50" t="s">
        <v>40</v>
      </c>
      <c r="L11" s="50">
        <v>0.3</v>
      </c>
      <c r="M11" s="50">
        <v>0.24</v>
      </c>
      <c r="N11" s="50">
        <v>0.18</v>
      </c>
      <c r="O11" s="50">
        <v>0.12</v>
      </c>
      <c r="P11" s="50">
        <v>0.06</v>
      </c>
      <c r="Q11" s="50">
        <v>0</v>
      </c>
      <c r="R11" s="50"/>
      <c r="S11" s="50"/>
      <c r="T11" s="50"/>
      <c r="U11" s="50">
        <v>3</v>
      </c>
    </row>
    <row r="12" spans="2:21" x14ac:dyDescent="0.3">
      <c r="B12" s="50" t="s">
        <v>622</v>
      </c>
      <c r="C12" s="50">
        <v>8269</v>
      </c>
      <c r="D12" s="50">
        <v>5374</v>
      </c>
      <c r="E12" s="50" t="s">
        <v>563</v>
      </c>
      <c r="F12" s="50">
        <v>1</v>
      </c>
      <c r="G12" s="50" t="s">
        <v>613</v>
      </c>
      <c r="H12" s="50" t="s">
        <v>41</v>
      </c>
      <c r="I12" s="50" t="s">
        <v>95</v>
      </c>
      <c r="J12" s="50" t="s">
        <v>562</v>
      </c>
      <c r="K12" s="50" t="s">
        <v>40</v>
      </c>
      <c r="L12" s="50">
        <v>0.3</v>
      </c>
      <c r="M12" s="50">
        <v>0.24</v>
      </c>
      <c r="N12" s="50">
        <v>0.18</v>
      </c>
      <c r="O12" s="50">
        <v>0.12</v>
      </c>
      <c r="P12" s="50">
        <v>0.06</v>
      </c>
      <c r="Q12" s="50">
        <v>0</v>
      </c>
      <c r="R12" s="50"/>
      <c r="S12" s="50"/>
      <c r="T12" s="50"/>
      <c r="U12" s="50">
        <v>3</v>
      </c>
    </row>
    <row r="13" spans="2:21" x14ac:dyDescent="0.3">
      <c r="B13" s="50" t="s">
        <v>623</v>
      </c>
      <c r="C13" s="50">
        <v>8270</v>
      </c>
      <c r="D13" s="50">
        <v>5374</v>
      </c>
      <c r="E13" s="50" t="s">
        <v>23</v>
      </c>
      <c r="F13" s="50">
        <v>1</v>
      </c>
      <c r="G13" s="50" t="s">
        <v>613</v>
      </c>
      <c r="H13" s="50" t="s">
        <v>41</v>
      </c>
      <c r="I13" s="50" t="s">
        <v>96</v>
      </c>
      <c r="J13" s="50" t="s">
        <v>562</v>
      </c>
      <c r="K13" s="50" t="s">
        <v>40</v>
      </c>
      <c r="L13" s="50">
        <v>0.4</v>
      </c>
      <c r="M13" s="50">
        <v>0.32</v>
      </c>
      <c r="N13" s="50">
        <v>0.24</v>
      </c>
      <c r="O13" s="50">
        <v>0.16</v>
      </c>
      <c r="P13" s="50">
        <v>0.08</v>
      </c>
      <c r="Q13" s="50">
        <v>0</v>
      </c>
      <c r="R13" s="50"/>
      <c r="S13" s="50"/>
      <c r="T13" s="50"/>
      <c r="U13" s="50">
        <v>3</v>
      </c>
    </row>
    <row r="14" spans="2:21" x14ac:dyDescent="0.3">
      <c r="B14" s="50" t="s">
        <v>624</v>
      </c>
      <c r="C14" s="50">
        <v>8271</v>
      </c>
      <c r="D14" s="50">
        <v>5374</v>
      </c>
      <c r="E14" s="50" t="s">
        <v>563</v>
      </c>
      <c r="F14" s="50">
        <v>1</v>
      </c>
      <c r="G14" s="50" t="s">
        <v>613</v>
      </c>
      <c r="H14" s="50" t="s">
        <v>41</v>
      </c>
      <c r="I14" s="50" t="s">
        <v>96</v>
      </c>
      <c r="J14" s="50" t="s">
        <v>562</v>
      </c>
      <c r="K14" s="50" t="s">
        <v>40</v>
      </c>
      <c r="L14" s="50">
        <v>0.4</v>
      </c>
      <c r="M14" s="50">
        <v>0.32</v>
      </c>
      <c r="N14" s="50">
        <v>0.24</v>
      </c>
      <c r="O14" s="50">
        <v>0.16</v>
      </c>
      <c r="P14" s="50">
        <v>0.08</v>
      </c>
      <c r="Q14" s="50">
        <v>0</v>
      </c>
      <c r="R14" s="50"/>
      <c r="S14" s="50"/>
      <c r="T14" s="50"/>
      <c r="U14" s="50">
        <v>3</v>
      </c>
    </row>
    <row r="15" spans="2:21" x14ac:dyDescent="0.3">
      <c r="B15" s="50" t="s">
        <v>625</v>
      </c>
      <c r="C15" s="50">
        <v>8272</v>
      </c>
      <c r="D15" s="50">
        <v>5374</v>
      </c>
      <c r="E15" s="50" t="s">
        <v>23</v>
      </c>
      <c r="F15" s="50">
        <v>1</v>
      </c>
      <c r="G15" s="50" t="s">
        <v>613</v>
      </c>
      <c r="H15" s="50" t="s">
        <v>46</v>
      </c>
      <c r="I15" s="50" t="s">
        <v>47</v>
      </c>
      <c r="J15" s="50" t="s">
        <v>562</v>
      </c>
      <c r="K15" s="50" t="s">
        <v>32</v>
      </c>
      <c r="L15" s="50">
        <v>0.15</v>
      </c>
      <c r="M15" s="50">
        <v>0.12</v>
      </c>
      <c r="N15" s="50">
        <v>0.09</v>
      </c>
      <c r="O15" s="50">
        <v>0.06</v>
      </c>
      <c r="P15" s="50">
        <v>0.03</v>
      </c>
      <c r="Q15" s="50">
        <v>0</v>
      </c>
      <c r="R15" s="50"/>
      <c r="S15" s="50"/>
      <c r="T15" s="50"/>
      <c r="U15" s="50">
        <v>3</v>
      </c>
    </row>
    <row r="16" spans="2:21" x14ac:dyDescent="0.3">
      <c r="B16" s="50" t="s">
        <v>626</v>
      </c>
      <c r="C16" s="50">
        <v>8273</v>
      </c>
      <c r="D16" s="50">
        <v>5374</v>
      </c>
      <c r="E16" s="50" t="s">
        <v>92</v>
      </c>
      <c r="F16" s="50">
        <v>1</v>
      </c>
      <c r="G16" s="50" t="s">
        <v>613</v>
      </c>
      <c r="H16" s="50" t="s">
        <v>46</v>
      </c>
      <c r="I16" s="50" t="s">
        <v>47</v>
      </c>
      <c r="J16" s="50" t="s">
        <v>562</v>
      </c>
      <c r="K16" s="50" t="s">
        <v>32</v>
      </c>
      <c r="L16" s="50">
        <v>0.15</v>
      </c>
      <c r="M16" s="50">
        <v>0.12</v>
      </c>
      <c r="N16" s="50">
        <v>0.09</v>
      </c>
      <c r="O16" s="50">
        <v>0.06</v>
      </c>
      <c r="P16" s="50">
        <v>0.03</v>
      </c>
      <c r="Q16" s="50">
        <v>0</v>
      </c>
      <c r="R16" s="50"/>
      <c r="S16" s="50"/>
      <c r="T16" s="50"/>
      <c r="U16" s="50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9343-3D7A-40CA-984E-AF14D8673CA2}">
  <dimension ref="A1:L18"/>
  <sheetViews>
    <sheetView showGridLines="0" workbookViewId="0">
      <selection activeCell="F8" sqref="F8"/>
    </sheetView>
  </sheetViews>
  <sheetFormatPr defaultColWidth="9.109375" defaultRowHeight="10.199999999999999" x14ac:dyDescent="0.2"/>
  <cols>
    <col min="1" max="1" width="31.44140625" style="14" bestFit="1" customWidth="1"/>
    <col min="2" max="2" width="18.44140625" style="14" customWidth="1"/>
    <col min="3" max="12" width="11" style="14" customWidth="1"/>
    <col min="13" max="16384" width="9.109375" style="14"/>
  </cols>
  <sheetData>
    <row r="1" spans="1:12" ht="10.8" thickBot="1" x14ac:dyDescent="0.25">
      <c r="A1" s="73" t="s">
        <v>1035</v>
      </c>
      <c r="B1" s="73" t="s">
        <v>22</v>
      </c>
      <c r="C1" s="73" t="s">
        <v>1034</v>
      </c>
      <c r="D1" s="73" t="s">
        <v>1033</v>
      </c>
      <c r="E1" s="73" t="s">
        <v>32</v>
      </c>
      <c r="F1" s="73" t="s">
        <v>1032</v>
      </c>
      <c r="G1" s="73" t="s">
        <v>1031</v>
      </c>
      <c r="H1" s="73" t="s">
        <v>529</v>
      </c>
      <c r="I1" s="73" t="s">
        <v>34</v>
      </c>
      <c r="J1" s="73" t="s">
        <v>528</v>
      </c>
      <c r="K1" s="73" t="s">
        <v>527</v>
      </c>
      <c r="L1" s="73" t="s">
        <v>526</v>
      </c>
    </row>
    <row r="2" spans="1:12" x14ac:dyDescent="0.2">
      <c r="A2" s="69" t="s">
        <v>1030</v>
      </c>
      <c r="B2" s="75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357.45417493282093</v>
      </c>
      <c r="C2" s="75">
        <f t="shared" si="0"/>
        <v>335.95082875116026</v>
      </c>
      <c r="D2" s="75">
        <f t="shared" si="0"/>
        <v>328.78304669060685</v>
      </c>
      <c r="E2" s="75">
        <f t="shared" si="0"/>
        <v>357.45417493282093</v>
      </c>
      <c r="F2" s="75">
        <f t="shared" si="0"/>
        <v>196.64654261779418</v>
      </c>
      <c r="G2" s="75">
        <f t="shared" si="0"/>
        <v>214.41017642003553</v>
      </c>
      <c r="H2" s="75">
        <f t="shared" si="0"/>
        <v>0</v>
      </c>
      <c r="I2" s="75">
        <f t="shared" si="0"/>
        <v>578.01274377821539</v>
      </c>
      <c r="J2" s="75">
        <f t="shared" si="0"/>
        <v>0</v>
      </c>
      <c r="K2" s="75">
        <f t="shared" si="0"/>
        <v>0</v>
      </c>
      <c r="L2" s="75">
        <f t="shared" si="0"/>
        <v>0</v>
      </c>
    </row>
    <row r="3" spans="1:12" ht="10.8" thickBot="1" x14ac:dyDescent="0.25">
      <c r="A3" s="67" t="s">
        <v>1029</v>
      </c>
      <c r="B3" s="74">
        <v>11.47</v>
      </c>
      <c r="C3" s="74">
        <v>10.78</v>
      </c>
      <c r="D3" s="74">
        <v>10.55</v>
      </c>
      <c r="E3" s="74">
        <v>11.47</v>
      </c>
      <c r="F3" s="74">
        <v>6.31</v>
      </c>
      <c r="G3" s="74">
        <v>6.88</v>
      </c>
      <c r="H3" s="74">
        <v>0</v>
      </c>
      <c r="I3" s="74">
        <f>'TUSD BE'!$AC$6</f>
        <v>18.547289795627989</v>
      </c>
      <c r="J3" s="74">
        <v>0</v>
      </c>
      <c r="K3" s="74">
        <v>0</v>
      </c>
      <c r="L3" s="74">
        <v>0</v>
      </c>
    </row>
    <row r="5" spans="1:12" ht="10.8" thickBot="1" x14ac:dyDescent="0.25">
      <c r="A5" s="73" t="s">
        <v>1028</v>
      </c>
      <c r="B5" s="73" t="s">
        <v>1027</v>
      </c>
    </row>
    <row r="6" spans="1:12" x14ac:dyDescent="0.2">
      <c r="A6" s="69" t="s">
        <v>1026</v>
      </c>
      <c r="B6" s="72">
        <v>8.1942000000000001E-2</v>
      </c>
    </row>
    <row r="7" spans="1:12" x14ac:dyDescent="0.2">
      <c r="A7" s="71" t="s">
        <v>1025</v>
      </c>
      <c r="B7" s="70">
        <v>0</v>
      </c>
    </row>
    <row r="8" spans="1:12" x14ac:dyDescent="0.2">
      <c r="A8" s="69" t="s">
        <v>1024</v>
      </c>
      <c r="B8" s="68">
        <v>15711091.529999999</v>
      </c>
    </row>
    <row r="9" spans="1:12" x14ac:dyDescent="0.2">
      <c r="A9" s="71" t="s">
        <v>1023</v>
      </c>
      <c r="B9" s="70">
        <v>0.04</v>
      </c>
    </row>
    <row r="10" spans="1:12" x14ac:dyDescent="0.2">
      <c r="A10" s="69" t="s">
        <v>1022</v>
      </c>
      <c r="B10" s="68">
        <v>11825200</v>
      </c>
    </row>
    <row r="11" spans="1:12" ht="10.8" thickBot="1" x14ac:dyDescent="0.25">
      <c r="A11" s="67" t="s">
        <v>1021</v>
      </c>
      <c r="B11" s="66">
        <f>(1+$B$6)^(1/IF($B$9&lt;&gt;0,$B$9,1))*$B$6/IF((1+$B$6)^(1/IF($B$9&lt;&gt;0,$B$9,1))-1&lt;&gt;0,(1+$B$6)^(1/IF($B$9&lt;&gt;0,$B$9,1))-1,1)</f>
        <v>9.5237635612765312E-2</v>
      </c>
    </row>
    <row r="18" spans="2:2" x14ac:dyDescent="0.2">
      <c r="B18" s="6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883A-2F6A-4085-AF8F-96FF77F8EF22}">
  <dimension ref="B1:AT50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2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19" t="s">
        <v>1075</v>
      </c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</row>
    <row r="2" spans="2:46" ht="12" customHeight="1" x14ac:dyDescent="0.3">
      <c r="L2" s="120" t="s">
        <v>394</v>
      </c>
      <c r="M2" s="120"/>
      <c r="N2" s="120"/>
      <c r="O2" s="120"/>
      <c r="P2" s="120"/>
      <c r="Q2" s="120"/>
      <c r="R2" s="120"/>
      <c r="S2" s="121"/>
      <c r="T2" s="120" t="s">
        <v>403</v>
      </c>
      <c r="U2" s="120"/>
      <c r="V2" s="120"/>
      <c r="W2" s="120"/>
      <c r="X2" s="120"/>
      <c r="Y2" s="120"/>
      <c r="Z2" s="121"/>
      <c r="AA2" s="122" t="s">
        <v>411</v>
      </c>
      <c r="AB2" s="120" t="s">
        <v>25</v>
      </c>
      <c r="AC2" s="120"/>
      <c r="AD2" s="121"/>
      <c r="AE2" s="120" t="s">
        <v>1074</v>
      </c>
      <c r="AF2" s="120"/>
      <c r="AG2" s="120"/>
      <c r="AH2" s="121"/>
      <c r="AI2" s="120" t="s">
        <v>394</v>
      </c>
      <c r="AJ2" s="120"/>
      <c r="AK2" s="120"/>
      <c r="AL2" s="120"/>
      <c r="AM2" s="121"/>
      <c r="AN2" s="122" t="s">
        <v>425</v>
      </c>
      <c r="AO2" s="120" t="s">
        <v>403</v>
      </c>
      <c r="AP2" s="120"/>
      <c r="AQ2" s="120"/>
      <c r="AR2" s="120"/>
      <c r="AS2" s="121"/>
      <c r="AT2" s="123" t="s">
        <v>1074</v>
      </c>
    </row>
    <row r="3" spans="2:46" ht="12" customHeight="1" x14ac:dyDescent="0.3">
      <c r="B3" s="110" t="s">
        <v>69</v>
      </c>
      <c r="C3" s="111" t="s">
        <v>70</v>
      </c>
      <c r="D3" s="111" t="s">
        <v>71</v>
      </c>
      <c r="E3" s="111" t="s">
        <v>72</v>
      </c>
      <c r="F3" s="111" t="s">
        <v>73</v>
      </c>
      <c r="G3" s="111" t="s">
        <v>75</v>
      </c>
      <c r="H3" s="111" t="s">
        <v>76</v>
      </c>
      <c r="I3" s="111" t="s">
        <v>672</v>
      </c>
      <c r="J3" s="111" t="s">
        <v>1036</v>
      </c>
      <c r="K3" s="111" t="s">
        <v>1037</v>
      </c>
      <c r="L3" s="111" t="s">
        <v>1038</v>
      </c>
      <c r="M3" s="111" t="s">
        <v>1039</v>
      </c>
      <c r="N3" s="111" t="s">
        <v>1040</v>
      </c>
      <c r="O3" s="111" t="s">
        <v>1041</v>
      </c>
      <c r="P3" s="111" t="s">
        <v>1042</v>
      </c>
      <c r="Q3" s="111" t="s">
        <v>1043</v>
      </c>
      <c r="R3" s="111" t="s">
        <v>1044</v>
      </c>
      <c r="S3" s="111" t="s">
        <v>1045</v>
      </c>
      <c r="T3" s="111" t="s">
        <v>1046</v>
      </c>
      <c r="U3" s="111" t="s">
        <v>1047</v>
      </c>
      <c r="V3" s="111" t="s">
        <v>1048</v>
      </c>
      <c r="W3" s="111" t="s">
        <v>1049</v>
      </c>
      <c r="X3" s="111" t="s">
        <v>1050</v>
      </c>
      <c r="Y3" s="111" t="s">
        <v>1051</v>
      </c>
      <c r="Z3" s="111" t="s">
        <v>1052</v>
      </c>
      <c r="AA3" s="111" t="s">
        <v>1053</v>
      </c>
      <c r="AB3" s="111" t="s">
        <v>1054</v>
      </c>
      <c r="AC3" s="111" t="s">
        <v>1055</v>
      </c>
      <c r="AD3" s="111" t="s">
        <v>1056</v>
      </c>
      <c r="AE3" s="111" t="s">
        <v>1057</v>
      </c>
      <c r="AF3" s="111" t="s">
        <v>1058</v>
      </c>
      <c r="AG3" s="111" t="s">
        <v>1059</v>
      </c>
      <c r="AH3" s="111" t="s">
        <v>1060</v>
      </c>
      <c r="AI3" s="111" t="s">
        <v>1061</v>
      </c>
      <c r="AJ3" s="111" t="s">
        <v>1062</v>
      </c>
      <c r="AK3" s="111" t="s">
        <v>1063</v>
      </c>
      <c r="AL3" s="111" t="s">
        <v>1064</v>
      </c>
      <c r="AM3" s="111" t="s">
        <v>1065</v>
      </c>
      <c r="AN3" s="111" t="s">
        <v>1066</v>
      </c>
      <c r="AO3" s="111" t="s">
        <v>1067</v>
      </c>
      <c r="AP3" s="111" t="s">
        <v>1068</v>
      </c>
      <c r="AQ3" s="111" t="s">
        <v>1069</v>
      </c>
      <c r="AR3" s="111" t="s">
        <v>1070</v>
      </c>
      <c r="AS3" s="111" t="s">
        <v>1071</v>
      </c>
      <c r="AT3" s="112" t="s">
        <v>1072</v>
      </c>
    </row>
    <row r="4" spans="2:46" ht="12" customHeight="1" x14ac:dyDescent="0.3">
      <c r="B4" s="113" t="s">
        <v>34</v>
      </c>
      <c r="C4" s="114" t="s">
        <v>35</v>
      </c>
      <c r="D4" s="114" t="s">
        <v>25</v>
      </c>
      <c r="E4" s="114" t="s">
        <v>25</v>
      </c>
      <c r="F4" s="114" t="s">
        <v>87</v>
      </c>
      <c r="G4" s="114" t="s">
        <v>36</v>
      </c>
      <c r="H4" s="114" t="s">
        <v>79</v>
      </c>
      <c r="I4" s="114" t="s">
        <v>25</v>
      </c>
      <c r="J4" s="114">
        <v>20.57</v>
      </c>
      <c r="K4" s="114">
        <v>0</v>
      </c>
      <c r="L4" s="114">
        <v>0</v>
      </c>
      <c r="M4" s="114">
        <v>0.79253749312463395</v>
      </c>
      <c r="N4" s="114">
        <v>0</v>
      </c>
      <c r="O4" s="114">
        <v>0</v>
      </c>
      <c r="P4" s="114">
        <v>0</v>
      </c>
      <c r="Q4" s="114">
        <v>0</v>
      </c>
      <c r="R4" s="114">
        <v>0</v>
      </c>
      <c r="S4" s="114">
        <v>0</v>
      </c>
      <c r="T4" s="114">
        <v>0</v>
      </c>
      <c r="U4" s="114">
        <v>0</v>
      </c>
      <c r="V4" s="114">
        <v>0</v>
      </c>
      <c r="W4" s="114">
        <v>0</v>
      </c>
      <c r="X4" s="114">
        <v>0</v>
      </c>
      <c r="Y4" s="114">
        <v>0</v>
      </c>
      <c r="Z4" s="114">
        <v>0</v>
      </c>
      <c r="AA4" s="114">
        <v>0</v>
      </c>
      <c r="AB4" s="114">
        <v>0</v>
      </c>
      <c r="AC4" s="114">
        <v>0</v>
      </c>
      <c r="AD4" s="114">
        <v>0</v>
      </c>
      <c r="AE4" s="114">
        <v>16.698820090631401</v>
      </c>
      <c r="AF4" s="114">
        <v>0</v>
      </c>
      <c r="AG4" s="114">
        <v>3.0821020832242199</v>
      </c>
      <c r="AH4" s="114">
        <v>0</v>
      </c>
      <c r="AI4" s="114">
        <v>0</v>
      </c>
      <c r="AJ4" s="114">
        <v>0</v>
      </c>
      <c r="AK4" s="114">
        <v>0</v>
      </c>
      <c r="AL4" s="114">
        <v>0</v>
      </c>
      <c r="AM4" s="114">
        <v>0</v>
      </c>
      <c r="AN4" s="114">
        <v>0</v>
      </c>
      <c r="AO4" s="114">
        <v>0</v>
      </c>
      <c r="AP4" s="114">
        <v>0</v>
      </c>
      <c r="AQ4" s="114">
        <v>0</v>
      </c>
      <c r="AR4" s="114">
        <v>0</v>
      </c>
      <c r="AS4" s="114">
        <v>0</v>
      </c>
      <c r="AT4" s="115">
        <v>0</v>
      </c>
    </row>
    <row r="5" spans="2:46" ht="12" customHeight="1" x14ac:dyDescent="0.3">
      <c r="B5" s="113" t="s">
        <v>34</v>
      </c>
      <c r="C5" s="114" t="s">
        <v>35</v>
      </c>
      <c r="D5" s="114" t="s">
        <v>25</v>
      </c>
      <c r="E5" s="114" t="s">
        <v>25</v>
      </c>
      <c r="F5" s="114" t="s">
        <v>87</v>
      </c>
      <c r="G5" s="114" t="s">
        <v>36</v>
      </c>
      <c r="H5" s="114" t="s">
        <v>84</v>
      </c>
      <c r="I5" s="114" t="s">
        <v>25</v>
      </c>
      <c r="J5" s="114">
        <v>63.56</v>
      </c>
      <c r="K5" s="114">
        <v>0</v>
      </c>
      <c r="L5" s="114">
        <v>0</v>
      </c>
      <c r="M5" s="114">
        <v>0</v>
      </c>
      <c r="N5" s="114">
        <v>0</v>
      </c>
      <c r="O5" s="114">
        <v>0</v>
      </c>
      <c r="P5" s="114">
        <v>0</v>
      </c>
      <c r="Q5" s="114">
        <v>0</v>
      </c>
      <c r="R5" s="114">
        <v>0</v>
      </c>
      <c r="S5" s="114">
        <v>0</v>
      </c>
      <c r="T5" s="114">
        <v>0</v>
      </c>
      <c r="U5" s="114">
        <v>0</v>
      </c>
      <c r="V5" s="114">
        <v>0</v>
      </c>
      <c r="W5" s="114">
        <v>0</v>
      </c>
      <c r="X5" s="114">
        <v>19.340319005479</v>
      </c>
      <c r="Y5" s="114">
        <v>0</v>
      </c>
      <c r="Z5" s="114">
        <v>0</v>
      </c>
      <c r="AA5" s="114">
        <v>44.2234938245305</v>
      </c>
      <c r="AB5" s="114">
        <v>0</v>
      </c>
      <c r="AC5" s="114">
        <v>0</v>
      </c>
      <c r="AD5" s="114">
        <v>0</v>
      </c>
      <c r="AE5" s="114">
        <v>0</v>
      </c>
      <c r="AF5" s="114">
        <v>0</v>
      </c>
      <c r="AG5" s="114">
        <v>0</v>
      </c>
      <c r="AH5" s="114">
        <v>0</v>
      </c>
      <c r="AI5" s="114">
        <v>0</v>
      </c>
      <c r="AJ5" s="114">
        <v>0</v>
      </c>
      <c r="AK5" s="114">
        <v>0</v>
      </c>
      <c r="AL5" s="114">
        <v>0</v>
      </c>
      <c r="AM5" s="114">
        <v>0</v>
      </c>
      <c r="AN5" s="114">
        <v>0</v>
      </c>
      <c r="AO5" s="114">
        <v>0</v>
      </c>
      <c r="AP5" s="114">
        <v>0</v>
      </c>
      <c r="AQ5" s="114">
        <v>0</v>
      </c>
      <c r="AR5" s="114">
        <v>0</v>
      </c>
      <c r="AS5" s="114">
        <v>0</v>
      </c>
      <c r="AT5" s="115">
        <v>0</v>
      </c>
    </row>
    <row r="6" spans="2:46" ht="12" customHeight="1" x14ac:dyDescent="0.3">
      <c r="B6" s="113" t="s">
        <v>34</v>
      </c>
      <c r="C6" s="114" t="s">
        <v>35</v>
      </c>
      <c r="D6" s="114" t="s">
        <v>25</v>
      </c>
      <c r="E6" s="114" t="s">
        <v>25</v>
      </c>
      <c r="F6" s="114" t="s">
        <v>87</v>
      </c>
      <c r="G6" s="114" t="s">
        <v>37</v>
      </c>
      <c r="H6" s="114" t="s">
        <v>79</v>
      </c>
      <c r="I6" s="114" t="s">
        <v>25</v>
      </c>
      <c r="J6" s="114">
        <v>20.57</v>
      </c>
      <c r="K6" s="114">
        <v>0</v>
      </c>
      <c r="L6" s="114">
        <v>0</v>
      </c>
      <c r="M6" s="114">
        <v>0.79253749312463395</v>
      </c>
      <c r="N6" s="114">
        <v>0</v>
      </c>
      <c r="O6" s="114">
        <v>0</v>
      </c>
      <c r="P6" s="114">
        <v>0</v>
      </c>
      <c r="Q6" s="114">
        <v>0</v>
      </c>
      <c r="R6" s="114">
        <v>0</v>
      </c>
      <c r="S6" s="114">
        <v>0</v>
      </c>
      <c r="T6" s="114">
        <v>0</v>
      </c>
      <c r="U6" s="114">
        <v>0</v>
      </c>
      <c r="V6" s="114">
        <v>0</v>
      </c>
      <c r="W6" s="114">
        <v>0</v>
      </c>
      <c r="X6" s="114">
        <v>0</v>
      </c>
      <c r="Y6" s="114">
        <v>0</v>
      </c>
      <c r="Z6" s="114">
        <v>0</v>
      </c>
      <c r="AA6" s="114">
        <v>0</v>
      </c>
      <c r="AB6" s="114">
        <v>0</v>
      </c>
      <c r="AC6" s="114">
        <v>0</v>
      </c>
      <c r="AD6" s="114">
        <v>0</v>
      </c>
      <c r="AE6" s="114">
        <v>16.698820090631401</v>
      </c>
      <c r="AF6" s="114">
        <v>0</v>
      </c>
      <c r="AG6" s="114">
        <v>3.0821020832242199</v>
      </c>
      <c r="AH6" s="114">
        <v>0</v>
      </c>
      <c r="AI6" s="114">
        <v>0</v>
      </c>
      <c r="AJ6" s="114">
        <v>0</v>
      </c>
      <c r="AK6" s="114">
        <v>0</v>
      </c>
      <c r="AL6" s="114">
        <v>0</v>
      </c>
      <c r="AM6" s="114">
        <v>0</v>
      </c>
      <c r="AN6" s="114">
        <v>0</v>
      </c>
      <c r="AO6" s="114">
        <v>0</v>
      </c>
      <c r="AP6" s="114">
        <v>0</v>
      </c>
      <c r="AQ6" s="114">
        <v>0</v>
      </c>
      <c r="AR6" s="114">
        <v>0</v>
      </c>
      <c r="AS6" s="114">
        <v>0</v>
      </c>
      <c r="AT6" s="115">
        <v>0</v>
      </c>
    </row>
    <row r="7" spans="2:46" ht="12" customHeight="1" x14ac:dyDescent="0.3">
      <c r="B7" s="113" t="s">
        <v>34</v>
      </c>
      <c r="C7" s="114" t="s">
        <v>35</v>
      </c>
      <c r="D7" s="114" t="s">
        <v>25</v>
      </c>
      <c r="E7" s="114" t="s">
        <v>25</v>
      </c>
      <c r="F7" s="114" t="s">
        <v>87</v>
      </c>
      <c r="G7" s="114" t="s">
        <v>37</v>
      </c>
      <c r="H7" s="114" t="s">
        <v>84</v>
      </c>
      <c r="I7" s="114" t="s">
        <v>25</v>
      </c>
      <c r="J7" s="114">
        <v>23.24</v>
      </c>
      <c r="K7" s="114">
        <v>0</v>
      </c>
      <c r="L7" s="114">
        <v>0</v>
      </c>
      <c r="M7" s="114">
        <v>0</v>
      </c>
      <c r="N7" s="114">
        <v>0</v>
      </c>
      <c r="O7" s="114">
        <v>0</v>
      </c>
      <c r="P7" s="114">
        <v>0</v>
      </c>
      <c r="Q7" s="114">
        <v>0</v>
      </c>
      <c r="R7" s="114">
        <v>0</v>
      </c>
      <c r="S7" s="114">
        <v>0</v>
      </c>
      <c r="T7" s="114">
        <v>0</v>
      </c>
      <c r="U7" s="114">
        <v>0</v>
      </c>
      <c r="V7" s="114">
        <v>0</v>
      </c>
      <c r="W7" s="114">
        <v>0</v>
      </c>
      <c r="X7" s="114">
        <v>11.132753377603199</v>
      </c>
      <c r="Y7" s="114">
        <v>0</v>
      </c>
      <c r="Z7" s="114">
        <v>0</v>
      </c>
      <c r="AA7" s="114">
        <v>12.103833386011299</v>
      </c>
      <c r="AB7" s="114">
        <v>0</v>
      </c>
      <c r="AC7" s="114">
        <v>0</v>
      </c>
      <c r="AD7" s="114">
        <v>0</v>
      </c>
      <c r="AE7" s="114">
        <v>0</v>
      </c>
      <c r="AF7" s="114">
        <v>0</v>
      </c>
      <c r="AG7" s="114">
        <v>0</v>
      </c>
      <c r="AH7" s="114">
        <v>0</v>
      </c>
      <c r="AI7" s="114">
        <v>0</v>
      </c>
      <c r="AJ7" s="114">
        <v>0</v>
      </c>
      <c r="AK7" s="114">
        <v>0</v>
      </c>
      <c r="AL7" s="114">
        <v>0</v>
      </c>
      <c r="AM7" s="114">
        <v>0</v>
      </c>
      <c r="AN7" s="114">
        <v>0</v>
      </c>
      <c r="AO7" s="114">
        <v>0</v>
      </c>
      <c r="AP7" s="114">
        <v>0</v>
      </c>
      <c r="AQ7" s="114">
        <v>0</v>
      </c>
      <c r="AR7" s="114">
        <v>0</v>
      </c>
      <c r="AS7" s="114">
        <v>0</v>
      </c>
      <c r="AT7" s="115">
        <v>0</v>
      </c>
    </row>
    <row r="8" spans="2:46" ht="12" customHeight="1" x14ac:dyDescent="0.3">
      <c r="B8" s="113" t="s">
        <v>34</v>
      </c>
      <c r="C8" s="114" t="s">
        <v>35</v>
      </c>
      <c r="D8" s="114" t="s">
        <v>25</v>
      </c>
      <c r="E8" s="114" t="s">
        <v>25</v>
      </c>
      <c r="F8" s="114" t="s">
        <v>25</v>
      </c>
      <c r="G8" s="114" t="s">
        <v>36</v>
      </c>
      <c r="H8" s="114" t="s">
        <v>79</v>
      </c>
      <c r="I8" s="114" t="s">
        <v>25</v>
      </c>
      <c r="J8" s="114">
        <v>111.75</v>
      </c>
      <c r="K8" s="114">
        <v>213.77</v>
      </c>
      <c r="L8" s="114">
        <v>0</v>
      </c>
      <c r="M8" s="114">
        <v>0.79253749312463395</v>
      </c>
      <c r="N8" s="114">
        <v>0</v>
      </c>
      <c r="O8" s="114">
        <v>0</v>
      </c>
      <c r="P8" s="114">
        <v>0</v>
      </c>
      <c r="Q8" s="114">
        <v>76.754518067443598</v>
      </c>
      <c r="R8" s="114">
        <v>14.417590692611499</v>
      </c>
      <c r="S8" s="114">
        <v>0</v>
      </c>
      <c r="T8" s="114">
        <v>0</v>
      </c>
      <c r="U8" s="114">
        <v>0</v>
      </c>
      <c r="V8" s="114">
        <v>0</v>
      </c>
      <c r="W8" s="114">
        <v>0</v>
      </c>
      <c r="X8" s="114">
        <v>0</v>
      </c>
      <c r="Y8" s="114">
        <v>0</v>
      </c>
      <c r="Z8" s="114">
        <v>0</v>
      </c>
      <c r="AA8" s="114">
        <v>0</v>
      </c>
      <c r="AB8" s="114">
        <v>0</v>
      </c>
      <c r="AC8" s="114">
        <v>0</v>
      </c>
      <c r="AD8" s="114">
        <v>0</v>
      </c>
      <c r="AE8" s="114">
        <v>16.698820090631401</v>
      </c>
      <c r="AF8" s="114">
        <v>0</v>
      </c>
      <c r="AG8" s="114">
        <v>3.0821020832242199</v>
      </c>
      <c r="AH8" s="114">
        <v>0</v>
      </c>
      <c r="AI8" s="114">
        <v>0</v>
      </c>
      <c r="AJ8" s="114">
        <v>0</v>
      </c>
      <c r="AK8" s="114">
        <v>0</v>
      </c>
      <c r="AL8" s="114">
        <v>16.110850163961601</v>
      </c>
      <c r="AM8" s="114">
        <v>0</v>
      </c>
      <c r="AN8" s="114">
        <v>197.66244174671701</v>
      </c>
      <c r="AO8" s="114">
        <v>0</v>
      </c>
      <c r="AP8" s="114">
        <v>0</v>
      </c>
      <c r="AQ8" s="114">
        <v>0</v>
      </c>
      <c r="AR8" s="114">
        <v>0</v>
      </c>
      <c r="AS8" s="114">
        <v>0</v>
      </c>
      <c r="AT8" s="115">
        <v>0</v>
      </c>
    </row>
    <row r="9" spans="2:46" ht="12" customHeight="1" x14ac:dyDescent="0.3">
      <c r="B9" s="113" t="s">
        <v>34</v>
      </c>
      <c r="C9" s="114" t="s">
        <v>35</v>
      </c>
      <c r="D9" s="114" t="s">
        <v>25</v>
      </c>
      <c r="E9" s="114" t="s">
        <v>25</v>
      </c>
      <c r="F9" s="114" t="s">
        <v>25</v>
      </c>
      <c r="G9" s="114" t="s">
        <v>36</v>
      </c>
      <c r="H9" s="114" t="s">
        <v>84</v>
      </c>
      <c r="I9" s="114" t="s">
        <v>25</v>
      </c>
      <c r="J9" s="114">
        <v>63.56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19.340319005479</v>
      </c>
      <c r="Y9" s="114">
        <v>0</v>
      </c>
      <c r="Z9" s="114">
        <v>0</v>
      </c>
      <c r="AA9" s="114">
        <v>44.2234938245305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4">
        <v>0</v>
      </c>
      <c r="AQ9" s="114">
        <v>0</v>
      </c>
      <c r="AR9" s="114">
        <v>0</v>
      </c>
      <c r="AS9" s="114">
        <v>0</v>
      </c>
      <c r="AT9" s="115">
        <v>0</v>
      </c>
    </row>
    <row r="10" spans="2:46" ht="12" customHeight="1" x14ac:dyDescent="0.3">
      <c r="B10" s="113" t="s">
        <v>34</v>
      </c>
      <c r="C10" s="114" t="s">
        <v>35</v>
      </c>
      <c r="D10" s="114" t="s">
        <v>25</v>
      </c>
      <c r="E10" s="114" t="s">
        <v>25</v>
      </c>
      <c r="F10" s="114" t="s">
        <v>25</v>
      </c>
      <c r="G10" s="114" t="s">
        <v>37</v>
      </c>
      <c r="H10" s="114" t="s">
        <v>79</v>
      </c>
      <c r="I10" s="114" t="s">
        <v>25</v>
      </c>
      <c r="J10" s="114">
        <v>111.75</v>
      </c>
      <c r="K10" s="114">
        <v>213.77</v>
      </c>
      <c r="L10" s="114">
        <v>0</v>
      </c>
      <c r="M10" s="114">
        <v>0.79253749312463395</v>
      </c>
      <c r="N10" s="114">
        <v>0</v>
      </c>
      <c r="O10" s="114">
        <v>0</v>
      </c>
      <c r="P10" s="114">
        <v>0</v>
      </c>
      <c r="Q10" s="114">
        <v>76.754518067443598</v>
      </c>
      <c r="R10" s="114">
        <v>14.417590692611499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16.698820090631401</v>
      </c>
      <c r="AF10" s="114">
        <v>0</v>
      </c>
      <c r="AG10" s="114">
        <v>3.0821020832242199</v>
      </c>
      <c r="AH10" s="114">
        <v>0</v>
      </c>
      <c r="AI10" s="114">
        <v>0</v>
      </c>
      <c r="AJ10" s="114">
        <v>0</v>
      </c>
      <c r="AK10" s="114">
        <v>0</v>
      </c>
      <c r="AL10" s="114">
        <v>16.110850163961601</v>
      </c>
      <c r="AM10" s="114">
        <v>0</v>
      </c>
      <c r="AN10" s="114">
        <v>197.66244174671701</v>
      </c>
      <c r="AO10" s="114">
        <v>0</v>
      </c>
      <c r="AP10" s="114">
        <v>0</v>
      </c>
      <c r="AQ10" s="114">
        <v>0</v>
      </c>
      <c r="AR10" s="114">
        <v>0</v>
      </c>
      <c r="AS10" s="114">
        <v>0</v>
      </c>
      <c r="AT10" s="115">
        <v>0</v>
      </c>
    </row>
    <row r="11" spans="2:46" ht="12" customHeight="1" x14ac:dyDescent="0.3">
      <c r="B11" s="113" t="s">
        <v>34</v>
      </c>
      <c r="C11" s="114" t="s">
        <v>35</v>
      </c>
      <c r="D11" s="114" t="s">
        <v>25</v>
      </c>
      <c r="E11" s="114" t="s">
        <v>25</v>
      </c>
      <c r="F11" s="114" t="s">
        <v>25</v>
      </c>
      <c r="G11" s="114" t="s">
        <v>37</v>
      </c>
      <c r="H11" s="114" t="s">
        <v>84</v>
      </c>
      <c r="I11" s="114" t="s">
        <v>25</v>
      </c>
      <c r="J11" s="114">
        <v>23.24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11.132753377603199</v>
      </c>
      <c r="Y11" s="114">
        <v>0</v>
      </c>
      <c r="Z11" s="114">
        <v>0</v>
      </c>
      <c r="AA11" s="114">
        <v>12.103833386011299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4">
        <v>0</v>
      </c>
      <c r="AQ11" s="114">
        <v>0</v>
      </c>
      <c r="AR11" s="114">
        <v>0</v>
      </c>
      <c r="AS11" s="114">
        <v>0</v>
      </c>
      <c r="AT11" s="115">
        <v>0</v>
      </c>
    </row>
    <row r="12" spans="2:46" ht="12" customHeight="1" x14ac:dyDescent="0.3">
      <c r="B12" s="113" t="s">
        <v>34</v>
      </c>
      <c r="C12" s="114" t="s">
        <v>23</v>
      </c>
      <c r="D12" s="114" t="s">
        <v>25</v>
      </c>
      <c r="E12" s="114" t="s">
        <v>25</v>
      </c>
      <c r="F12" s="114" t="s">
        <v>25</v>
      </c>
      <c r="G12" s="114" t="s">
        <v>25</v>
      </c>
      <c r="H12" s="114" t="s">
        <v>79</v>
      </c>
      <c r="I12" s="114" t="s">
        <v>25</v>
      </c>
      <c r="J12" s="114">
        <v>0</v>
      </c>
      <c r="K12" s="114">
        <v>213.77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16.110850163961601</v>
      </c>
      <c r="AM12" s="114">
        <v>0</v>
      </c>
      <c r="AN12" s="114">
        <v>197.66244174671701</v>
      </c>
      <c r="AO12" s="114">
        <v>0</v>
      </c>
      <c r="AP12" s="114">
        <v>0</v>
      </c>
      <c r="AQ12" s="114">
        <v>0</v>
      </c>
      <c r="AR12" s="114">
        <v>0</v>
      </c>
      <c r="AS12" s="114">
        <v>0</v>
      </c>
      <c r="AT12" s="115">
        <v>0</v>
      </c>
    </row>
    <row r="13" spans="2:46" ht="12" customHeight="1" x14ac:dyDescent="0.3">
      <c r="B13" s="113" t="s">
        <v>34</v>
      </c>
      <c r="C13" s="114" t="s">
        <v>56</v>
      </c>
      <c r="D13" s="114" t="s">
        <v>25</v>
      </c>
      <c r="E13" s="114" t="s">
        <v>25</v>
      </c>
      <c r="F13" s="114" t="s">
        <v>25</v>
      </c>
      <c r="G13" s="114" t="s">
        <v>25</v>
      </c>
      <c r="H13" s="114" t="s">
        <v>84</v>
      </c>
      <c r="I13" s="114" t="s">
        <v>25</v>
      </c>
      <c r="J13" s="114">
        <v>6.77</v>
      </c>
      <c r="K13" s="114">
        <v>0</v>
      </c>
      <c r="L13" s="114">
        <v>0</v>
      </c>
      <c r="M13" s="114">
        <v>1.17122694456205E-2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0</v>
      </c>
      <c r="Y13" s="114">
        <v>0</v>
      </c>
      <c r="Z13" s="114">
        <v>0</v>
      </c>
      <c r="AA13" s="114">
        <v>6.7554777289136103</v>
      </c>
      <c r="AB13" s="114">
        <v>0</v>
      </c>
      <c r="AC13" s="114">
        <v>0</v>
      </c>
      <c r="AD13" s="114">
        <v>0</v>
      </c>
      <c r="AE13" s="114">
        <v>7.7810074510188004E-4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4">
        <v>0</v>
      </c>
      <c r="AQ13" s="114">
        <v>0</v>
      </c>
      <c r="AR13" s="114">
        <v>0</v>
      </c>
      <c r="AS13" s="114">
        <v>0</v>
      </c>
      <c r="AT13" s="115">
        <v>0</v>
      </c>
    </row>
    <row r="14" spans="2:46" ht="12" customHeight="1" x14ac:dyDescent="0.3">
      <c r="B14" s="113" t="s">
        <v>34</v>
      </c>
      <c r="C14" s="114" t="s">
        <v>38</v>
      </c>
      <c r="D14" s="114" t="s">
        <v>25</v>
      </c>
      <c r="E14" s="114" t="s">
        <v>25</v>
      </c>
      <c r="F14" s="114" t="s">
        <v>87</v>
      </c>
      <c r="G14" s="114" t="s">
        <v>36</v>
      </c>
      <c r="H14" s="114" t="s">
        <v>79</v>
      </c>
      <c r="I14" s="114" t="s">
        <v>25</v>
      </c>
      <c r="J14" s="114">
        <v>1549.54</v>
      </c>
      <c r="K14" s="114">
        <v>0</v>
      </c>
      <c r="L14" s="114">
        <v>0</v>
      </c>
      <c r="M14" s="114">
        <v>0.79253749312463395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465.388851017305</v>
      </c>
      <c r="Y14" s="114">
        <v>0</v>
      </c>
      <c r="Z14" s="114">
        <v>0</v>
      </c>
      <c r="AA14" s="114">
        <v>1063.5742790905299</v>
      </c>
      <c r="AB14" s="114">
        <v>0</v>
      </c>
      <c r="AC14" s="114">
        <v>0</v>
      </c>
      <c r="AD14" s="114">
        <v>0</v>
      </c>
      <c r="AE14" s="114">
        <v>16.698820090631401</v>
      </c>
      <c r="AF14" s="114">
        <v>0</v>
      </c>
      <c r="AG14" s="114">
        <v>3.0821020832242199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4">
        <v>0</v>
      </c>
      <c r="AQ14" s="114">
        <v>0</v>
      </c>
      <c r="AR14" s="114">
        <v>0</v>
      </c>
      <c r="AS14" s="114">
        <v>0</v>
      </c>
      <c r="AT14" s="115">
        <v>0</v>
      </c>
    </row>
    <row r="15" spans="2:46" ht="12" customHeight="1" x14ac:dyDescent="0.3">
      <c r="B15" s="113" t="s">
        <v>34</v>
      </c>
      <c r="C15" s="114" t="s">
        <v>38</v>
      </c>
      <c r="D15" s="114" t="s">
        <v>25</v>
      </c>
      <c r="E15" s="114" t="s">
        <v>25</v>
      </c>
      <c r="F15" s="114" t="s">
        <v>87</v>
      </c>
      <c r="G15" s="114" t="s">
        <v>25</v>
      </c>
      <c r="H15" s="114" t="s">
        <v>84</v>
      </c>
      <c r="I15" s="114" t="s">
        <v>25</v>
      </c>
      <c r="J15" s="114">
        <v>23.24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11.132753377603199</v>
      </c>
      <c r="Y15" s="114">
        <v>0</v>
      </c>
      <c r="Z15" s="114">
        <v>0</v>
      </c>
      <c r="AA15" s="114">
        <v>12.103833386011299</v>
      </c>
      <c r="AB15" s="114">
        <v>0</v>
      </c>
      <c r="AC15" s="114">
        <v>0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14">
        <v>0</v>
      </c>
      <c r="AT15" s="115">
        <v>0</v>
      </c>
    </row>
    <row r="16" spans="2:46" ht="12" customHeight="1" x14ac:dyDescent="0.3">
      <c r="B16" s="113" t="s">
        <v>34</v>
      </c>
      <c r="C16" s="114" t="s">
        <v>38</v>
      </c>
      <c r="D16" s="114" t="s">
        <v>25</v>
      </c>
      <c r="E16" s="114" t="s">
        <v>25</v>
      </c>
      <c r="F16" s="114" t="s">
        <v>87</v>
      </c>
      <c r="G16" s="114" t="s">
        <v>37</v>
      </c>
      <c r="H16" s="114" t="s">
        <v>79</v>
      </c>
      <c r="I16" s="114" t="s">
        <v>25</v>
      </c>
      <c r="J16" s="114">
        <v>20.57</v>
      </c>
      <c r="K16" s="114">
        <v>0</v>
      </c>
      <c r="L16" s="114">
        <v>0</v>
      </c>
      <c r="M16" s="114">
        <v>0.79253749312463395</v>
      </c>
      <c r="N16" s="114">
        <v>0</v>
      </c>
      <c r="O16" s="114">
        <v>0</v>
      </c>
      <c r="P16" s="114">
        <v>0</v>
      </c>
      <c r="Q16" s="114">
        <v>0</v>
      </c>
      <c r="R16" s="114">
        <v>0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0</v>
      </c>
      <c r="Y16" s="114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16.698820090631401</v>
      </c>
      <c r="AF16" s="114">
        <v>0</v>
      </c>
      <c r="AG16" s="114">
        <v>3.0821020832242199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0</v>
      </c>
      <c r="AO16" s="114">
        <v>0</v>
      </c>
      <c r="AP16" s="114">
        <v>0</v>
      </c>
      <c r="AQ16" s="114">
        <v>0</v>
      </c>
      <c r="AR16" s="114">
        <v>0</v>
      </c>
      <c r="AS16" s="114">
        <v>0</v>
      </c>
      <c r="AT16" s="115">
        <v>0</v>
      </c>
    </row>
    <row r="17" spans="2:46" ht="12" customHeight="1" x14ac:dyDescent="0.3">
      <c r="B17" s="113" t="s">
        <v>34</v>
      </c>
      <c r="C17" s="114" t="s">
        <v>38</v>
      </c>
      <c r="D17" s="114" t="s">
        <v>25</v>
      </c>
      <c r="E17" s="114" t="s">
        <v>25</v>
      </c>
      <c r="F17" s="114" t="s">
        <v>25</v>
      </c>
      <c r="G17" s="114" t="s">
        <v>36</v>
      </c>
      <c r="H17" s="114" t="s">
        <v>79</v>
      </c>
      <c r="I17" s="114" t="s">
        <v>25</v>
      </c>
      <c r="J17" s="114">
        <v>1640.71</v>
      </c>
      <c r="K17" s="114">
        <v>213.77</v>
      </c>
      <c r="L17" s="114">
        <v>0</v>
      </c>
      <c r="M17" s="114">
        <v>0.79253749312463395</v>
      </c>
      <c r="N17" s="114">
        <v>0</v>
      </c>
      <c r="O17" s="114">
        <v>0</v>
      </c>
      <c r="P17" s="114">
        <v>0</v>
      </c>
      <c r="Q17" s="114">
        <v>76.754518067443598</v>
      </c>
      <c r="R17" s="114">
        <v>14.417590692611499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465.388851017305</v>
      </c>
      <c r="Y17" s="114">
        <v>0</v>
      </c>
      <c r="Z17" s="114">
        <v>0</v>
      </c>
      <c r="AA17" s="114">
        <v>1063.5742790905299</v>
      </c>
      <c r="AB17" s="114">
        <v>0</v>
      </c>
      <c r="AC17" s="114">
        <v>0</v>
      </c>
      <c r="AD17" s="114">
        <v>0</v>
      </c>
      <c r="AE17" s="114">
        <v>16.698820090631401</v>
      </c>
      <c r="AF17" s="114">
        <v>0</v>
      </c>
      <c r="AG17" s="114">
        <v>3.0821020832242199</v>
      </c>
      <c r="AH17" s="114">
        <v>0</v>
      </c>
      <c r="AI17" s="114">
        <v>0</v>
      </c>
      <c r="AJ17" s="114">
        <v>0</v>
      </c>
      <c r="AK17" s="114">
        <v>0</v>
      </c>
      <c r="AL17" s="114">
        <v>16.110850163961601</v>
      </c>
      <c r="AM17" s="114">
        <v>0</v>
      </c>
      <c r="AN17" s="114">
        <v>197.66244174671701</v>
      </c>
      <c r="AO17" s="114">
        <v>0</v>
      </c>
      <c r="AP17" s="114">
        <v>0</v>
      </c>
      <c r="AQ17" s="114">
        <v>0</v>
      </c>
      <c r="AR17" s="114">
        <v>0</v>
      </c>
      <c r="AS17" s="114">
        <v>0</v>
      </c>
      <c r="AT17" s="115">
        <v>0</v>
      </c>
    </row>
    <row r="18" spans="2:46" ht="12" customHeight="1" x14ac:dyDescent="0.3">
      <c r="B18" s="113" t="s">
        <v>34</v>
      </c>
      <c r="C18" s="114" t="s">
        <v>38</v>
      </c>
      <c r="D18" s="114" t="s">
        <v>25</v>
      </c>
      <c r="E18" s="114" t="s">
        <v>25</v>
      </c>
      <c r="F18" s="114" t="s">
        <v>25</v>
      </c>
      <c r="G18" s="114" t="s">
        <v>25</v>
      </c>
      <c r="H18" s="114" t="s">
        <v>84</v>
      </c>
      <c r="I18" s="114" t="s">
        <v>25</v>
      </c>
      <c r="J18" s="114">
        <v>23.24</v>
      </c>
      <c r="K18" s="114">
        <v>0</v>
      </c>
      <c r="L18" s="114">
        <v>0</v>
      </c>
      <c r="M18" s="114">
        <v>0</v>
      </c>
      <c r="N18" s="114">
        <v>0</v>
      </c>
      <c r="O18" s="114">
        <v>0</v>
      </c>
      <c r="P18" s="114">
        <v>0</v>
      </c>
      <c r="Q18" s="114">
        <v>0</v>
      </c>
      <c r="R18" s="114">
        <v>0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11.132753377603199</v>
      </c>
      <c r="Y18" s="114">
        <v>0</v>
      </c>
      <c r="Z18" s="114">
        <v>0</v>
      </c>
      <c r="AA18" s="114">
        <v>12.103833386011299</v>
      </c>
      <c r="AB18" s="114">
        <v>0</v>
      </c>
      <c r="AC18" s="114">
        <v>0</v>
      </c>
      <c r="AD18" s="114">
        <v>0</v>
      </c>
      <c r="AE18" s="114">
        <v>0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4">
        <v>0</v>
      </c>
      <c r="AO18" s="114">
        <v>0</v>
      </c>
      <c r="AP18" s="114">
        <v>0</v>
      </c>
      <c r="AQ18" s="114">
        <v>0</v>
      </c>
      <c r="AR18" s="114">
        <v>0</v>
      </c>
      <c r="AS18" s="114">
        <v>0</v>
      </c>
      <c r="AT18" s="115">
        <v>0</v>
      </c>
    </row>
    <row r="19" spans="2:46" ht="12" customHeight="1" x14ac:dyDescent="0.3">
      <c r="B19" s="113" t="s">
        <v>34</v>
      </c>
      <c r="C19" s="114" t="s">
        <v>38</v>
      </c>
      <c r="D19" s="114" t="s">
        <v>25</v>
      </c>
      <c r="E19" s="114" t="s">
        <v>25</v>
      </c>
      <c r="F19" s="114" t="s">
        <v>25</v>
      </c>
      <c r="G19" s="114" t="s">
        <v>37</v>
      </c>
      <c r="H19" s="114" t="s">
        <v>79</v>
      </c>
      <c r="I19" s="114" t="s">
        <v>25</v>
      </c>
      <c r="J19" s="114">
        <v>111.75</v>
      </c>
      <c r="K19" s="114">
        <v>213.77</v>
      </c>
      <c r="L19" s="114">
        <v>0</v>
      </c>
      <c r="M19" s="114">
        <v>0.79253749312463395</v>
      </c>
      <c r="N19" s="114">
        <v>0</v>
      </c>
      <c r="O19" s="114">
        <v>0</v>
      </c>
      <c r="P19" s="114">
        <v>0</v>
      </c>
      <c r="Q19" s="114">
        <v>76.754518067443598</v>
      </c>
      <c r="R19" s="114">
        <v>14.417590692611499</v>
      </c>
      <c r="S19" s="114">
        <v>0</v>
      </c>
      <c r="T19" s="114">
        <v>0</v>
      </c>
      <c r="U19" s="114">
        <v>0</v>
      </c>
      <c r="V19" s="114">
        <v>0</v>
      </c>
      <c r="W19" s="114">
        <v>0</v>
      </c>
      <c r="X19" s="114">
        <v>0</v>
      </c>
      <c r="Y19" s="114">
        <v>0</v>
      </c>
      <c r="Z19" s="114">
        <v>0</v>
      </c>
      <c r="AA19" s="114">
        <v>0</v>
      </c>
      <c r="AB19" s="114">
        <v>0</v>
      </c>
      <c r="AC19" s="114">
        <v>0</v>
      </c>
      <c r="AD19" s="114">
        <v>0</v>
      </c>
      <c r="AE19" s="114">
        <v>16.698820090631401</v>
      </c>
      <c r="AF19" s="114">
        <v>0</v>
      </c>
      <c r="AG19" s="114">
        <v>3.0821020832242199</v>
      </c>
      <c r="AH19" s="114">
        <v>0</v>
      </c>
      <c r="AI19" s="114">
        <v>0</v>
      </c>
      <c r="AJ19" s="114">
        <v>0</v>
      </c>
      <c r="AK19" s="114">
        <v>0</v>
      </c>
      <c r="AL19" s="114">
        <v>16.110850163961601</v>
      </c>
      <c r="AM19" s="114">
        <v>0</v>
      </c>
      <c r="AN19" s="114">
        <v>197.66244174671701</v>
      </c>
      <c r="AO19" s="114">
        <v>0</v>
      </c>
      <c r="AP19" s="114">
        <v>0</v>
      </c>
      <c r="AQ19" s="114">
        <v>0</v>
      </c>
      <c r="AR19" s="114">
        <v>0</v>
      </c>
      <c r="AS19" s="114">
        <v>0</v>
      </c>
      <c r="AT19" s="115">
        <v>0</v>
      </c>
    </row>
    <row r="20" spans="2:46" ht="12" customHeight="1" x14ac:dyDescent="0.3">
      <c r="B20" s="113" t="s">
        <v>88</v>
      </c>
      <c r="C20" s="114" t="s">
        <v>56</v>
      </c>
      <c r="D20" s="114" t="s">
        <v>25</v>
      </c>
      <c r="E20" s="114" t="s">
        <v>25</v>
      </c>
      <c r="F20" s="114" t="s">
        <v>89</v>
      </c>
      <c r="G20" s="114" t="s">
        <v>25</v>
      </c>
      <c r="H20" s="114" t="s">
        <v>84</v>
      </c>
      <c r="I20" s="114" t="s">
        <v>25</v>
      </c>
      <c r="J20" s="114">
        <v>3.89</v>
      </c>
      <c r="K20" s="114">
        <v>0</v>
      </c>
      <c r="L20" s="114">
        <v>0</v>
      </c>
      <c r="M20" s="114">
        <v>6.70702609279125E-3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114">
        <v>0</v>
      </c>
      <c r="V20" s="114">
        <v>0</v>
      </c>
      <c r="W20" s="114">
        <v>0</v>
      </c>
      <c r="X20" s="114">
        <v>0</v>
      </c>
      <c r="Y20" s="114">
        <v>0</v>
      </c>
      <c r="Z20" s="114">
        <v>0</v>
      </c>
      <c r="AA20" s="114">
        <v>3.8805197280191099</v>
      </c>
      <c r="AB20" s="114">
        <v>0</v>
      </c>
      <c r="AC20" s="114">
        <v>0</v>
      </c>
      <c r="AD20" s="114">
        <v>0</v>
      </c>
      <c r="AE20" s="114">
        <v>0</v>
      </c>
      <c r="AF20" s="114">
        <v>0</v>
      </c>
      <c r="AG20" s="114">
        <v>0</v>
      </c>
      <c r="AH20" s="114">
        <v>0</v>
      </c>
      <c r="AI20" s="114">
        <v>0</v>
      </c>
      <c r="AJ20" s="114">
        <v>0</v>
      </c>
      <c r="AK20" s="114">
        <v>0</v>
      </c>
      <c r="AL20" s="114">
        <v>0</v>
      </c>
      <c r="AM20" s="114">
        <v>0</v>
      </c>
      <c r="AN20" s="114">
        <v>0</v>
      </c>
      <c r="AO20" s="114">
        <v>0</v>
      </c>
      <c r="AP20" s="114">
        <v>0</v>
      </c>
      <c r="AQ20" s="114">
        <v>0</v>
      </c>
      <c r="AR20" s="114">
        <v>0</v>
      </c>
      <c r="AS20" s="114">
        <v>0</v>
      </c>
      <c r="AT20" s="115">
        <v>0</v>
      </c>
    </row>
    <row r="21" spans="2:46" ht="12" customHeight="1" x14ac:dyDescent="0.3">
      <c r="B21" s="113" t="s">
        <v>88</v>
      </c>
      <c r="C21" s="114" t="s">
        <v>56</v>
      </c>
      <c r="D21" s="114" t="s">
        <v>25</v>
      </c>
      <c r="E21" s="114" t="s">
        <v>25</v>
      </c>
      <c r="F21" s="114" t="s">
        <v>90</v>
      </c>
      <c r="G21" s="114" t="s">
        <v>25</v>
      </c>
      <c r="H21" s="114" t="s">
        <v>84</v>
      </c>
      <c r="I21" s="114" t="s">
        <v>25</v>
      </c>
      <c r="J21" s="114">
        <v>11.56</v>
      </c>
      <c r="K21" s="114">
        <v>0</v>
      </c>
      <c r="L21" s="114">
        <v>0</v>
      </c>
      <c r="M21" s="114">
        <v>6.70702609279125E-3</v>
      </c>
      <c r="N21" s="114">
        <v>0</v>
      </c>
      <c r="O21" s="114">
        <v>0</v>
      </c>
      <c r="P21" s="114">
        <v>0</v>
      </c>
      <c r="Q21" s="114">
        <v>0</v>
      </c>
      <c r="R21" s="114">
        <v>0</v>
      </c>
      <c r="S21" s="114">
        <v>0</v>
      </c>
      <c r="T21" s="114">
        <v>0</v>
      </c>
      <c r="U21" s="114">
        <v>0</v>
      </c>
      <c r="V21" s="114">
        <v>0</v>
      </c>
      <c r="W21" s="114">
        <v>0</v>
      </c>
      <c r="X21" s="114">
        <v>0</v>
      </c>
      <c r="Y21" s="114">
        <v>0</v>
      </c>
      <c r="Z21" s="114">
        <v>0</v>
      </c>
      <c r="AA21" s="114">
        <v>11.5503961278636</v>
      </c>
      <c r="AB21" s="114">
        <v>0</v>
      </c>
      <c r="AC21" s="114">
        <v>0</v>
      </c>
      <c r="AD21" s="114">
        <v>0</v>
      </c>
      <c r="AE21" s="114">
        <v>0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0</v>
      </c>
      <c r="AO21" s="114">
        <v>0</v>
      </c>
      <c r="AP21" s="114">
        <v>0</v>
      </c>
      <c r="AQ21" s="114">
        <v>0</v>
      </c>
      <c r="AR21" s="114">
        <v>0</v>
      </c>
      <c r="AS21" s="114">
        <v>0</v>
      </c>
      <c r="AT21" s="115">
        <v>0</v>
      </c>
    </row>
    <row r="22" spans="2:46" ht="12" customHeight="1" x14ac:dyDescent="0.3">
      <c r="B22" s="113" t="s">
        <v>22</v>
      </c>
      <c r="C22" s="114" t="s">
        <v>92</v>
      </c>
      <c r="D22" s="114" t="s">
        <v>24</v>
      </c>
      <c r="E22" s="114" t="s">
        <v>24</v>
      </c>
      <c r="F22" s="114" t="s">
        <v>25</v>
      </c>
      <c r="G22" s="114" t="s">
        <v>36</v>
      </c>
      <c r="H22" s="114" t="s">
        <v>79</v>
      </c>
      <c r="I22" s="114" t="s">
        <v>25</v>
      </c>
      <c r="J22" s="114">
        <v>912.35</v>
      </c>
      <c r="K22" s="114">
        <v>213.77</v>
      </c>
      <c r="L22" s="114">
        <v>0</v>
      </c>
      <c r="M22" s="114">
        <v>1.45003797678611</v>
      </c>
      <c r="N22" s="114">
        <v>0</v>
      </c>
      <c r="O22" s="114">
        <v>0</v>
      </c>
      <c r="P22" s="114">
        <v>0</v>
      </c>
      <c r="Q22" s="114">
        <v>91.374426270766193</v>
      </c>
      <c r="R22" s="114">
        <v>14.417590692611499</v>
      </c>
      <c r="S22" s="114">
        <v>0</v>
      </c>
      <c r="T22" s="114">
        <v>0</v>
      </c>
      <c r="U22" s="114">
        <v>0</v>
      </c>
      <c r="V22" s="114">
        <v>0</v>
      </c>
      <c r="W22" s="114">
        <v>0</v>
      </c>
      <c r="X22" s="114">
        <v>180.68004333752901</v>
      </c>
      <c r="Y22" s="114">
        <v>0</v>
      </c>
      <c r="Z22" s="114">
        <v>0</v>
      </c>
      <c r="AA22" s="114">
        <v>586.68280078424596</v>
      </c>
      <c r="AB22" s="114">
        <v>0</v>
      </c>
      <c r="AC22" s="114">
        <v>0</v>
      </c>
      <c r="AD22" s="114">
        <v>0</v>
      </c>
      <c r="AE22" s="114">
        <v>33.3316313013868</v>
      </c>
      <c r="AF22" s="114">
        <v>0</v>
      </c>
      <c r="AG22" s="114">
        <v>4.4087389419506797</v>
      </c>
      <c r="AH22" s="114">
        <v>0</v>
      </c>
      <c r="AI22" s="114">
        <v>0</v>
      </c>
      <c r="AJ22" s="114">
        <v>0</v>
      </c>
      <c r="AK22" s="114">
        <v>0</v>
      </c>
      <c r="AL22" s="114">
        <v>16.110850163961601</v>
      </c>
      <c r="AM22" s="114">
        <v>0</v>
      </c>
      <c r="AN22" s="114">
        <v>197.66244174671701</v>
      </c>
      <c r="AO22" s="114">
        <v>0</v>
      </c>
      <c r="AP22" s="114">
        <v>0</v>
      </c>
      <c r="AQ22" s="114">
        <v>0</v>
      </c>
      <c r="AR22" s="114">
        <v>0</v>
      </c>
      <c r="AS22" s="114">
        <v>0</v>
      </c>
      <c r="AT22" s="115">
        <v>0</v>
      </c>
    </row>
    <row r="23" spans="2:46" ht="12" customHeight="1" x14ac:dyDescent="0.3">
      <c r="B23" s="113" t="s">
        <v>22</v>
      </c>
      <c r="C23" s="114" t="s">
        <v>92</v>
      </c>
      <c r="D23" s="114" t="s">
        <v>24</v>
      </c>
      <c r="E23" s="114" t="s">
        <v>24</v>
      </c>
      <c r="F23" s="114" t="s">
        <v>25</v>
      </c>
      <c r="G23" s="114" t="s">
        <v>541</v>
      </c>
      <c r="H23" s="114" t="s">
        <v>79</v>
      </c>
      <c r="I23" s="114" t="s">
        <v>25</v>
      </c>
      <c r="J23" s="114">
        <v>605.41999999999996</v>
      </c>
      <c r="K23" s="114">
        <v>213.77</v>
      </c>
      <c r="L23" s="114">
        <v>0</v>
      </c>
      <c r="M23" s="114">
        <v>1.45003797678611</v>
      </c>
      <c r="N23" s="114">
        <v>0</v>
      </c>
      <c r="O23" s="114">
        <v>0</v>
      </c>
      <c r="P23" s="114">
        <v>0</v>
      </c>
      <c r="Q23" s="114">
        <v>91.374426270766193</v>
      </c>
      <c r="R23" s="114">
        <v>14.417590692611499</v>
      </c>
      <c r="S23" s="114">
        <v>0</v>
      </c>
      <c r="T23" s="114">
        <v>0</v>
      </c>
      <c r="U23" s="114">
        <v>0</v>
      </c>
      <c r="V23" s="114">
        <v>0</v>
      </c>
      <c r="W23" s="114">
        <v>0</v>
      </c>
      <c r="X23" s="114">
        <v>108.43074590737</v>
      </c>
      <c r="Y23" s="114">
        <v>0</v>
      </c>
      <c r="Z23" s="114">
        <v>0</v>
      </c>
      <c r="AA23" s="114">
        <v>352.00971737866701</v>
      </c>
      <c r="AB23" s="114">
        <v>0</v>
      </c>
      <c r="AC23" s="114">
        <v>0</v>
      </c>
      <c r="AD23" s="114">
        <v>0</v>
      </c>
      <c r="AE23" s="114">
        <v>33.3316313013868</v>
      </c>
      <c r="AF23" s="114">
        <v>0</v>
      </c>
      <c r="AG23" s="114">
        <v>4.4087389419506797</v>
      </c>
      <c r="AH23" s="114">
        <v>0</v>
      </c>
      <c r="AI23" s="114">
        <v>0</v>
      </c>
      <c r="AJ23" s="114">
        <v>0</v>
      </c>
      <c r="AK23" s="114">
        <v>0</v>
      </c>
      <c r="AL23" s="114">
        <v>16.110850163961601</v>
      </c>
      <c r="AM23" s="114">
        <v>0</v>
      </c>
      <c r="AN23" s="114">
        <v>197.66244174671701</v>
      </c>
      <c r="AO23" s="114">
        <v>0</v>
      </c>
      <c r="AP23" s="114">
        <v>0</v>
      </c>
      <c r="AQ23" s="114">
        <v>0</v>
      </c>
      <c r="AR23" s="114">
        <v>0</v>
      </c>
      <c r="AS23" s="114">
        <v>0</v>
      </c>
      <c r="AT23" s="115">
        <v>0</v>
      </c>
    </row>
    <row r="24" spans="2:46" ht="12" customHeight="1" x14ac:dyDescent="0.3">
      <c r="B24" s="113" t="s">
        <v>22</v>
      </c>
      <c r="C24" s="114" t="s">
        <v>92</v>
      </c>
      <c r="D24" s="114" t="s">
        <v>24</v>
      </c>
      <c r="E24" s="114" t="s">
        <v>24</v>
      </c>
      <c r="F24" s="114" t="s">
        <v>25</v>
      </c>
      <c r="G24" s="114" t="s">
        <v>37</v>
      </c>
      <c r="H24" s="114" t="s">
        <v>79</v>
      </c>
      <c r="I24" s="114" t="s">
        <v>25</v>
      </c>
      <c r="J24" s="114">
        <v>298.47000000000003</v>
      </c>
      <c r="K24" s="114">
        <v>213.77</v>
      </c>
      <c r="L24" s="114">
        <v>0</v>
      </c>
      <c r="M24" s="114">
        <v>1.45003797678611</v>
      </c>
      <c r="N24" s="114">
        <v>0</v>
      </c>
      <c r="O24" s="114">
        <v>0</v>
      </c>
      <c r="P24" s="114">
        <v>0</v>
      </c>
      <c r="Q24" s="114">
        <v>91.374426270766193</v>
      </c>
      <c r="R24" s="114">
        <v>14.417590692611499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36.153048596145098</v>
      </c>
      <c r="Y24" s="114">
        <v>0</v>
      </c>
      <c r="Z24" s="114">
        <v>0</v>
      </c>
      <c r="AA24" s="114">
        <v>117.336449432489</v>
      </c>
      <c r="AB24" s="114">
        <v>0</v>
      </c>
      <c r="AC24" s="114">
        <v>0</v>
      </c>
      <c r="AD24" s="114">
        <v>0</v>
      </c>
      <c r="AE24" s="114">
        <v>33.3316313013868</v>
      </c>
      <c r="AF24" s="114">
        <v>0</v>
      </c>
      <c r="AG24" s="114">
        <v>4.4087389419506797</v>
      </c>
      <c r="AH24" s="114">
        <v>0</v>
      </c>
      <c r="AI24" s="114">
        <v>0</v>
      </c>
      <c r="AJ24" s="114">
        <v>0</v>
      </c>
      <c r="AK24" s="114">
        <v>0</v>
      </c>
      <c r="AL24" s="114">
        <v>16.110850163961601</v>
      </c>
      <c r="AM24" s="114">
        <v>0</v>
      </c>
      <c r="AN24" s="114">
        <v>197.66244174671701</v>
      </c>
      <c r="AO24" s="114">
        <v>0</v>
      </c>
      <c r="AP24" s="114">
        <v>0</v>
      </c>
      <c r="AQ24" s="114">
        <v>0</v>
      </c>
      <c r="AR24" s="114">
        <v>0</v>
      </c>
      <c r="AS24" s="114">
        <v>0</v>
      </c>
      <c r="AT24" s="115">
        <v>0</v>
      </c>
    </row>
    <row r="25" spans="2:46" ht="12" customHeight="1" x14ac:dyDescent="0.3">
      <c r="B25" s="113" t="s">
        <v>22</v>
      </c>
      <c r="C25" s="114" t="s">
        <v>23</v>
      </c>
      <c r="D25" s="114" t="s">
        <v>24</v>
      </c>
      <c r="E25" s="114" t="s">
        <v>1073</v>
      </c>
      <c r="F25" s="114" t="s">
        <v>25</v>
      </c>
      <c r="G25" s="114" t="s">
        <v>25</v>
      </c>
      <c r="H25" s="114" t="s">
        <v>79</v>
      </c>
      <c r="I25" s="114" t="s">
        <v>25</v>
      </c>
      <c r="J25" s="114">
        <v>323.42</v>
      </c>
      <c r="K25" s="114">
        <v>213.77</v>
      </c>
      <c r="L25" s="114">
        <v>0</v>
      </c>
      <c r="M25" s="114">
        <v>1.45003797678611</v>
      </c>
      <c r="N25" s="114">
        <v>0</v>
      </c>
      <c r="O25" s="114">
        <v>0</v>
      </c>
      <c r="P25" s="114">
        <v>0</v>
      </c>
      <c r="Q25" s="114">
        <v>0</v>
      </c>
      <c r="R25" s="114">
        <v>0</v>
      </c>
      <c r="S25" s="114">
        <v>0</v>
      </c>
      <c r="T25" s="114">
        <v>0</v>
      </c>
      <c r="U25" s="114">
        <v>0</v>
      </c>
      <c r="V25" s="114">
        <v>0</v>
      </c>
      <c r="W25" s="114">
        <v>0</v>
      </c>
      <c r="X25" s="114">
        <v>66.938519670945695</v>
      </c>
      <c r="Y25" s="114">
        <v>0</v>
      </c>
      <c r="Z25" s="114">
        <v>0</v>
      </c>
      <c r="AA25" s="114">
        <v>217.289912546713</v>
      </c>
      <c r="AB25" s="114">
        <v>0</v>
      </c>
      <c r="AC25" s="114">
        <v>0</v>
      </c>
      <c r="AD25" s="114">
        <v>0</v>
      </c>
      <c r="AE25" s="114">
        <v>33.3316313013868</v>
      </c>
      <c r="AF25" s="114">
        <v>0</v>
      </c>
      <c r="AG25" s="114">
        <v>4.4087389419506797</v>
      </c>
      <c r="AH25" s="114">
        <v>0</v>
      </c>
      <c r="AI25" s="114">
        <v>0</v>
      </c>
      <c r="AJ25" s="114">
        <v>0</v>
      </c>
      <c r="AK25" s="114">
        <v>0</v>
      </c>
      <c r="AL25" s="114">
        <v>16.110850163961601</v>
      </c>
      <c r="AM25" s="114">
        <v>0</v>
      </c>
      <c r="AN25" s="114">
        <v>197.66244174671701</v>
      </c>
      <c r="AO25" s="114">
        <v>0</v>
      </c>
      <c r="AP25" s="114">
        <v>0</v>
      </c>
      <c r="AQ25" s="114">
        <v>0</v>
      </c>
      <c r="AR25" s="114">
        <v>0</v>
      </c>
      <c r="AS25" s="114">
        <v>0</v>
      </c>
      <c r="AT25" s="115">
        <v>0</v>
      </c>
    </row>
    <row r="26" spans="2:46" ht="12" customHeight="1" x14ac:dyDescent="0.3">
      <c r="B26" s="113" t="s">
        <v>22</v>
      </c>
      <c r="C26" s="114" t="s">
        <v>23</v>
      </c>
      <c r="D26" s="114" t="s">
        <v>24</v>
      </c>
      <c r="E26" s="114" t="s">
        <v>24</v>
      </c>
      <c r="F26" s="114" t="s">
        <v>25</v>
      </c>
      <c r="G26" s="114" t="s">
        <v>25</v>
      </c>
      <c r="H26" s="114" t="s">
        <v>79</v>
      </c>
      <c r="I26" s="114" t="s">
        <v>25</v>
      </c>
      <c r="J26" s="114">
        <v>429.21</v>
      </c>
      <c r="K26" s="114">
        <v>213.77</v>
      </c>
      <c r="L26" s="114">
        <v>0</v>
      </c>
      <c r="M26" s="114">
        <v>1.45003797678611</v>
      </c>
      <c r="N26" s="114">
        <v>0</v>
      </c>
      <c r="O26" s="114">
        <v>0</v>
      </c>
      <c r="P26" s="114">
        <v>0</v>
      </c>
      <c r="Q26" s="114">
        <v>91.374426270766193</v>
      </c>
      <c r="R26" s="114">
        <v>14.417590692611499</v>
      </c>
      <c r="S26" s="114">
        <v>0</v>
      </c>
      <c r="T26" s="114">
        <v>0</v>
      </c>
      <c r="U26" s="114">
        <v>0</v>
      </c>
      <c r="V26" s="114">
        <v>0</v>
      </c>
      <c r="W26" s="114">
        <v>0</v>
      </c>
      <c r="X26" s="114">
        <v>66.938519670945695</v>
      </c>
      <c r="Y26" s="114">
        <v>0</v>
      </c>
      <c r="Z26" s="114">
        <v>0</v>
      </c>
      <c r="AA26" s="114">
        <v>217.289912546713</v>
      </c>
      <c r="AB26" s="114">
        <v>0</v>
      </c>
      <c r="AC26" s="114">
        <v>0</v>
      </c>
      <c r="AD26" s="114">
        <v>0</v>
      </c>
      <c r="AE26" s="114">
        <v>33.3316313013868</v>
      </c>
      <c r="AF26" s="114">
        <v>0</v>
      </c>
      <c r="AG26" s="114">
        <v>4.4087389419506797</v>
      </c>
      <c r="AH26" s="114">
        <v>0</v>
      </c>
      <c r="AI26" s="114">
        <v>0</v>
      </c>
      <c r="AJ26" s="114">
        <v>0</v>
      </c>
      <c r="AK26" s="114">
        <v>0</v>
      </c>
      <c r="AL26" s="114">
        <v>16.110850163961601</v>
      </c>
      <c r="AM26" s="114">
        <v>0</v>
      </c>
      <c r="AN26" s="114">
        <v>197.66244174671701</v>
      </c>
      <c r="AO26" s="114">
        <v>0</v>
      </c>
      <c r="AP26" s="114">
        <v>0</v>
      </c>
      <c r="AQ26" s="114">
        <v>0</v>
      </c>
      <c r="AR26" s="114">
        <v>0</v>
      </c>
      <c r="AS26" s="114">
        <v>0</v>
      </c>
      <c r="AT26" s="115">
        <v>0</v>
      </c>
    </row>
    <row r="27" spans="2:46" ht="12" customHeight="1" x14ac:dyDescent="0.3">
      <c r="B27" s="113" t="s">
        <v>22</v>
      </c>
      <c r="C27" s="114" t="s">
        <v>94</v>
      </c>
      <c r="D27" s="114" t="s">
        <v>24</v>
      </c>
      <c r="E27" s="114" t="s">
        <v>1073</v>
      </c>
      <c r="F27" s="114" t="s">
        <v>25</v>
      </c>
      <c r="G27" s="114" t="s">
        <v>25</v>
      </c>
      <c r="H27" s="114" t="s">
        <v>79</v>
      </c>
      <c r="I27" s="114" t="s">
        <v>25</v>
      </c>
      <c r="J27" s="114">
        <v>323.42</v>
      </c>
      <c r="K27" s="114">
        <v>213.77</v>
      </c>
      <c r="L27" s="114">
        <v>0</v>
      </c>
      <c r="M27" s="114">
        <v>1.45003797678611</v>
      </c>
      <c r="N27" s="114">
        <v>0</v>
      </c>
      <c r="O27" s="114">
        <v>0</v>
      </c>
      <c r="P27" s="114">
        <v>0</v>
      </c>
      <c r="Q27" s="114">
        <v>0</v>
      </c>
      <c r="R27" s="114">
        <v>0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66.938519670945695</v>
      </c>
      <c r="Y27" s="114">
        <v>0</v>
      </c>
      <c r="Z27" s="114">
        <v>0</v>
      </c>
      <c r="AA27" s="114">
        <v>217.289912546713</v>
      </c>
      <c r="AB27" s="114">
        <v>0</v>
      </c>
      <c r="AC27" s="114">
        <v>0</v>
      </c>
      <c r="AD27" s="114">
        <v>0</v>
      </c>
      <c r="AE27" s="114">
        <v>33.3316313013868</v>
      </c>
      <c r="AF27" s="114">
        <v>0</v>
      </c>
      <c r="AG27" s="114">
        <v>4.4087389419506797</v>
      </c>
      <c r="AH27" s="114">
        <v>0</v>
      </c>
      <c r="AI27" s="114">
        <v>0</v>
      </c>
      <c r="AJ27" s="114">
        <v>0</v>
      </c>
      <c r="AK27" s="114">
        <v>0</v>
      </c>
      <c r="AL27" s="114">
        <v>16.110850163961601</v>
      </c>
      <c r="AM27" s="114">
        <v>0</v>
      </c>
      <c r="AN27" s="114">
        <v>197.66244174671701</v>
      </c>
      <c r="AO27" s="114">
        <v>0</v>
      </c>
      <c r="AP27" s="114">
        <v>0</v>
      </c>
      <c r="AQ27" s="114">
        <v>0</v>
      </c>
      <c r="AR27" s="114">
        <v>0</v>
      </c>
      <c r="AS27" s="114">
        <v>0</v>
      </c>
      <c r="AT27" s="115">
        <v>0</v>
      </c>
    </row>
    <row r="28" spans="2:46" ht="12" customHeight="1" x14ac:dyDescent="0.3">
      <c r="B28" s="113" t="s">
        <v>22</v>
      </c>
      <c r="C28" s="114" t="s">
        <v>94</v>
      </c>
      <c r="D28" s="114" t="s">
        <v>24</v>
      </c>
      <c r="E28" s="114" t="s">
        <v>24</v>
      </c>
      <c r="F28" s="114" t="s">
        <v>25</v>
      </c>
      <c r="G28" s="114" t="s">
        <v>25</v>
      </c>
      <c r="H28" s="114" t="s">
        <v>79</v>
      </c>
      <c r="I28" s="114" t="s">
        <v>25</v>
      </c>
      <c r="J28" s="114">
        <v>429.21</v>
      </c>
      <c r="K28" s="114">
        <v>213.77</v>
      </c>
      <c r="L28" s="114">
        <v>0</v>
      </c>
      <c r="M28" s="114">
        <v>1.45003797678611</v>
      </c>
      <c r="N28" s="114">
        <v>0</v>
      </c>
      <c r="O28" s="114">
        <v>0</v>
      </c>
      <c r="P28" s="114">
        <v>0</v>
      </c>
      <c r="Q28" s="114">
        <v>91.374426270766193</v>
      </c>
      <c r="R28" s="114">
        <v>14.417590692611499</v>
      </c>
      <c r="S28" s="114">
        <v>0</v>
      </c>
      <c r="T28" s="114">
        <v>0</v>
      </c>
      <c r="U28" s="114">
        <v>0</v>
      </c>
      <c r="V28" s="114">
        <v>0</v>
      </c>
      <c r="W28" s="114">
        <v>0</v>
      </c>
      <c r="X28" s="114">
        <v>66.938519670945695</v>
      </c>
      <c r="Y28" s="114">
        <v>0</v>
      </c>
      <c r="Z28" s="114">
        <v>0</v>
      </c>
      <c r="AA28" s="114">
        <v>217.289912546713</v>
      </c>
      <c r="AB28" s="114">
        <v>0</v>
      </c>
      <c r="AC28" s="114">
        <v>0</v>
      </c>
      <c r="AD28" s="114">
        <v>0</v>
      </c>
      <c r="AE28" s="114">
        <v>33.3316313013868</v>
      </c>
      <c r="AF28" s="114">
        <v>0</v>
      </c>
      <c r="AG28" s="114">
        <v>4.4087389419506797</v>
      </c>
      <c r="AH28" s="114">
        <v>0</v>
      </c>
      <c r="AI28" s="114">
        <v>0</v>
      </c>
      <c r="AJ28" s="114">
        <v>0</v>
      </c>
      <c r="AK28" s="114">
        <v>0</v>
      </c>
      <c r="AL28" s="114">
        <v>16.110850163961601</v>
      </c>
      <c r="AM28" s="114">
        <v>0</v>
      </c>
      <c r="AN28" s="114">
        <v>197.66244174671701</v>
      </c>
      <c r="AO28" s="114">
        <v>0</v>
      </c>
      <c r="AP28" s="114">
        <v>0</v>
      </c>
      <c r="AQ28" s="114">
        <v>0</v>
      </c>
      <c r="AR28" s="114">
        <v>0</v>
      </c>
      <c r="AS28" s="114">
        <v>0</v>
      </c>
      <c r="AT28" s="115">
        <v>0</v>
      </c>
    </row>
    <row r="29" spans="2:46" ht="12" customHeight="1" x14ac:dyDescent="0.3">
      <c r="B29" s="113" t="s">
        <v>40</v>
      </c>
      <c r="C29" s="114" t="s">
        <v>92</v>
      </c>
      <c r="D29" s="114" t="s">
        <v>41</v>
      </c>
      <c r="E29" s="114" t="s">
        <v>95</v>
      </c>
      <c r="F29" s="114" t="s">
        <v>25</v>
      </c>
      <c r="G29" s="114" t="s">
        <v>36</v>
      </c>
      <c r="H29" s="114" t="s">
        <v>79</v>
      </c>
      <c r="I29" s="114" t="s">
        <v>25</v>
      </c>
      <c r="J29" s="114">
        <v>924.42</v>
      </c>
      <c r="K29" s="114">
        <v>200.95</v>
      </c>
      <c r="L29" s="114">
        <v>0</v>
      </c>
      <c r="M29" s="114">
        <v>1.36303569817895</v>
      </c>
      <c r="N29" s="114">
        <v>0</v>
      </c>
      <c r="O29" s="114">
        <v>0</v>
      </c>
      <c r="P29" s="114">
        <v>0</v>
      </c>
      <c r="Q29" s="114">
        <v>85.891960694520193</v>
      </c>
      <c r="R29" s="114">
        <v>13.552535251054801</v>
      </c>
      <c r="S29" s="114">
        <v>0</v>
      </c>
      <c r="T29" s="114">
        <v>0</v>
      </c>
      <c r="U29" s="114">
        <v>0</v>
      </c>
      <c r="V29" s="114">
        <v>0</v>
      </c>
      <c r="W29" s="114">
        <v>0</v>
      </c>
      <c r="X29" s="114">
        <v>185.58981477610101</v>
      </c>
      <c r="Y29" s="114">
        <v>0</v>
      </c>
      <c r="Z29" s="114">
        <v>0</v>
      </c>
      <c r="AA29" s="114">
        <v>602.54496218566896</v>
      </c>
      <c r="AB29" s="114">
        <v>0</v>
      </c>
      <c r="AC29" s="114">
        <v>0</v>
      </c>
      <c r="AD29" s="114">
        <v>0</v>
      </c>
      <c r="AE29" s="114">
        <v>31.331733423303501</v>
      </c>
      <c r="AF29" s="114">
        <v>0</v>
      </c>
      <c r="AG29" s="114">
        <v>4.14421460543364</v>
      </c>
      <c r="AH29" s="114">
        <v>0</v>
      </c>
      <c r="AI29" s="114">
        <v>0</v>
      </c>
      <c r="AJ29" s="114">
        <v>0</v>
      </c>
      <c r="AK29" s="114">
        <v>0</v>
      </c>
      <c r="AL29" s="114">
        <v>15.1441991541239</v>
      </c>
      <c r="AM29" s="114">
        <v>0</v>
      </c>
      <c r="AN29" s="114">
        <v>185.80269524191399</v>
      </c>
      <c r="AO29" s="114">
        <v>0</v>
      </c>
      <c r="AP29" s="114">
        <v>0</v>
      </c>
      <c r="AQ29" s="114">
        <v>0</v>
      </c>
      <c r="AR29" s="114">
        <v>0</v>
      </c>
      <c r="AS29" s="114">
        <v>0</v>
      </c>
      <c r="AT29" s="115">
        <v>0</v>
      </c>
    </row>
    <row r="30" spans="2:46" ht="12" customHeight="1" x14ac:dyDescent="0.3">
      <c r="B30" s="113" t="s">
        <v>40</v>
      </c>
      <c r="C30" s="114" t="s">
        <v>92</v>
      </c>
      <c r="D30" s="114" t="s">
        <v>41</v>
      </c>
      <c r="E30" s="114" t="s">
        <v>95</v>
      </c>
      <c r="F30" s="114" t="s">
        <v>25</v>
      </c>
      <c r="G30" s="114" t="s">
        <v>541</v>
      </c>
      <c r="H30" s="114" t="s">
        <v>79</v>
      </c>
      <c r="I30" s="114" t="s">
        <v>25</v>
      </c>
      <c r="J30" s="114">
        <v>609.13</v>
      </c>
      <c r="K30" s="114">
        <v>200.95</v>
      </c>
      <c r="L30" s="114">
        <v>0</v>
      </c>
      <c r="M30" s="114">
        <v>1.36303569817895</v>
      </c>
      <c r="N30" s="114">
        <v>0</v>
      </c>
      <c r="O30" s="114">
        <v>0</v>
      </c>
      <c r="P30" s="114">
        <v>0</v>
      </c>
      <c r="Q30" s="114">
        <v>85.891960694520193</v>
      </c>
      <c r="R30" s="114">
        <v>13.552535251054801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111.321853799819</v>
      </c>
      <c r="Y30" s="114">
        <v>0</v>
      </c>
      <c r="Z30" s="114">
        <v>0</v>
      </c>
      <c r="AA30" s="114">
        <v>361.52708139229901</v>
      </c>
      <c r="AB30" s="114">
        <v>0</v>
      </c>
      <c r="AC30" s="114">
        <v>0</v>
      </c>
      <c r="AD30" s="114">
        <v>0</v>
      </c>
      <c r="AE30" s="114">
        <v>31.331733423303501</v>
      </c>
      <c r="AF30" s="114">
        <v>0</v>
      </c>
      <c r="AG30" s="114">
        <v>4.14421460543364</v>
      </c>
      <c r="AH30" s="114">
        <v>0</v>
      </c>
      <c r="AI30" s="114">
        <v>0</v>
      </c>
      <c r="AJ30" s="114">
        <v>0</v>
      </c>
      <c r="AK30" s="114">
        <v>0</v>
      </c>
      <c r="AL30" s="114">
        <v>15.1441991541239</v>
      </c>
      <c r="AM30" s="114">
        <v>0</v>
      </c>
      <c r="AN30" s="114">
        <v>185.80269524191399</v>
      </c>
      <c r="AO30" s="114">
        <v>0</v>
      </c>
      <c r="AP30" s="114">
        <v>0</v>
      </c>
      <c r="AQ30" s="114">
        <v>0</v>
      </c>
      <c r="AR30" s="114">
        <v>0</v>
      </c>
      <c r="AS30" s="114">
        <v>0</v>
      </c>
      <c r="AT30" s="115">
        <v>0</v>
      </c>
    </row>
    <row r="31" spans="2:46" ht="12" customHeight="1" x14ac:dyDescent="0.3">
      <c r="B31" s="113" t="s">
        <v>40</v>
      </c>
      <c r="C31" s="114" t="s">
        <v>92</v>
      </c>
      <c r="D31" s="114" t="s">
        <v>41</v>
      </c>
      <c r="E31" s="114" t="s">
        <v>95</v>
      </c>
      <c r="F31" s="114" t="s">
        <v>25</v>
      </c>
      <c r="G31" s="114" t="s">
        <v>37</v>
      </c>
      <c r="H31" s="114" t="s">
        <v>79</v>
      </c>
      <c r="I31" s="114" t="s">
        <v>25</v>
      </c>
      <c r="J31" s="114">
        <v>293.93</v>
      </c>
      <c r="K31" s="114">
        <v>200.95</v>
      </c>
      <c r="L31" s="114">
        <v>0</v>
      </c>
      <c r="M31" s="114">
        <v>1.36303569817895</v>
      </c>
      <c r="N31" s="114">
        <v>0</v>
      </c>
      <c r="O31" s="114">
        <v>0</v>
      </c>
      <c r="P31" s="114">
        <v>0</v>
      </c>
      <c r="Q31" s="114">
        <v>85.891960694520193</v>
      </c>
      <c r="R31" s="114">
        <v>13.552535251054801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v>37.133980488140999</v>
      </c>
      <c r="Y31" s="114">
        <v>0</v>
      </c>
      <c r="Z31" s="114">
        <v>0</v>
      </c>
      <c r="AA31" s="114">
        <v>120.509027130766</v>
      </c>
      <c r="AB31" s="114">
        <v>0</v>
      </c>
      <c r="AC31" s="114">
        <v>0</v>
      </c>
      <c r="AD31" s="114">
        <v>0</v>
      </c>
      <c r="AE31" s="114">
        <v>31.331733423303501</v>
      </c>
      <c r="AF31" s="114">
        <v>0</v>
      </c>
      <c r="AG31" s="114">
        <v>4.14421460543364</v>
      </c>
      <c r="AH31" s="114">
        <v>0</v>
      </c>
      <c r="AI31" s="114">
        <v>0</v>
      </c>
      <c r="AJ31" s="114">
        <v>0</v>
      </c>
      <c r="AK31" s="114">
        <v>0</v>
      </c>
      <c r="AL31" s="114">
        <v>15.1441991541239</v>
      </c>
      <c r="AM31" s="114">
        <v>0</v>
      </c>
      <c r="AN31" s="114">
        <v>185.80269524191399</v>
      </c>
      <c r="AO31" s="114">
        <v>0</v>
      </c>
      <c r="AP31" s="114">
        <v>0</v>
      </c>
      <c r="AQ31" s="114">
        <v>0</v>
      </c>
      <c r="AR31" s="114">
        <v>0</v>
      </c>
      <c r="AS31" s="114">
        <v>0</v>
      </c>
      <c r="AT31" s="115">
        <v>0</v>
      </c>
    </row>
    <row r="32" spans="2:46" ht="12" customHeight="1" x14ac:dyDescent="0.3">
      <c r="B32" s="113" t="s">
        <v>40</v>
      </c>
      <c r="C32" s="114" t="s">
        <v>92</v>
      </c>
      <c r="D32" s="114" t="s">
        <v>41</v>
      </c>
      <c r="E32" s="114" t="s">
        <v>25</v>
      </c>
      <c r="F32" s="114" t="s">
        <v>25</v>
      </c>
      <c r="G32" s="114" t="s">
        <v>36</v>
      </c>
      <c r="H32" s="114" t="s">
        <v>79</v>
      </c>
      <c r="I32" s="114" t="s">
        <v>25</v>
      </c>
      <c r="J32" s="114">
        <v>924.42</v>
      </c>
      <c r="K32" s="114">
        <v>200.95</v>
      </c>
      <c r="L32" s="114">
        <v>0</v>
      </c>
      <c r="M32" s="114">
        <v>1.36303569817895</v>
      </c>
      <c r="N32" s="114">
        <v>0</v>
      </c>
      <c r="O32" s="114">
        <v>0</v>
      </c>
      <c r="P32" s="114">
        <v>0</v>
      </c>
      <c r="Q32" s="114">
        <v>85.891960694520193</v>
      </c>
      <c r="R32" s="114">
        <v>13.552535251054801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v>185.58981477610101</v>
      </c>
      <c r="Y32" s="114">
        <v>0</v>
      </c>
      <c r="Z32" s="114">
        <v>0</v>
      </c>
      <c r="AA32" s="114">
        <v>602.54496218566896</v>
      </c>
      <c r="AB32" s="114">
        <v>0</v>
      </c>
      <c r="AC32" s="114">
        <v>0</v>
      </c>
      <c r="AD32" s="114">
        <v>0</v>
      </c>
      <c r="AE32" s="114">
        <v>31.331733423303501</v>
      </c>
      <c r="AF32" s="114">
        <v>0</v>
      </c>
      <c r="AG32" s="114">
        <v>4.14421460543364</v>
      </c>
      <c r="AH32" s="114">
        <v>0</v>
      </c>
      <c r="AI32" s="114">
        <v>0</v>
      </c>
      <c r="AJ32" s="114">
        <v>0</v>
      </c>
      <c r="AK32" s="114">
        <v>0</v>
      </c>
      <c r="AL32" s="114">
        <v>15.1441991541239</v>
      </c>
      <c r="AM32" s="114">
        <v>0</v>
      </c>
      <c r="AN32" s="114">
        <v>185.80269524191399</v>
      </c>
      <c r="AO32" s="114">
        <v>0</v>
      </c>
      <c r="AP32" s="114">
        <v>0</v>
      </c>
      <c r="AQ32" s="114">
        <v>0</v>
      </c>
      <c r="AR32" s="114">
        <v>0</v>
      </c>
      <c r="AS32" s="114">
        <v>0</v>
      </c>
      <c r="AT32" s="115">
        <v>0</v>
      </c>
    </row>
    <row r="33" spans="2:46" ht="12" customHeight="1" x14ac:dyDescent="0.3">
      <c r="B33" s="113" t="s">
        <v>40</v>
      </c>
      <c r="C33" s="114" t="s">
        <v>92</v>
      </c>
      <c r="D33" s="114" t="s">
        <v>41</v>
      </c>
      <c r="E33" s="114" t="s">
        <v>25</v>
      </c>
      <c r="F33" s="114" t="s">
        <v>25</v>
      </c>
      <c r="G33" s="114" t="s">
        <v>541</v>
      </c>
      <c r="H33" s="114" t="s">
        <v>79</v>
      </c>
      <c r="I33" s="114" t="s">
        <v>25</v>
      </c>
      <c r="J33" s="114">
        <v>609.13</v>
      </c>
      <c r="K33" s="114">
        <v>200.95</v>
      </c>
      <c r="L33" s="114">
        <v>0</v>
      </c>
      <c r="M33" s="114">
        <v>1.36303569817895</v>
      </c>
      <c r="N33" s="114">
        <v>0</v>
      </c>
      <c r="O33" s="114">
        <v>0</v>
      </c>
      <c r="P33" s="114">
        <v>0</v>
      </c>
      <c r="Q33" s="114">
        <v>85.891960694520193</v>
      </c>
      <c r="R33" s="114">
        <v>13.552535251054801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v>111.321853799819</v>
      </c>
      <c r="Y33" s="114">
        <v>0</v>
      </c>
      <c r="Z33" s="114">
        <v>0</v>
      </c>
      <c r="AA33" s="114">
        <v>361.52708139229901</v>
      </c>
      <c r="AB33" s="114">
        <v>0</v>
      </c>
      <c r="AC33" s="114">
        <v>0</v>
      </c>
      <c r="AD33" s="114">
        <v>0</v>
      </c>
      <c r="AE33" s="114">
        <v>31.331733423303501</v>
      </c>
      <c r="AF33" s="114">
        <v>0</v>
      </c>
      <c r="AG33" s="114">
        <v>4.14421460543364</v>
      </c>
      <c r="AH33" s="114">
        <v>0</v>
      </c>
      <c r="AI33" s="114">
        <v>0</v>
      </c>
      <c r="AJ33" s="114">
        <v>0</v>
      </c>
      <c r="AK33" s="114">
        <v>0</v>
      </c>
      <c r="AL33" s="114">
        <v>15.1441991541239</v>
      </c>
      <c r="AM33" s="114">
        <v>0</v>
      </c>
      <c r="AN33" s="114">
        <v>185.80269524191399</v>
      </c>
      <c r="AO33" s="114">
        <v>0</v>
      </c>
      <c r="AP33" s="114">
        <v>0</v>
      </c>
      <c r="AQ33" s="114">
        <v>0</v>
      </c>
      <c r="AR33" s="114">
        <v>0</v>
      </c>
      <c r="AS33" s="114">
        <v>0</v>
      </c>
      <c r="AT33" s="115">
        <v>0</v>
      </c>
    </row>
    <row r="34" spans="2:46" ht="12" customHeight="1" x14ac:dyDescent="0.3">
      <c r="B34" s="113" t="s">
        <v>40</v>
      </c>
      <c r="C34" s="114" t="s">
        <v>92</v>
      </c>
      <c r="D34" s="114" t="s">
        <v>41</v>
      </c>
      <c r="E34" s="114" t="s">
        <v>25</v>
      </c>
      <c r="F34" s="114" t="s">
        <v>25</v>
      </c>
      <c r="G34" s="114" t="s">
        <v>37</v>
      </c>
      <c r="H34" s="114" t="s">
        <v>79</v>
      </c>
      <c r="I34" s="114" t="s">
        <v>25</v>
      </c>
      <c r="J34" s="114">
        <v>293.93</v>
      </c>
      <c r="K34" s="114">
        <v>200.95</v>
      </c>
      <c r="L34" s="114">
        <v>0</v>
      </c>
      <c r="M34" s="114">
        <v>1.36303569817895</v>
      </c>
      <c r="N34" s="114">
        <v>0</v>
      </c>
      <c r="O34" s="114">
        <v>0</v>
      </c>
      <c r="P34" s="114">
        <v>0</v>
      </c>
      <c r="Q34" s="114">
        <v>85.891960694520193</v>
      </c>
      <c r="R34" s="114">
        <v>13.552535251054801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v>37.133980488140999</v>
      </c>
      <c r="Y34" s="114">
        <v>0</v>
      </c>
      <c r="Z34" s="114">
        <v>0</v>
      </c>
      <c r="AA34" s="114">
        <v>120.509027130766</v>
      </c>
      <c r="AB34" s="114">
        <v>0</v>
      </c>
      <c r="AC34" s="114">
        <v>0</v>
      </c>
      <c r="AD34" s="114">
        <v>0</v>
      </c>
      <c r="AE34" s="114">
        <v>31.331733423303501</v>
      </c>
      <c r="AF34" s="114">
        <v>0</v>
      </c>
      <c r="AG34" s="114">
        <v>4.14421460543364</v>
      </c>
      <c r="AH34" s="114">
        <v>0</v>
      </c>
      <c r="AI34" s="114">
        <v>0</v>
      </c>
      <c r="AJ34" s="114">
        <v>0</v>
      </c>
      <c r="AK34" s="114">
        <v>0</v>
      </c>
      <c r="AL34" s="114">
        <v>15.1441991541239</v>
      </c>
      <c r="AM34" s="114">
        <v>0</v>
      </c>
      <c r="AN34" s="114">
        <v>185.80269524191399</v>
      </c>
      <c r="AO34" s="114">
        <v>0</v>
      </c>
      <c r="AP34" s="114">
        <v>0</v>
      </c>
      <c r="AQ34" s="114">
        <v>0</v>
      </c>
      <c r="AR34" s="114">
        <v>0</v>
      </c>
      <c r="AS34" s="114">
        <v>0</v>
      </c>
      <c r="AT34" s="115">
        <v>0</v>
      </c>
    </row>
    <row r="35" spans="2:46" ht="12" customHeight="1" x14ac:dyDescent="0.3">
      <c r="B35" s="113" t="s">
        <v>40</v>
      </c>
      <c r="C35" s="114" t="s">
        <v>92</v>
      </c>
      <c r="D35" s="114" t="s">
        <v>41</v>
      </c>
      <c r="E35" s="114" t="s">
        <v>96</v>
      </c>
      <c r="F35" s="114" t="s">
        <v>25</v>
      </c>
      <c r="G35" s="114" t="s">
        <v>36</v>
      </c>
      <c r="H35" s="114" t="s">
        <v>79</v>
      </c>
      <c r="I35" s="114" t="s">
        <v>25</v>
      </c>
      <c r="J35" s="114">
        <v>904.75</v>
      </c>
      <c r="K35" s="114">
        <v>196.67</v>
      </c>
      <c r="L35" s="114">
        <v>0</v>
      </c>
      <c r="M35" s="114">
        <v>1.33403493864322</v>
      </c>
      <c r="N35" s="114">
        <v>0</v>
      </c>
      <c r="O35" s="114">
        <v>0</v>
      </c>
      <c r="P35" s="114">
        <v>0</v>
      </c>
      <c r="Q35" s="114">
        <v>84.064472169104903</v>
      </c>
      <c r="R35" s="114">
        <v>13.2641834372026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181.64109531278001</v>
      </c>
      <c r="Y35" s="114">
        <v>0</v>
      </c>
      <c r="Z35" s="114">
        <v>0</v>
      </c>
      <c r="AA35" s="114">
        <v>589.72485660724999</v>
      </c>
      <c r="AB35" s="114">
        <v>0</v>
      </c>
      <c r="AC35" s="114">
        <v>0</v>
      </c>
      <c r="AD35" s="114">
        <v>0</v>
      </c>
      <c r="AE35" s="114">
        <v>30.665100797275802</v>
      </c>
      <c r="AF35" s="114">
        <v>0</v>
      </c>
      <c r="AG35" s="114">
        <v>4.0560398265946302</v>
      </c>
      <c r="AH35" s="114">
        <v>0</v>
      </c>
      <c r="AI35" s="114">
        <v>0</v>
      </c>
      <c r="AJ35" s="114">
        <v>0</v>
      </c>
      <c r="AK35" s="114">
        <v>0</v>
      </c>
      <c r="AL35" s="114">
        <v>14.8219821508447</v>
      </c>
      <c r="AM35" s="114">
        <v>0</v>
      </c>
      <c r="AN35" s="114">
        <v>181.84944640698001</v>
      </c>
      <c r="AO35" s="114">
        <v>0</v>
      </c>
      <c r="AP35" s="114">
        <v>0</v>
      </c>
      <c r="AQ35" s="114">
        <v>0</v>
      </c>
      <c r="AR35" s="114">
        <v>0</v>
      </c>
      <c r="AS35" s="114">
        <v>0</v>
      </c>
      <c r="AT35" s="115">
        <v>0</v>
      </c>
    </row>
    <row r="36" spans="2:46" ht="12" customHeight="1" x14ac:dyDescent="0.3">
      <c r="B36" s="113" t="s">
        <v>40</v>
      </c>
      <c r="C36" s="114" t="s">
        <v>92</v>
      </c>
      <c r="D36" s="114" t="s">
        <v>41</v>
      </c>
      <c r="E36" s="114" t="s">
        <v>96</v>
      </c>
      <c r="F36" s="114" t="s">
        <v>25</v>
      </c>
      <c r="G36" s="114" t="s">
        <v>541</v>
      </c>
      <c r="H36" s="114" t="s">
        <v>79</v>
      </c>
      <c r="I36" s="114" t="s">
        <v>25</v>
      </c>
      <c r="J36" s="114">
        <v>596.16999999999996</v>
      </c>
      <c r="K36" s="114">
        <v>196.67</v>
      </c>
      <c r="L36" s="114">
        <v>0</v>
      </c>
      <c r="M36" s="114">
        <v>1.33403493864322</v>
      </c>
      <c r="N36" s="114">
        <v>0</v>
      </c>
      <c r="O36" s="114">
        <v>0</v>
      </c>
      <c r="P36" s="114">
        <v>0</v>
      </c>
      <c r="Q36" s="114">
        <v>84.064472169104903</v>
      </c>
      <c r="R36" s="114">
        <v>13.2641834372026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v>108.95330371897199</v>
      </c>
      <c r="Y36" s="114">
        <v>0</v>
      </c>
      <c r="Z36" s="114">
        <v>0</v>
      </c>
      <c r="AA36" s="114">
        <v>353.83501583076099</v>
      </c>
      <c r="AB36" s="114">
        <v>0</v>
      </c>
      <c r="AC36" s="114">
        <v>0</v>
      </c>
      <c r="AD36" s="114">
        <v>0</v>
      </c>
      <c r="AE36" s="114">
        <v>30.665100797275802</v>
      </c>
      <c r="AF36" s="114">
        <v>0</v>
      </c>
      <c r="AG36" s="114">
        <v>4.0560398265946302</v>
      </c>
      <c r="AH36" s="114">
        <v>0</v>
      </c>
      <c r="AI36" s="114">
        <v>0</v>
      </c>
      <c r="AJ36" s="114">
        <v>0</v>
      </c>
      <c r="AK36" s="114">
        <v>0</v>
      </c>
      <c r="AL36" s="114">
        <v>14.8219821508447</v>
      </c>
      <c r="AM36" s="114">
        <v>0</v>
      </c>
      <c r="AN36" s="114">
        <v>181.84944640698001</v>
      </c>
      <c r="AO36" s="114">
        <v>0</v>
      </c>
      <c r="AP36" s="114">
        <v>0</v>
      </c>
      <c r="AQ36" s="114">
        <v>0</v>
      </c>
      <c r="AR36" s="114">
        <v>0</v>
      </c>
      <c r="AS36" s="114">
        <v>0</v>
      </c>
      <c r="AT36" s="115">
        <v>0</v>
      </c>
    </row>
    <row r="37" spans="2:46" ht="12" customHeight="1" x14ac:dyDescent="0.3">
      <c r="B37" s="113" t="s">
        <v>40</v>
      </c>
      <c r="C37" s="114" t="s">
        <v>92</v>
      </c>
      <c r="D37" s="114" t="s">
        <v>41</v>
      </c>
      <c r="E37" s="114" t="s">
        <v>96</v>
      </c>
      <c r="F37" s="114" t="s">
        <v>25</v>
      </c>
      <c r="G37" s="114" t="s">
        <v>37</v>
      </c>
      <c r="H37" s="114" t="s">
        <v>79</v>
      </c>
      <c r="I37" s="114" t="s">
        <v>25</v>
      </c>
      <c r="J37" s="114">
        <v>287.67</v>
      </c>
      <c r="K37" s="114">
        <v>196.67</v>
      </c>
      <c r="L37" s="114">
        <v>0</v>
      </c>
      <c r="M37" s="114">
        <v>1.33403493864322</v>
      </c>
      <c r="N37" s="114">
        <v>0</v>
      </c>
      <c r="O37" s="114">
        <v>0</v>
      </c>
      <c r="P37" s="114">
        <v>0</v>
      </c>
      <c r="Q37" s="114">
        <v>84.064472169104903</v>
      </c>
      <c r="R37" s="114">
        <v>13.2641834372026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36.343895796904</v>
      </c>
      <c r="Y37" s="114">
        <v>0</v>
      </c>
      <c r="Z37" s="114">
        <v>0</v>
      </c>
      <c r="AA37" s="114">
        <v>117.94500527692</v>
      </c>
      <c r="AB37" s="114">
        <v>0</v>
      </c>
      <c r="AC37" s="114">
        <v>0</v>
      </c>
      <c r="AD37" s="114">
        <v>0</v>
      </c>
      <c r="AE37" s="114">
        <v>30.665100797275802</v>
      </c>
      <c r="AF37" s="114">
        <v>0</v>
      </c>
      <c r="AG37" s="114">
        <v>4.0560398265946302</v>
      </c>
      <c r="AH37" s="114">
        <v>0</v>
      </c>
      <c r="AI37" s="114">
        <v>0</v>
      </c>
      <c r="AJ37" s="114">
        <v>0</v>
      </c>
      <c r="AK37" s="114">
        <v>0</v>
      </c>
      <c r="AL37" s="114">
        <v>14.8219821508447</v>
      </c>
      <c r="AM37" s="114">
        <v>0</v>
      </c>
      <c r="AN37" s="114">
        <v>181.84944640698001</v>
      </c>
      <c r="AO37" s="114">
        <v>0</v>
      </c>
      <c r="AP37" s="114">
        <v>0</v>
      </c>
      <c r="AQ37" s="114">
        <v>0</v>
      </c>
      <c r="AR37" s="114">
        <v>0</v>
      </c>
      <c r="AS37" s="114">
        <v>0</v>
      </c>
      <c r="AT37" s="115">
        <v>0</v>
      </c>
    </row>
    <row r="38" spans="2:46" ht="12" customHeight="1" x14ac:dyDescent="0.3">
      <c r="B38" s="113" t="s">
        <v>40</v>
      </c>
      <c r="C38" s="114" t="s">
        <v>23</v>
      </c>
      <c r="D38" s="114" t="s">
        <v>41</v>
      </c>
      <c r="E38" s="114" t="s">
        <v>95</v>
      </c>
      <c r="F38" s="114" t="s">
        <v>25</v>
      </c>
      <c r="G38" s="114" t="s">
        <v>25</v>
      </c>
      <c r="H38" s="114" t="s">
        <v>79</v>
      </c>
      <c r="I38" s="114" t="s">
        <v>25</v>
      </c>
      <c r="J38" s="114">
        <v>403.46</v>
      </c>
      <c r="K38" s="114">
        <v>200.95</v>
      </c>
      <c r="L38" s="114">
        <v>0</v>
      </c>
      <c r="M38" s="114">
        <v>1.36303569817895</v>
      </c>
      <c r="N38" s="114">
        <v>0</v>
      </c>
      <c r="O38" s="114">
        <v>0</v>
      </c>
      <c r="P38" s="114">
        <v>0</v>
      </c>
      <c r="Q38" s="114">
        <v>85.891960694520193</v>
      </c>
      <c r="R38" s="114">
        <v>13.552535251054801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  <c r="X38" s="114">
        <v>62.922208490689002</v>
      </c>
      <c r="Y38" s="114">
        <v>0</v>
      </c>
      <c r="Z38" s="114">
        <v>0</v>
      </c>
      <c r="AA38" s="114">
        <v>204.25251779391101</v>
      </c>
      <c r="AB38" s="114">
        <v>0</v>
      </c>
      <c r="AC38" s="114">
        <v>0</v>
      </c>
      <c r="AD38" s="114">
        <v>0</v>
      </c>
      <c r="AE38" s="114">
        <v>31.331733423303501</v>
      </c>
      <c r="AF38" s="114">
        <v>0</v>
      </c>
      <c r="AG38" s="114">
        <v>4.14421460543364</v>
      </c>
      <c r="AH38" s="114">
        <v>0</v>
      </c>
      <c r="AI38" s="114">
        <v>0</v>
      </c>
      <c r="AJ38" s="114">
        <v>0</v>
      </c>
      <c r="AK38" s="114">
        <v>0</v>
      </c>
      <c r="AL38" s="114">
        <v>15.1441991541239</v>
      </c>
      <c r="AM38" s="114">
        <v>0</v>
      </c>
      <c r="AN38" s="114">
        <v>185.80269524191399</v>
      </c>
      <c r="AO38" s="114">
        <v>0</v>
      </c>
      <c r="AP38" s="114">
        <v>0</v>
      </c>
      <c r="AQ38" s="114">
        <v>0</v>
      </c>
      <c r="AR38" s="114">
        <v>0</v>
      </c>
      <c r="AS38" s="114">
        <v>0</v>
      </c>
      <c r="AT38" s="115">
        <v>0</v>
      </c>
    </row>
    <row r="39" spans="2:46" ht="12" customHeight="1" x14ac:dyDescent="0.3">
      <c r="B39" s="113" t="s">
        <v>40</v>
      </c>
      <c r="C39" s="114" t="s">
        <v>23</v>
      </c>
      <c r="D39" s="114" t="s">
        <v>41</v>
      </c>
      <c r="E39" s="114" t="s">
        <v>25</v>
      </c>
      <c r="F39" s="114" t="s">
        <v>25</v>
      </c>
      <c r="G39" s="114" t="s">
        <v>25</v>
      </c>
      <c r="H39" s="114" t="s">
        <v>79</v>
      </c>
      <c r="I39" s="114" t="s">
        <v>25</v>
      </c>
      <c r="J39" s="114">
        <v>403.46</v>
      </c>
      <c r="K39" s="114">
        <v>200.95</v>
      </c>
      <c r="L39" s="114">
        <v>0</v>
      </c>
      <c r="M39" s="114">
        <v>1.36303569817895</v>
      </c>
      <c r="N39" s="114">
        <v>0</v>
      </c>
      <c r="O39" s="114">
        <v>0</v>
      </c>
      <c r="P39" s="114">
        <v>0</v>
      </c>
      <c r="Q39" s="114">
        <v>85.891960694520193</v>
      </c>
      <c r="R39" s="114">
        <v>13.552535251054801</v>
      </c>
      <c r="S39" s="114">
        <v>0</v>
      </c>
      <c r="T39" s="114">
        <v>0</v>
      </c>
      <c r="U39" s="114">
        <v>0</v>
      </c>
      <c r="V39" s="114">
        <v>0</v>
      </c>
      <c r="W39" s="114">
        <v>0</v>
      </c>
      <c r="X39" s="114">
        <v>62.922208490689002</v>
      </c>
      <c r="Y39" s="114">
        <v>0</v>
      </c>
      <c r="Z39" s="114">
        <v>0</v>
      </c>
      <c r="AA39" s="114">
        <v>204.25251779391101</v>
      </c>
      <c r="AB39" s="114">
        <v>0</v>
      </c>
      <c r="AC39" s="114">
        <v>0</v>
      </c>
      <c r="AD39" s="114">
        <v>0</v>
      </c>
      <c r="AE39" s="114">
        <v>31.331733423303501</v>
      </c>
      <c r="AF39" s="114">
        <v>0</v>
      </c>
      <c r="AG39" s="114">
        <v>4.14421460543364</v>
      </c>
      <c r="AH39" s="114">
        <v>0</v>
      </c>
      <c r="AI39" s="114">
        <v>0</v>
      </c>
      <c r="AJ39" s="114">
        <v>0</v>
      </c>
      <c r="AK39" s="114">
        <v>0</v>
      </c>
      <c r="AL39" s="114">
        <v>15.1441991541239</v>
      </c>
      <c r="AM39" s="114">
        <v>0</v>
      </c>
      <c r="AN39" s="114">
        <v>185.80269524191399</v>
      </c>
      <c r="AO39" s="114">
        <v>0</v>
      </c>
      <c r="AP39" s="114">
        <v>0</v>
      </c>
      <c r="AQ39" s="114">
        <v>0</v>
      </c>
      <c r="AR39" s="114">
        <v>0</v>
      </c>
      <c r="AS39" s="114">
        <v>0</v>
      </c>
      <c r="AT39" s="115">
        <v>0</v>
      </c>
    </row>
    <row r="40" spans="2:46" ht="12" customHeight="1" x14ac:dyDescent="0.3">
      <c r="B40" s="113" t="s">
        <v>40</v>
      </c>
      <c r="C40" s="114" t="s">
        <v>23</v>
      </c>
      <c r="D40" s="114" t="s">
        <v>41</v>
      </c>
      <c r="E40" s="114" t="s">
        <v>96</v>
      </c>
      <c r="F40" s="114" t="s">
        <v>25</v>
      </c>
      <c r="G40" s="114" t="s">
        <v>25</v>
      </c>
      <c r="H40" s="114" t="s">
        <v>79</v>
      </c>
      <c r="I40" s="114" t="s">
        <v>25</v>
      </c>
      <c r="J40" s="114">
        <v>394.87</v>
      </c>
      <c r="K40" s="114">
        <v>196.67</v>
      </c>
      <c r="L40" s="114">
        <v>0</v>
      </c>
      <c r="M40" s="114">
        <v>1.33403493864322</v>
      </c>
      <c r="N40" s="114">
        <v>0</v>
      </c>
      <c r="O40" s="114">
        <v>0</v>
      </c>
      <c r="P40" s="114">
        <v>0</v>
      </c>
      <c r="Q40" s="114">
        <v>84.064472169104903</v>
      </c>
      <c r="R40" s="114">
        <v>13.2641834372026</v>
      </c>
      <c r="S40" s="114">
        <v>0</v>
      </c>
      <c r="T40" s="114">
        <v>0</v>
      </c>
      <c r="U40" s="114">
        <v>0</v>
      </c>
      <c r="V40" s="114">
        <v>0</v>
      </c>
      <c r="W40" s="114">
        <v>0</v>
      </c>
      <c r="X40" s="114">
        <v>61.583438097270097</v>
      </c>
      <c r="Y40" s="114">
        <v>0</v>
      </c>
      <c r="Z40" s="114">
        <v>0</v>
      </c>
      <c r="AA40" s="114">
        <v>199.90671954297599</v>
      </c>
      <c r="AB40" s="114">
        <v>0</v>
      </c>
      <c r="AC40" s="114">
        <v>0</v>
      </c>
      <c r="AD40" s="114">
        <v>0</v>
      </c>
      <c r="AE40" s="114">
        <v>30.665100797275802</v>
      </c>
      <c r="AF40" s="114">
        <v>0</v>
      </c>
      <c r="AG40" s="114">
        <v>4.0560398265946302</v>
      </c>
      <c r="AH40" s="114">
        <v>0</v>
      </c>
      <c r="AI40" s="114">
        <v>0</v>
      </c>
      <c r="AJ40" s="114">
        <v>0</v>
      </c>
      <c r="AK40" s="114">
        <v>0</v>
      </c>
      <c r="AL40" s="114">
        <v>14.8219821508447</v>
      </c>
      <c r="AM40" s="114">
        <v>0</v>
      </c>
      <c r="AN40" s="114">
        <v>181.84944640698001</v>
      </c>
      <c r="AO40" s="114">
        <v>0</v>
      </c>
      <c r="AP40" s="114">
        <v>0</v>
      </c>
      <c r="AQ40" s="114">
        <v>0</v>
      </c>
      <c r="AR40" s="114">
        <v>0</v>
      </c>
      <c r="AS40" s="114">
        <v>0</v>
      </c>
      <c r="AT40" s="115">
        <v>0</v>
      </c>
    </row>
    <row r="41" spans="2:46" ht="12" customHeight="1" x14ac:dyDescent="0.3">
      <c r="B41" s="113" t="s">
        <v>40</v>
      </c>
      <c r="C41" s="114" t="s">
        <v>94</v>
      </c>
      <c r="D41" s="114" t="s">
        <v>41</v>
      </c>
      <c r="E41" s="114" t="s">
        <v>95</v>
      </c>
      <c r="F41" s="114" t="s">
        <v>25</v>
      </c>
      <c r="G41" s="114" t="s">
        <v>25</v>
      </c>
      <c r="H41" s="114" t="s">
        <v>79</v>
      </c>
      <c r="I41" s="114" t="s">
        <v>25</v>
      </c>
      <c r="J41" s="114">
        <v>403.46</v>
      </c>
      <c r="K41" s="114">
        <v>200.95</v>
      </c>
      <c r="L41" s="114">
        <v>0</v>
      </c>
      <c r="M41" s="114">
        <v>1.36303569817895</v>
      </c>
      <c r="N41" s="114">
        <v>0</v>
      </c>
      <c r="O41" s="114">
        <v>0</v>
      </c>
      <c r="P41" s="114">
        <v>0</v>
      </c>
      <c r="Q41" s="114">
        <v>85.891960694520193</v>
      </c>
      <c r="R41" s="114">
        <v>13.552535251054801</v>
      </c>
      <c r="S41" s="114">
        <v>0</v>
      </c>
      <c r="T41" s="114">
        <v>0</v>
      </c>
      <c r="U41" s="114">
        <v>0</v>
      </c>
      <c r="V41" s="114">
        <v>0</v>
      </c>
      <c r="W41" s="114">
        <v>0</v>
      </c>
      <c r="X41" s="114">
        <v>62.922208490689002</v>
      </c>
      <c r="Y41" s="114">
        <v>0</v>
      </c>
      <c r="Z41" s="114">
        <v>0</v>
      </c>
      <c r="AA41" s="114">
        <v>204.25251779391101</v>
      </c>
      <c r="AB41" s="114">
        <v>0</v>
      </c>
      <c r="AC41" s="114">
        <v>0</v>
      </c>
      <c r="AD41" s="114">
        <v>0</v>
      </c>
      <c r="AE41" s="114">
        <v>31.331733423303501</v>
      </c>
      <c r="AF41" s="114">
        <v>0</v>
      </c>
      <c r="AG41" s="114">
        <v>4.14421460543364</v>
      </c>
      <c r="AH41" s="114">
        <v>0</v>
      </c>
      <c r="AI41" s="114">
        <v>0</v>
      </c>
      <c r="AJ41" s="114">
        <v>0</v>
      </c>
      <c r="AK41" s="114">
        <v>0</v>
      </c>
      <c r="AL41" s="114">
        <v>15.1441991541239</v>
      </c>
      <c r="AM41" s="114">
        <v>0</v>
      </c>
      <c r="AN41" s="114">
        <v>185.80269524191399</v>
      </c>
      <c r="AO41" s="114">
        <v>0</v>
      </c>
      <c r="AP41" s="114">
        <v>0</v>
      </c>
      <c r="AQ41" s="114">
        <v>0</v>
      </c>
      <c r="AR41" s="114">
        <v>0</v>
      </c>
      <c r="AS41" s="114">
        <v>0</v>
      </c>
      <c r="AT41" s="115">
        <v>0</v>
      </c>
    </row>
    <row r="42" spans="2:46" ht="12" customHeight="1" x14ac:dyDescent="0.3">
      <c r="B42" s="113" t="s">
        <v>40</v>
      </c>
      <c r="C42" s="114" t="s">
        <v>94</v>
      </c>
      <c r="D42" s="114" t="s">
        <v>41</v>
      </c>
      <c r="E42" s="114" t="s">
        <v>25</v>
      </c>
      <c r="F42" s="114" t="s">
        <v>25</v>
      </c>
      <c r="G42" s="114" t="s">
        <v>25</v>
      </c>
      <c r="H42" s="114" t="s">
        <v>79</v>
      </c>
      <c r="I42" s="114" t="s">
        <v>25</v>
      </c>
      <c r="J42" s="114">
        <v>403.46</v>
      </c>
      <c r="K42" s="114">
        <v>200.95</v>
      </c>
      <c r="L42" s="114">
        <v>0</v>
      </c>
      <c r="M42" s="114">
        <v>1.36303569817895</v>
      </c>
      <c r="N42" s="114">
        <v>0</v>
      </c>
      <c r="O42" s="114">
        <v>0</v>
      </c>
      <c r="P42" s="114">
        <v>0</v>
      </c>
      <c r="Q42" s="114">
        <v>85.891960694520193</v>
      </c>
      <c r="R42" s="114">
        <v>13.552535251054801</v>
      </c>
      <c r="S42" s="114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62.922208490689002</v>
      </c>
      <c r="Y42" s="114">
        <v>0</v>
      </c>
      <c r="Z42" s="114">
        <v>0</v>
      </c>
      <c r="AA42" s="114">
        <v>204.25251779391101</v>
      </c>
      <c r="AB42" s="114">
        <v>0</v>
      </c>
      <c r="AC42" s="114">
        <v>0</v>
      </c>
      <c r="AD42" s="114">
        <v>0</v>
      </c>
      <c r="AE42" s="114">
        <v>31.331733423303501</v>
      </c>
      <c r="AF42" s="114">
        <v>0</v>
      </c>
      <c r="AG42" s="114">
        <v>4.14421460543364</v>
      </c>
      <c r="AH42" s="114">
        <v>0</v>
      </c>
      <c r="AI42" s="114">
        <v>0</v>
      </c>
      <c r="AJ42" s="114">
        <v>0</v>
      </c>
      <c r="AK42" s="114">
        <v>0</v>
      </c>
      <c r="AL42" s="114">
        <v>15.1441991541239</v>
      </c>
      <c r="AM42" s="114">
        <v>0</v>
      </c>
      <c r="AN42" s="114">
        <v>185.80269524191399</v>
      </c>
      <c r="AO42" s="114">
        <v>0</v>
      </c>
      <c r="AP42" s="114">
        <v>0</v>
      </c>
      <c r="AQ42" s="114">
        <v>0</v>
      </c>
      <c r="AR42" s="114">
        <v>0</v>
      </c>
      <c r="AS42" s="114">
        <v>0</v>
      </c>
      <c r="AT42" s="115">
        <v>0</v>
      </c>
    </row>
    <row r="43" spans="2:46" ht="12" customHeight="1" x14ac:dyDescent="0.3">
      <c r="B43" s="113" t="s">
        <v>40</v>
      </c>
      <c r="C43" s="114" t="s">
        <v>94</v>
      </c>
      <c r="D43" s="114" t="s">
        <v>41</v>
      </c>
      <c r="E43" s="114" t="s">
        <v>96</v>
      </c>
      <c r="F43" s="114" t="s">
        <v>25</v>
      </c>
      <c r="G43" s="114" t="s">
        <v>25</v>
      </c>
      <c r="H43" s="114" t="s">
        <v>79</v>
      </c>
      <c r="I43" s="114" t="s">
        <v>25</v>
      </c>
      <c r="J43" s="114">
        <v>394.87</v>
      </c>
      <c r="K43" s="114">
        <v>196.67</v>
      </c>
      <c r="L43" s="114">
        <v>0</v>
      </c>
      <c r="M43" s="114">
        <v>1.33403493864322</v>
      </c>
      <c r="N43" s="114">
        <v>0</v>
      </c>
      <c r="O43" s="114">
        <v>0</v>
      </c>
      <c r="P43" s="114">
        <v>0</v>
      </c>
      <c r="Q43" s="114">
        <v>84.064472169104903</v>
      </c>
      <c r="R43" s="114">
        <v>13.2641834372026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61.583438097270097</v>
      </c>
      <c r="Y43" s="114">
        <v>0</v>
      </c>
      <c r="Z43" s="114">
        <v>0</v>
      </c>
      <c r="AA43" s="114">
        <v>199.90671954297599</v>
      </c>
      <c r="AB43" s="114">
        <v>0</v>
      </c>
      <c r="AC43" s="114">
        <v>0</v>
      </c>
      <c r="AD43" s="114">
        <v>0</v>
      </c>
      <c r="AE43" s="114">
        <v>30.665100797275802</v>
      </c>
      <c r="AF43" s="114">
        <v>0</v>
      </c>
      <c r="AG43" s="114">
        <v>4.0560398265946302</v>
      </c>
      <c r="AH43" s="114">
        <v>0</v>
      </c>
      <c r="AI43" s="114">
        <v>0</v>
      </c>
      <c r="AJ43" s="114">
        <v>0</v>
      </c>
      <c r="AK43" s="114">
        <v>0</v>
      </c>
      <c r="AL43" s="114">
        <v>14.8219821508447</v>
      </c>
      <c r="AM43" s="114">
        <v>0</v>
      </c>
      <c r="AN43" s="114">
        <v>181.84944640698001</v>
      </c>
      <c r="AO43" s="114">
        <v>0</v>
      </c>
      <c r="AP43" s="114">
        <v>0</v>
      </c>
      <c r="AQ43" s="114">
        <v>0</v>
      </c>
      <c r="AR43" s="114">
        <v>0</v>
      </c>
      <c r="AS43" s="114">
        <v>0</v>
      </c>
      <c r="AT43" s="115">
        <v>0</v>
      </c>
    </row>
    <row r="44" spans="2:46" ht="12" customHeight="1" x14ac:dyDescent="0.3">
      <c r="B44" s="113" t="s">
        <v>32</v>
      </c>
      <c r="C44" s="114" t="s">
        <v>92</v>
      </c>
      <c r="D44" s="114" t="s">
        <v>25</v>
      </c>
      <c r="E44" s="114" t="s">
        <v>25</v>
      </c>
      <c r="F44" s="114" t="s">
        <v>25</v>
      </c>
      <c r="G44" s="114" t="s">
        <v>36</v>
      </c>
      <c r="H44" s="114" t="s">
        <v>79</v>
      </c>
      <c r="I44" s="114" t="s">
        <v>25</v>
      </c>
      <c r="J44" s="114">
        <v>1111.31</v>
      </c>
      <c r="K44" s="114">
        <v>213.77</v>
      </c>
      <c r="L44" s="114">
        <v>0</v>
      </c>
      <c r="M44" s="114">
        <v>1.45003797678611</v>
      </c>
      <c r="N44" s="114">
        <v>0</v>
      </c>
      <c r="O44" s="114">
        <v>0</v>
      </c>
      <c r="P44" s="114">
        <v>0</v>
      </c>
      <c r="Q44" s="114">
        <v>91.374426270766193</v>
      </c>
      <c r="R44" s="114">
        <v>14.417590692611499</v>
      </c>
      <c r="S44" s="114">
        <v>0</v>
      </c>
      <c r="T44" s="114">
        <v>0</v>
      </c>
      <c r="U44" s="114">
        <v>0</v>
      </c>
      <c r="V44" s="114">
        <v>0</v>
      </c>
      <c r="W44" s="114">
        <v>0</v>
      </c>
      <c r="X44" s="114">
        <v>227.539847095298</v>
      </c>
      <c r="Y44" s="114">
        <v>0</v>
      </c>
      <c r="Z44" s="114">
        <v>0</v>
      </c>
      <c r="AA44" s="114">
        <v>738.78577647506495</v>
      </c>
      <c r="AB44" s="114">
        <v>0</v>
      </c>
      <c r="AC44" s="114">
        <v>0</v>
      </c>
      <c r="AD44" s="114">
        <v>0</v>
      </c>
      <c r="AE44" s="114">
        <v>33.3316313013868</v>
      </c>
      <c r="AF44" s="114">
        <v>0</v>
      </c>
      <c r="AG44" s="114">
        <v>4.4087389419506797</v>
      </c>
      <c r="AH44" s="114">
        <v>0</v>
      </c>
      <c r="AI44" s="114">
        <v>0</v>
      </c>
      <c r="AJ44" s="114">
        <v>0</v>
      </c>
      <c r="AK44" s="114">
        <v>0</v>
      </c>
      <c r="AL44" s="114">
        <v>16.110850163961601</v>
      </c>
      <c r="AM44" s="114">
        <v>0</v>
      </c>
      <c r="AN44" s="114">
        <v>197.66244174671701</v>
      </c>
      <c r="AO44" s="114">
        <v>0</v>
      </c>
      <c r="AP44" s="114">
        <v>0</v>
      </c>
      <c r="AQ44" s="114">
        <v>0</v>
      </c>
      <c r="AR44" s="114">
        <v>0</v>
      </c>
      <c r="AS44" s="114">
        <v>0</v>
      </c>
      <c r="AT44" s="115">
        <v>0</v>
      </c>
    </row>
    <row r="45" spans="2:46" ht="12" customHeight="1" x14ac:dyDescent="0.3">
      <c r="B45" s="113" t="s">
        <v>32</v>
      </c>
      <c r="C45" s="114" t="s">
        <v>92</v>
      </c>
      <c r="D45" s="114" t="s">
        <v>25</v>
      </c>
      <c r="E45" s="114" t="s">
        <v>25</v>
      </c>
      <c r="F45" s="114" t="s">
        <v>25</v>
      </c>
      <c r="G45" s="114" t="s">
        <v>541</v>
      </c>
      <c r="H45" s="114" t="s">
        <v>79</v>
      </c>
      <c r="I45" s="114" t="s">
        <v>25</v>
      </c>
      <c r="J45" s="114">
        <v>724.77</v>
      </c>
      <c r="K45" s="114">
        <v>213.77</v>
      </c>
      <c r="L45" s="114">
        <v>0</v>
      </c>
      <c r="M45" s="114">
        <v>1.45003797678611</v>
      </c>
      <c r="N45" s="114">
        <v>0</v>
      </c>
      <c r="O45" s="114">
        <v>0</v>
      </c>
      <c r="P45" s="114">
        <v>0</v>
      </c>
      <c r="Q45" s="114">
        <v>91.374426270766193</v>
      </c>
      <c r="R45" s="114">
        <v>14.417590692611499</v>
      </c>
      <c r="S45" s="114">
        <v>0</v>
      </c>
      <c r="T45" s="114">
        <v>0</v>
      </c>
      <c r="U45" s="114">
        <v>0</v>
      </c>
      <c r="V45" s="114">
        <v>0</v>
      </c>
      <c r="W45" s="114">
        <v>0</v>
      </c>
      <c r="X45" s="114">
        <v>136.51822828096601</v>
      </c>
      <c r="Y45" s="114">
        <v>0</v>
      </c>
      <c r="Z45" s="114">
        <v>0</v>
      </c>
      <c r="AA45" s="114">
        <v>443.27150279315902</v>
      </c>
      <c r="AB45" s="114">
        <v>0</v>
      </c>
      <c r="AC45" s="114">
        <v>0</v>
      </c>
      <c r="AD45" s="114">
        <v>0</v>
      </c>
      <c r="AE45" s="114">
        <v>33.3316313013868</v>
      </c>
      <c r="AF45" s="114">
        <v>0</v>
      </c>
      <c r="AG45" s="114">
        <v>4.4087389419506797</v>
      </c>
      <c r="AH45" s="114">
        <v>0</v>
      </c>
      <c r="AI45" s="114">
        <v>0</v>
      </c>
      <c r="AJ45" s="114">
        <v>0</v>
      </c>
      <c r="AK45" s="114">
        <v>0</v>
      </c>
      <c r="AL45" s="114">
        <v>16.110850163961601</v>
      </c>
      <c r="AM45" s="114">
        <v>0</v>
      </c>
      <c r="AN45" s="114">
        <v>197.66244174671701</v>
      </c>
      <c r="AO45" s="114">
        <v>0</v>
      </c>
      <c r="AP45" s="114">
        <v>0</v>
      </c>
      <c r="AQ45" s="114">
        <v>0</v>
      </c>
      <c r="AR45" s="114">
        <v>0</v>
      </c>
      <c r="AS45" s="114">
        <v>0</v>
      </c>
      <c r="AT45" s="115">
        <v>0</v>
      </c>
    </row>
    <row r="46" spans="2:46" ht="12" customHeight="1" x14ac:dyDescent="0.3">
      <c r="B46" s="113" t="s">
        <v>32</v>
      </c>
      <c r="C46" s="114" t="s">
        <v>92</v>
      </c>
      <c r="D46" s="114" t="s">
        <v>25</v>
      </c>
      <c r="E46" s="114" t="s">
        <v>25</v>
      </c>
      <c r="F46" s="114" t="s">
        <v>25</v>
      </c>
      <c r="G46" s="114" t="s">
        <v>37</v>
      </c>
      <c r="H46" s="114" t="s">
        <v>79</v>
      </c>
      <c r="I46" s="114" t="s">
        <v>25</v>
      </c>
      <c r="J46" s="114">
        <v>338.26</v>
      </c>
      <c r="K46" s="114">
        <v>213.77</v>
      </c>
      <c r="L46" s="114">
        <v>0</v>
      </c>
      <c r="M46" s="114">
        <v>1.45003797678611</v>
      </c>
      <c r="N46" s="114">
        <v>0</v>
      </c>
      <c r="O46" s="114">
        <v>0</v>
      </c>
      <c r="P46" s="114">
        <v>0</v>
      </c>
      <c r="Q46" s="114">
        <v>91.374426270766193</v>
      </c>
      <c r="R46" s="114">
        <v>14.417590692611499</v>
      </c>
      <c r="S46" s="114">
        <v>0</v>
      </c>
      <c r="T46" s="114">
        <v>0</v>
      </c>
      <c r="U46" s="114">
        <v>0</v>
      </c>
      <c r="V46" s="114">
        <v>0</v>
      </c>
      <c r="W46" s="114">
        <v>0</v>
      </c>
      <c r="X46" s="114">
        <v>45.525009347698798</v>
      </c>
      <c r="Y46" s="114">
        <v>0</v>
      </c>
      <c r="Z46" s="114">
        <v>0</v>
      </c>
      <c r="AA46" s="114">
        <v>147.757229111253</v>
      </c>
      <c r="AB46" s="114">
        <v>0</v>
      </c>
      <c r="AC46" s="114">
        <v>0</v>
      </c>
      <c r="AD46" s="114">
        <v>0</v>
      </c>
      <c r="AE46" s="114">
        <v>33.3316313013868</v>
      </c>
      <c r="AF46" s="114">
        <v>0</v>
      </c>
      <c r="AG46" s="114">
        <v>4.4087389419506797</v>
      </c>
      <c r="AH46" s="114">
        <v>0</v>
      </c>
      <c r="AI46" s="114">
        <v>0</v>
      </c>
      <c r="AJ46" s="114">
        <v>0</v>
      </c>
      <c r="AK46" s="114">
        <v>0</v>
      </c>
      <c r="AL46" s="114">
        <v>16.110850163961601</v>
      </c>
      <c r="AM46" s="114">
        <v>0</v>
      </c>
      <c r="AN46" s="114">
        <v>197.66244174671701</v>
      </c>
      <c r="AO46" s="114">
        <v>0</v>
      </c>
      <c r="AP46" s="114">
        <v>0</v>
      </c>
      <c r="AQ46" s="114">
        <v>0</v>
      </c>
      <c r="AR46" s="114">
        <v>0</v>
      </c>
      <c r="AS46" s="114">
        <v>0</v>
      </c>
      <c r="AT46" s="115">
        <v>0</v>
      </c>
    </row>
    <row r="47" spans="2:46" ht="12" customHeight="1" x14ac:dyDescent="0.3">
      <c r="B47" s="113" t="s">
        <v>32</v>
      </c>
      <c r="C47" s="114" t="s">
        <v>23</v>
      </c>
      <c r="D47" s="114" t="s">
        <v>25</v>
      </c>
      <c r="E47" s="114" t="s">
        <v>25</v>
      </c>
      <c r="F47" s="114" t="s">
        <v>25</v>
      </c>
      <c r="G47" s="114" t="s">
        <v>25</v>
      </c>
      <c r="H47" s="114" t="s">
        <v>79</v>
      </c>
      <c r="I47" s="114" t="s">
        <v>25</v>
      </c>
      <c r="J47" s="114">
        <v>429.21</v>
      </c>
      <c r="K47" s="114">
        <v>213.77</v>
      </c>
      <c r="L47" s="114">
        <v>0</v>
      </c>
      <c r="M47" s="114">
        <v>1.45003797678611</v>
      </c>
      <c r="N47" s="114">
        <v>0</v>
      </c>
      <c r="O47" s="114">
        <v>0</v>
      </c>
      <c r="P47" s="114">
        <v>0</v>
      </c>
      <c r="Q47" s="114">
        <v>91.374426270766193</v>
      </c>
      <c r="R47" s="114">
        <v>14.417590692611499</v>
      </c>
      <c r="S47" s="114">
        <v>0</v>
      </c>
      <c r="T47" s="114">
        <v>0</v>
      </c>
      <c r="U47" s="114">
        <v>0</v>
      </c>
      <c r="V47" s="114">
        <v>0</v>
      </c>
      <c r="W47" s="114">
        <v>0</v>
      </c>
      <c r="X47" s="114">
        <v>66.938519670945695</v>
      </c>
      <c r="Y47" s="114">
        <v>0</v>
      </c>
      <c r="Z47" s="114">
        <v>0</v>
      </c>
      <c r="AA47" s="114">
        <v>217.289912546713</v>
      </c>
      <c r="AB47" s="114">
        <v>0</v>
      </c>
      <c r="AC47" s="114">
        <v>0</v>
      </c>
      <c r="AD47" s="114">
        <v>0</v>
      </c>
      <c r="AE47" s="114">
        <v>33.3316313013868</v>
      </c>
      <c r="AF47" s="114">
        <v>0</v>
      </c>
      <c r="AG47" s="114">
        <v>4.4087389419506797</v>
      </c>
      <c r="AH47" s="114">
        <v>0</v>
      </c>
      <c r="AI47" s="114">
        <v>0</v>
      </c>
      <c r="AJ47" s="114">
        <v>0</v>
      </c>
      <c r="AK47" s="114">
        <v>0</v>
      </c>
      <c r="AL47" s="114">
        <v>16.110850163961601</v>
      </c>
      <c r="AM47" s="114">
        <v>0</v>
      </c>
      <c r="AN47" s="114">
        <v>197.66244174671701</v>
      </c>
      <c r="AO47" s="114">
        <v>0</v>
      </c>
      <c r="AP47" s="114">
        <v>0</v>
      </c>
      <c r="AQ47" s="114">
        <v>0</v>
      </c>
      <c r="AR47" s="114">
        <v>0</v>
      </c>
      <c r="AS47" s="114">
        <v>0</v>
      </c>
      <c r="AT47" s="115">
        <v>0</v>
      </c>
    </row>
    <row r="48" spans="2:46" ht="12" customHeight="1" x14ac:dyDescent="0.3">
      <c r="B48" s="113" t="s">
        <v>32</v>
      </c>
      <c r="C48" s="114" t="s">
        <v>94</v>
      </c>
      <c r="D48" s="114" t="s">
        <v>25</v>
      </c>
      <c r="E48" s="114" t="s">
        <v>25</v>
      </c>
      <c r="F48" s="114" t="s">
        <v>25</v>
      </c>
      <c r="G48" s="114" t="s">
        <v>25</v>
      </c>
      <c r="H48" s="114" t="s">
        <v>79</v>
      </c>
      <c r="I48" s="114" t="s">
        <v>25</v>
      </c>
      <c r="J48" s="114">
        <v>429.21</v>
      </c>
      <c r="K48" s="114">
        <v>213.77</v>
      </c>
      <c r="L48" s="114">
        <v>0</v>
      </c>
      <c r="M48" s="114">
        <v>1.45003797678611</v>
      </c>
      <c r="N48" s="114">
        <v>0</v>
      </c>
      <c r="O48" s="114">
        <v>0</v>
      </c>
      <c r="P48" s="114">
        <v>0</v>
      </c>
      <c r="Q48" s="114">
        <v>91.374426270766193</v>
      </c>
      <c r="R48" s="114">
        <v>14.417590692611499</v>
      </c>
      <c r="S48" s="114">
        <v>0</v>
      </c>
      <c r="T48" s="114">
        <v>0</v>
      </c>
      <c r="U48" s="114">
        <v>0</v>
      </c>
      <c r="V48" s="114">
        <v>0</v>
      </c>
      <c r="W48" s="114">
        <v>0</v>
      </c>
      <c r="X48" s="114">
        <v>66.938519670945695</v>
      </c>
      <c r="Y48" s="114">
        <v>0</v>
      </c>
      <c r="Z48" s="114">
        <v>0</v>
      </c>
      <c r="AA48" s="114">
        <v>217.289912546713</v>
      </c>
      <c r="AB48" s="114">
        <v>0</v>
      </c>
      <c r="AC48" s="114">
        <v>0</v>
      </c>
      <c r="AD48" s="114">
        <v>0</v>
      </c>
      <c r="AE48" s="114">
        <v>33.3316313013868</v>
      </c>
      <c r="AF48" s="114">
        <v>0</v>
      </c>
      <c r="AG48" s="114">
        <v>4.4087389419506797</v>
      </c>
      <c r="AH48" s="114">
        <v>0</v>
      </c>
      <c r="AI48" s="114">
        <v>0</v>
      </c>
      <c r="AJ48" s="114">
        <v>0</v>
      </c>
      <c r="AK48" s="114">
        <v>0</v>
      </c>
      <c r="AL48" s="114">
        <v>16.110850163961601</v>
      </c>
      <c r="AM48" s="114">
        <v>0</v>
      </c>
      <c r="AN48" s="114">
        <v>197.66244174671701</v>
      </c>
      <c r="AO48" s="114">
        <v>0</v>
      </c>
      <c r="AP48" s="114">
        <v>0</v>
      </c>
      <c r="AQ48" s="114">
        <v>0</v>
      </c>
      <c r="AR48" s="114">
        <v>0</v>
      </c>
      <c r="AS48" s="114">
        <v>0</v>
      </c>
      <c r="AT48" s="115">
        <v>0</v>
      </c>
    </row>
    <row r="49" spans="2:46" ht="12" customHeight="1" x14ac:dyDescent="0.3">
      <c r="B49" s="113" t="s">
        <v>43</v>
      </c>
      <c r="C49" s="114" t="s">
        <v>23</v>
      </c>
      <c r="D49" s="114" t="s">
        <v>44</v>
      </c>
      <c r="E49" s="114" t="s">
        <v>97</v>
      </c>
      <c r="F49" s="114" t="s">
        <v>25</v>
      </c>
      <c r="G49" s="114" t="s">
        <v>25</v>
      </c>
      <c r="H49" s="114" t="s">
        <v>79</v>
      </c>
      <c r="I49" s="114" t="s">
        <v>25</v>
      </c>
      <c r="J49" s="114">
        <v>236.07</v>
      </c>
      <c r="K49" s="114">
        <v>117.58</v>
      </c>
      <c r="L49" s="114">
        <v>0</v>
      </c>
      <c r="M49" s="114">
        <v>0.79752088723236303</v>
      </c>
      <c r="N49" s="114">
        <v>0</v>
      </c>
      <c r="O49" s="114">
        <v>0</v>
      </c>
      <c r="P49" s="114">
        <v>0</v>
      </c>
      <c r="Q49" s="114">
        <v>50.255934448921401</v>
      </c>
      <c r="R49" s="114">
        <v>7.92967488093635</v>
      </c>
      <c r="S49" s="114">
        <v>0</v>
      </c>
      <c r="T49" s="114">
        <v>0</v>
      </c>
      <c r="U49" s="114">
        <v>0</v>
      </c>
      <c r="V49" s="114">
        <v>0</v>
      </c>
      <c r="W49" s="114">
        <v>0</v>
      </c>
      <c r="X49" s="114">
        <v>36.816185819020099</v>
      </c>
      <c r="Y49" s="114">
        <v>0</v>
      </c>
      <c r="Z49" s="114">
        <v>0</v>
      </c>
      <c r="AA49" s="114">
        <v>119.509451900692</v>
      </c>
      <c r="AB49" s="114">
        <v>0</v>
      </c>
      <c r="AC49" s="114">
        <v>0</v>
      </c>
      <c r="AD49" s="114">
        <v>0</v>
      </c>
      <c r="AE49" s="114">
        <v>18.3323972157627</v>
      </c>
      <c r="AF49" s="114">
        <v>0</v>
      </c>
      <c r="AG49" s="114">
        <v>2.4248064180728801</v>
      </c>
      <c r="AH49" s="114">
        <v>0</v>
      </c>
      <c r="AI49" s="114">
        <v>0</v>
      </c>
      <c r="AJ49" s="114">
        <v>0</v>
      </c>
      <c r="AK49" s="114">
        <v>0</v>
      </c>
      <c r="AL49" s="114">
        <v>8.8609675901788805</v>
      </c>
      <c r="AM49" s="114">
        <v>0</v>
      </c>
      <c r="AN49" s="114">
        <v>108.714342960694</v>
      </c>
      <c r="AO49" s="114">
        <v>0</v>
      </c>
      <c r="AP49" s="114">
        <v>0</v>
      </c>
      <c r="AQ49" s="114">
        <v>0</v>
      </c>
      <c r="AR49" s="114">
        <v>0</v>
      </c>
      <c r="AS49" s="114">
        <v>0</v>
      </c>
      <c r="AT49" s="115">
        <v>0</v>
      </c>
    </row>
    <row r="50" spans="2:46" ht="12" customHeight="1" x14ac:dyDescent="0.3">
      <c r="B50" s="116" t="s">
        <v>43</v>
      </c>
      <c r="C50" s="117" t="s">
        <v>23</v>
      </c>
      <c r="D50" s="117" t="s">
        <v>44</v>
      </c>
      <c r="E50" s="117" t="s">
        <v>45</v>
      </c>
      <c r="F50" s="117" t="s">
        <v>25</v>
      </c>
      <c r="G50" s="117" t="s">
        <v>25</v>
      </c>
      <c r="H50" s="117" t="s">
        <v>79</v>
      </c>
      <c r="I50" s="117" t="s">
        <v>25</v>
      </c>
      <c r="J50" s="117">
        <v>257.52999999999997</v>
      </c>
      <c r="K50" s="117">
        <v>128.26</v>
      </c>
      <c r="L50" s="117">
        <v>0</v>
      </c>
      <c r="M50" s="117">
        <v>0.87002278607166805</v>
      </c>
      <c r="N50" s="117">
        <v>0</v>
      </c>
      <c r="O50" s="117">
        <v>0</v>
      </c>
      <c r="P50" s="117">
        <v>0</v>
      </c>
      <c r="Q50" s="117">
        <v>54.824655762459699</v>
      </c>
      <c r="R50" s="117">
        <v>8.6505544155669192</v>
      </c>
      <c r="S50" s="117">
        <v>0</v>
      </c>
      <c r="T50" s="117">
        <v>0</v>
      </c>
      <c r="U50" s="117">
        <v>0</v>
      </c>
      <c r="V50" s="117">
        <v>0</v>
      </c>
      <c r="W50" s="117">
        <v>0</v>
      </c>
      <c r="X50" s="117">
        <v>40.1631118025674</v>
      </c>
      <c r="Y50" s="117">
        <v>0</v>
      </c>
      <c r="Z50" s="117">
        <v>0</v>
      </c>
      <c r="AA50" s="117">
        <v>130.373947528028</v>
      </c>
      <c r="AB50" s="117">
        <v>0</v>
      </c>
      <c r="AC50" s="117">
        <v>0</v>
      </c>
      <c r="AD50" s="117">
        <v>0</v>
      </c>
      <c r="AE50" s="117">
        <v>19.998978780832001</v>
      </c>
      <c r="AF50" s="117">
        <v>0</v>
      </c>
      <c r="AG50" s="117">
        <v>2.6452433651704101</v>
      </c>
      <c r="AH50" s="117">
        <v>0</v>
      </c>
      <c r="AI50" s="117">
        <v>0</v>
      </c>
      <c r="AJ50" s="117">
        <v>0</v>
      </c>
      <c r="AK50" s="117">
        <v>0</v>
      </c>
      <c r="AL50" s="117">
        <v>9.6665100983769605</v>
      </c>
      <c r="AM50" s="117">
        <v>0</v>
      </c>
      <c r="AN50" s="117">
        <v>118.59746504803</v>
      </c>
      <c r="AO50" s="117">
        <v>0</v>
      </c>
      <c r="AP50" s="117">
        <v>0</v>
      </c>
      <c r="AQ50" s="117">
        <v>0</v>
      </c>
      <c r="AR50" s="117">
        <v>0</v>
      </c>
      <c r="AS50" s="117">
        <v>0</v>
      </c>
      <c r="AT50" s="118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E7D2-D47A-4D64-9A23-8D7BD558CE84}">
  <dimension ref="B1:AT50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2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19" t="s">
        <v>1075</v>
      </c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</row>
    <row r="2" spans="2:46" ht="12" customHeight="1" x14ac:dyDescent="0.3">
      <c r="L2" s="120" t="s">
        <v>394</v>
      </c>
      <c r="M2" s="120"/>
      <c r="N2" s="120"/>
      <c r="O2" s="120"/>
      <c r="P2" s="120"/>
      <c r="Q2" s="120"/>
      <c r="R2" s="120"/>
      <c r="S2" s="121"/>
      <c r="T2" s="120" t="s">
        <v>403</v>
      </c>
      <c r="U2" s="120"/>
      <c r="V2" s="120"/>
      <c r="W2" s="120"/>
      <c r="X2" s="120"/>
      <c r="Y2" s="120"/>
      <c r="Z2" s="121"/>
      <c r="AA2" s="122" t="s">
        <v>411</v>
      </c>
      <c r="AB2" s="120" t="s">
        <v>25</v>
      </c>
      <c r="AC2" s="120"/>
      <c r="AD2" s="121"/>
      <c r="AE2" s="120" t="s">
        <v>1074</v>
      </c>
      <c r="AF2" s="120"/>
      <c r="AG2" s="120"/>
      <c r="AH2" s="121"/>
      <c r="AI2" s="120" t="s">
        <v>394</v>
      </c>
      <c r="AJ2" s="120"/>
      <c r="AK2" s="120"/>
      <c r="AL2" s="120"/>
      <c r="AM2" s="121"/>
      <c r="AN2" s="122" t="s">
        <v>425</v>
      </c>
      <c r="AO2" s="120" t="s">
        <v>403</v>
      </c>
      <c r="AP2" s="120"/>
      <c r="AQ2" s="120"/>
      <c r="AR2" s="120"/>
      <c r="AS2" s="121"/>
      <c r="AT2" s="123" t="s">
        <v>1074</v>
      </c>
    </row>
    <row r="3" spans="2:46" ht="12" customHeight="1" x14ac:dyDescent="0.3">
      <c r="B3" s="110" t="s">
        <v>69</v>
      </c>
      <c r="C3" s="111" t="s">
        <v>70</v>
      </c>
      <c r="D3" s="111" t="s">
        <v>71</v>
      </c>
      <c r="E3" s="111" t="s">
        <v>72</v>
      </c>
      <c r="F3" s="111" t="s">
        <v>73</v>
      </c>
      <c r="G3" s="111" t="s">
        <v>75</v>
      </c>
      <c r="H3" s="111" t="s">
        <v>76</v>
      </c>
      <c r="I3" s="111" t="s">
        <v>672</v>
      </c>
      <c r="J3" s="111" t="s">
        <v>1036</v>
      </c>
      <c r="K3" s="111" t="s">
        <v>1037</v>
      </c>
      <c r="L3" s="111" t="s">
        <v>1038</v>
      </c>
      <c r="M3" s="111" t="s">
        <v>1039</v>
      </c>
      <c r="N3" s="111" t="s">
        <v>1040</v>
      </c>
      <c r="O3" s="111" t="s">
        <v>1041</v>
      </c>
      <c r="P3" s="111" t="s">
        <v>1042</v>
      </c>
      <c r="Q3" s="111" t="s">
        <v>1043</v>
      </c>
      <c r="R3" s="111" t="s">
        <v>1044</v>
      </c>
      <c r="S3" s="111" t="s">
        <v>1045</v>
      </c>
      <c r="T3" s="111" t="s">
        <v>1046</v>
      </c>
      <c r="U3" s="111" t="s">
        <v>1047</v>
      </c>
      <c r="V3" s="111" t="s">
        <v>1048</v>
      </c>
      <c r="W3" s="111" t="s">
        <v>1049</v>
      </c>
      <c r="X3" s="111" t="s">
        <v>1050</v>
      </c>
      <c r="Y3" s="111" t="s">
        <v>1051</v>
      </c>
      <c r="Z3" s="111" t="s">
        <v>1052</v>
      </c>
      <c r="AA3" s="111" t="s">
        <v>1053</v>
      </c>
      <c r="AB3" s="111" t="s">
        <v>1054</v>
      </c>
      <c r="AC3" s="111" t="s">
        <v>1055</v>
      </c>
      <c r="AD3" s="111" t="s">
        <v>1056</v>
      </c>
      <c r="AE3" s="111" t="s">
        <v>1057</v>
      </c>
      <c r="AF3" s="111" t="s">
        <v>1058</v>
      </c>
      <c r="AG3" s="111" t="s">
        <v>1059</v>
      </c>
      <c r="AH3" s="111" t="s">
        <v>1060</v>
      </c>
      <c r="AI3" s="111" t="s">
        <v>1061</v>
      </c>
      <c r="AJ3" s="111" t="s">
        <v>1062</v>
      </c>
      <c r="AK3" s="111" t="s">
        <v>1063</v>
      </c>
      <c r="AL3" s="111" t="s">
        <v>1064</v>
      </c>
      <c r="AM3" s="111" t="s">
        <v>1065</v>
      </c>
      <c r="AN3" s="111" t="s">
        <v>1066</v>
      </c>
      <c r="AO3" s="111" t="s">
        <v>1067</v>
      </c>
      <c r="AP3" s="111" t="s">
        <v>1068</v>
      </c>
      <c r="AQ3" s="111" t="s">
        <v>1069</v>
      </c>
      <c r="AR3" s="111" t="s">
        <v>1070</v>
      </c>
      <c r="AS3" s="111" t="s">
        <v>1071</v>
      </c>
      <c r="AT3" s="112" t="s">
        <v>1072</v>
      </c>
    </row>
    <row r="4" spans="2:46" ht="12" customHeight="1" x14ac:dyDescent="0.3">
      <c r="B4" s="113" t="s">
        <v>34</v>
      </c>
      <c r="C4" s="114" t="s">
        <v>35</v>
      </c>
      <c r="D4" s="114" t="s">
        <v>25</v>
      </c>
      <c r="E4" s="114" t="s">
        <v>25</v>
      </c>
      <c r="F4" s="114" t="s">
        <v>87</v>
      </c>
      <c r="G4" s="114" t="s">
        <v>36</v>
      </c>
      <c r="H4" s="114" t="s">
        <v>79</v>
      </c>
      <c r="I4" s="114" t="s">
        <v>25</v>
      </c>
      <c r="J4" s="114">
        <v>21.94</v>
      </c>
      <c r="K4" s="114">
        <v>0</v>
      </c>
      <c r="L4" s="114">
        <v>0</v>
      </c>
      <c r="M4" s="114">
        <v>0.78450638565974695</v>
      </c>
      <c r="N4" s="114">
        <v>0</v>
      </c>
      <c r="O4" s="114">
        <v>0</v>
      </c>
      <c r="P4" s="114">
        <v>0</v>
      </c>
      <c r="Q4" s="114">
        <v>0</v>
      </c>
      <c r="R4" s="114">
        <v>0</v>
      </c>
      <c r="S4" s="114">
        <v>0</v>
      </c>
      <c r="T4" s="114">
        <v>0</v>
      </c>
      <c r="U4" s="114">
        <v>0</v>
      </c>
      <c r="V4" s="114">
        <v>0</v>
      </c>
      <c r="W4" s="114">
        <v>0</v>
      </c>
      <c r="X4" s="114">
        <v>0</v>
      </c>
      <c r="Y4" s="114">
        <v>0</v>
      </c>
      <c r="Z4" s="114">
        <v>0</v>
      </c>
      <c r="AA4" s="114">
        <v>0</v>
      </c>
      <c r="AB4" s="114">
        <v>0</v>
      </c>
      <c r="AC4" s="114">
        <v>0</v>
      </c>
      <c r="AD4" s="114">
        <v>0</v>
      </c>
      <c r="AE4" s="114">
        <v>17.8606031996826</v>
      </c>
      <c r="AF4" s="114">
        <v>0</v>
      </c>
      <c r="AG4" s="114">
        <v>3.2965324514315002</v>
      </c>
      <c r="AH4" s="114">
        <v>0</v>
      </c>
      <c r="AI4" s="114">
        <v>0</v>
      </c>
      <c r="AJ4" s="114">
        <v>0</v>
      </c>
      <c r="AK4" s="114">
        <v>0</v>
      </c>
      <c r="AL4" s="114">
        <v>0</v>
      </c>
      <c r="AM4" s="114">
        <v>0</v>
      </c>
      <c r="AN4" s="114">
        <v>0</v>
      </c>
      <c r="AO4" s="114">
        <v>0</v>
      </c>
      <c r="AP4" s="114">
        <v>0</v>
      </c>
      <c r="AQ4" s="114">
        <v>0</v>
      </c>
      <c r="AR4" s="114">
        <v>0</v>
      </c>
      <c r="AS4" s="114">
        <v>0</v>
      </c>
      <c r="AT4" s="115">
        <v>0</v>
      </c>
    </row>
    <row r="5" spans="2:46" ht="12" customHeight="1" x14ac:dyDescent="0.3">
      <c r="B5" s="113" t="s">
        <v>34</v>
      </c>
      <c r="C5" s="114" t="s">
        <v>35</v>
      </c>
      <c r="D5" s="114" t="s">
        <v>25</v>
      </c>
      <c r="E5" s="114" t="s">
        <v>25</v>
      </c>
      <c r="F5" s="114" t="s">
        <v>87</v>
      </c>
      <c r="G5" s="114" t="s">
        <v>36</v>
      </c>
      <c r="H5" s="114" t="s">
        <v>84</v>
      </c>
      <c r="I5" s="114" t="s">
        <v>25</v>
      </c>
      <c r="J5" s="114">
        <v>87.11</v>
      </c>
      <c r="K5" s="114">
        <v>0</v>
      </c>
      <c r="L5" s="114">
        <v>0</v>
      </c>
      <c r="M5" s="114">
        <v>0</v>
      </c>
      <c r="N5" s="114">
        <v>0</v>
      </c>
      <c r="O5" s="114">
        <v>0</v>
      </c>
      <c r="P5" s="114">
        <v>0</v>
      </c>
      <c r="Q5" s="114">
        <v>0</v>
      </c>
      <c r="R5" s="114">
        <v>0</v>
      </c>
      <c r="S5" s="114">
        <v>0</v>
      </c>
      <c r="T5" s="114">
        <v>0</v>
      </c>
      <c r="U5" s="114">
        <v>0</v>
      </c>
      <c r="V5" s="114">
        <v>0</v>
      </c>
      <c r="W5" s="114">
        <v>0</v>
      </c>
      <c r="X5" s="114">
        <v>19.340319005479</v>
      </c>
      <c r="Y5" s="114">
        <v>0</v>
      </c>
      <c r="Z5" s="114">
        <v>0</v>
      </c>
      <c r="AA5" s="114">
        <v>67.765800270077094</v>
      </c>
      <c r="AB5" s="114">
        <v>0</v>
      </c>
      <c r="AC5" s="114">
        <v>0</v>
      </c>
      <c r="AD5" s="114">
        <v>0</v>
      </c>
      <c r="AE5" s="114">
        <v>0</v>
      </c>
      <c r="AF5" s="114">
        <v>0</v>
      </c>
      <c r="AG5" s="114">
        <v>0</v>
      </c>
      <c r="AH5" s="114">
        <v>0</v>
      </c>
      <c r="AI5" s="114">
        <v>0</v>
      </c>
      <c r="AJ5" s="114">
        <v>0</v>
      </c>
      <c r="AK5" s="114">
        <v>0</v>
      </c>
      <c r="AL5" s="114">
        <v>0</v>
      </c>
      <c r="AM5" s="114">
        <v>0</v>
      </c>
      <c r="AN5" s="114">
        <v>0</v>
      </c>
      <c r="AO5" s="114">
        <v>0</v>
      </c>
      <c r="AP5" s="114">
        <v>0</v>
      </c>
      <c r="AQ5" s="114">
        <v>0</v>
      </c>
      <c r="AR5" s="114">
        <v>0</v>
      </c>
      <c r="AS5" s="114">
        <v>0</v>
      </c>
      <c r="AT5" s="115">
        <v>0</v>
      </c>
    </row>
    <row r="6" spans="2:46" ht="12" customHeight="1" x14ac:dyDescent="0.3">
      <c r="B6" s="113" t="s">
        <v>34</v>
      </c>
      <c r="C6" s="114" t="s">
        <v>35</v>
      </c>
      <c r="D6" s="114" t="s">
        <v>25</v>
      </c>
      <c r="E6" s="114" t="s">
        <v>25</v>
      </c>
      <c r="F6" s="114" t="s">
        <v>87</v>
      </c>
      <c r="G6" s="114" t="s">
        <v>37</v>
      </c>
      <c r="H6" s="114" t="s">
        <v>79</v>
      </c>
      <c r="I6" s="114" t="s">
        <v>25</v>
      </c>
      <c r="J6" s="114">
        <v>21.94</v>
      </c>
      <c r="K6" s="114">
        <v>0</v>
      </c>
      <c r="L6" s="114">
        <v>0</v>
      </c>
      <c r="M6" s="114">
        <v>0.78450638565974695</v>
      </c>
      <c r="N6" s="114">
        <v>0</v>
      </c>
      <c r="O6" s="114">
        <v>0</v>
      </c>
      <c r="P6" s="114">
        <v>0</v>
      </c>
      <c r="Q6" s="114">
        <v>0</v>
      </c>
      <c r="R6" s="114">
        <v>0</v>
      </c>
      <c r="S6" s="114">
        <v>0</v>
      </c>
      <c r="T6" s="114">
        <v>0</v>
      </c>
      <c r="U6" s="114">
        <v>0</v>
      </c>
      <c r="V6" s="114">
        <v>0</v>
      </c>
      <c r="W6" s="114">
        <v>0</v>
      </c>
      <c r="X6" s="114">
        <v>0</v>
      </c>
      <c r="Y6" s="114">
        <v>0</v>
      </c>
      <c r="Z6" s="114">
        <v>0</v>
      </c>
      <c r="AA6" s="114">
        <v>0</v>
      </c>
      <c r="AB6" s="114">
        <v>0</v>
      </c>
      <c r="AC6" s="114">
        <v>0</v>
      </c>
      <c r="AD6" s="114">
        <v>0</v>
      </c>
      <c r="AE6" s="114">
        <v>17.8606031996826</v>
      </c>
      <c r="AF6" s="114">
        <v>0</v>
      </c>
      <c r="AG6" s="114">
        <v>3.2965324514315002</v>
      </c>
      <c r="AH6" s="114">
        <v>0</v>
      </c>
      <c r="AI6" s="114">
        <v>0</v>
      </c>
      <c r="AJ6" s="114">
        <v>0</v>
      </c>
      <c r="AK6" s="114">
        <v>0</v>
      </c>
      <c r="AL6" s="114">
        <v>0</v>
      </c>
      <c r="AM6" s="114">
        <v>0</v>
      </c>
      <c r="AN6" s="114">
        <v>0</v>
      </c>
      <c r="AO6" s="114">
        <v>0</v>
      </c>
      <c r="AP6" s="114">
        <v>0</v>
      </c>
      <c r="AQ6" s="114">
        <v>0</v>
      </c>
      <c r="AR6" s="114">
        <v>0</v>
      </c>
      <c r="AS6" s="114">
        <v>0</v>
      </c>
      <c r="AT6" s="115">
        <v>0</v>
      </c>
    </row>
    <row r="7" spans="2:46" ht="12" customHeight="1" x14ac:dyDescent="0.3">
      <c r="B7" s="113" t="s">
        <v>34</v>
      </c>
      <c r="C7" s="114" t="s">
        <v>35</v>
      </c>
      <c r="D7" s="114" t="s">
        <v>25</v>
      </c>
      <c r="E7" s="114" t="s">
        <v>25</v>
      </c>
      <c r="F7" s="114" t="s">
        <v>87</v>
      </c>
      <c r="G7" s="114" t="s">
        <v>37</v>
      </c>
      <c r="H7" s="114" t="s">
        <v>84</v>
      </c>
      <c r="I7" s="114" t="s">
        <v>25</v>
      </c>
      <c r="J7" s="114">
        <v>29.68</v>
      </c>
      <c r="K7" s="114">
        <v>0</v>
      </c>
      <c r="L7" s="114">
        <v>0</v>
      </c>
      <c r="M7" s="114">
        <v>0</v>
      </c>
      <c r="N7" s="114">
        <v>0</v>
      </c>
      <c r="O7" s="114">
        <v>0</v>
      </c>
      <c r="P7" s="114">
        <v>0</v>
      </c>
      <c r="Q7" s="114">
        <v>0</v>
      </c>
      <c r="R7" s="114">
        <v>0</v>
      </c>
      <c r="S7" s="114">
        <v>0</v>
      </c>
      <c r="T7" s="114">
        <v>0</v>
      </c>
      <c r="U7" s="114">
        <v>0</v>
      </c>
      <c r="V7" s="114">
        <v>0</v>
      </c>
      <c r="W7" s="114">
        <v>0</v>
      </c>
      <c r="X7" s="114">
        <v>11.132753377603199</v>
      </c>
      <c r="Y7" s="114">
        <v>0</v>
      </c>
      <c r="Z7" s="114">
        <v>0</v>
      </c>
      <c r="AA7" s="114">
        <v>18.547289795628</v>
      </c>
      <c r="AB7" s="114">
        <v>0</v>
      </c>
      <c r="AC7" s="114">
        <v>0</v>
      </c>
      <c r="AD7" s="114">
        <v>0</v>
      </c>
      <c r="AE7" s="114">
        <v>0</v>
      </c>
      <c r="AF7" s="114">
        <v>0</v>
      </c>
      <c r="AG7" s="114">
        <v>0</v>
      </c>
      <c r="AH7" s="114">
        <v>0</v>
      </c>
      <c r="AI7" s="114">
        <v>0</v>
      </c>
      <c r="AJ7" s="114">
        <v>0</v>
      </c>
      <c r="AK7" s="114">
        <v>0</v>
      </c>
      <c r="AL7" s="114">
        <v>0</v>
      </c>
      <c r="AM7" s="114">
        <v>0</v>
      </c>
      <c r="AN7" s="114">
        <v>0</v>
      </c>
      <c r="AO7" s="114">
        <v>0</v>
      </c>
      <c r="AP7" s="114">
        <v>0</v>
      </c>
      <c r="AQ7" s="114">
        <v>0</v>
      </c>
      <c r="AR7" s="114">
        <v>0</v>
      </c>
      <c r="AS7" s="114">
        <v>0</v>
      </c>
      <c r="AT7" s="115">
        <v>0</v>
      </c>
    </row>
    <row r="8" spans="2:46" ht="12" customHeight="1" x14ac:dyDescent="0.3">
      <c r="B8" s="113" t="s">
        <v>34</v>
      </c>
      <c r="C8" s="114" t="s">
        <v>35</v>
      </c>
      <c r="D8" s="114" t="s">
        <v>25</v>
      </c>
      <c r="E8" s="114" t="s">
        <v>25</v>
      </c>
      <c r="F8" s="114" t="s">
        <v>25</v>
      </c>
      <c r="G8" s="114" t="s">
        <v>36</v>
      </c>
      <c r="H8" s="114" t="s">
        <v>79</v>
      </c>
      <c r="I8" s="114" t="s">
        <v>25</v>
      </c>
      <c r="J8" s="114">
        <v>112.48</v>
      </c>
      <c r="K8" s="114">
        <v>227.53</v>
      </c>
      <c r="L8" s="114">
        <v>0</v>
      </c>
      <c r="M8" s="114">
        <v>0.78450638565974695</v>
      </c>
      <c r="N8" s="114">
        <v>0</v>
      </c>
      <c r="O8" s="114">
        <v>0</v>
      </c>
      <c r="P8" s="114">
        <v>0</v>
      </c>
      <c r="Q8" s="114">
        <v>76.206097716193597</v>
      </c>
      <c r="R8" s="114">
        <v>14.3368846509213</v>
      </c>
      <c r="S8" s="114">
        <v>0</v>
      </c>
      <c r="T8" s="114">
        <v>0</v>
      </c>
      <c r="U8" s="114">
        <v>0</v>
      </c>
      <c r="V8" s="114">
        <v>0</v>
      </c>
      <c r="W8" s="114">
        <v>0</v>
      </c>
      <c r="X8" s="114">
        <v>0</v>
      </c>
      <c r="Y8" s="114">
        <v>0</v>
      </c>
      <c r="Z8" s="114">
        <v>0</v>
      </c>
      <c r="AA8" s="114">
        <v>0</v>
      </c>
      <c r="AB8" s="114">
        <v>0</v>
      </c>
      <c r="AC8" s="114">
        <v>0</v>
      </c>
      <c r="AD8" s="114">
        <v>0</v>
      </c>
      <c r="AE8" s="114">
        <v>17.8606031996826</v>
      </c>
      <c r="AF8" s="114">
        <v>0</v>
      </c>
      <c r="AG8" s="114">
        <v>3.2965324514315002</v>
      </c>
      <c r="AH8" s="114">
        <v>0</v>
      </c>
      <c r="AI8" s="114">
        <v>0</v>
      </c>
      <c r="AJ8" s="114">
        <v>0</v>
      </c>
      <c r="AK8" s="114">
        <v>0</v>
      </c>
      <c r="AL8" s="114">
        <v>16.110850163961601</v>
      </c>
      <c r="AM8" s="114">
        <v>0</v>
      </c>
      <c r="AN8" s="114">
        <v>211.41436462921899</v>
      </c>
      <c r="AO8" s="114">
        <v>0</v>
      </c>
      <c r="AP8" s="114">
        <v>0</v>
      </c>
      <c r="AQ8" s="114">
        <v>0</v>
      </c>
      <c r="AR8" s="114">
        <v>0</v>
      </c>
      <c r="AS8" s="114">
        <v>0</v>
      </c>
      <c r="AT8" s="115">
        <v>0</v>
      </c>
    </row>
    <row r="9" spans="2:46" ht="12" customHeight="1" x14ac:dyDescent="0.3">
      <c r="B9" s="113" t="s">
        <v>34</v>
      </c>
      <c r="C9" s="114" t="s">
        <v>35</v>
      </c>
      <c r="D9" s="114" t="s">
        <v>25</v>
      </c>
      <c r="E9" s="114" t="s">
        <v>25</v>
      </c>
      <c r="F9" s="114" t="s">
        <v>25</v>
      </c>
      <c r="G9" s="114" t="s">
        <v>36</v>
      </c>
      <c r="H9" s="114" t="s">
        <v>84</v>
      </c>
      <c r="I9" s="114" t="s">
        <v>25</v>
      </c>
      <c r="J9" s="114">
        <v>87.11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19.340319005479</v>
      </c>
      <c r="Y9" s="114">
        <v>0</v>
      </c>
      <c r="Z9" s="114">
        <v>0</v>
      </c>
      <c r="AA9" s="114">
        <v>67.765800270077094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4">
        <v>0</v>
      </c>
      <c r="AQ9" s="114">
        <v>0</v>
      </c>
      <c r="AR9" s="114">
        <v>0</v>
      </c>
      <c r="AS9" s="114">
        <v>0</v>
      </c>
      <c r="AT9" s="115">
        <v>0</v>
      </c>
    </row>
    <row r="10" spans="2:46" ht="12" customHeight="1" x14ac:dyDescent="0.3">
      <c r="B10" s="113" t="s">
        <v>34</v>
      </c>
      <c r="C10" s="114" t="s">
        <v>35</v>
      </c>
      <c r="D10" s="114" t="s">
        <v>25</v>
      </c>
      <c r="E10" s="114" t="s">
        <v>25</v>
      </c>
      <c r="F10" s="114" t="s">
        <v>25</v>
      </c>
      <c r="G10" s="114" t="s">
        <v>37</v>
      </c>
      <c r="H10" s="114" t="s">
        <v>79</v>
      </c>
      <c r="I10" s="114" t="s">
        <v>25</v>
      </c>
      <c r="J10" s="114">
        <v>112.48</v>
      </c>
      <c r="K10" s="114">
        <v>227.53</v>
      </c>
      <c r="L10" s="114">
        <v>0</v>
      </c>
      <c r="M10" s="114">
        <v>0.78450638565974695</v>
      </c>
      <c r="N10" s="114">
        <v>0</v>
      </c>
      <c r="O10" s="114">
        <v>0</v>
      </c>
      <c r="P10" s="114">
        <v>0</v>
      </c>
      <c r="Q10" s="114">
        <v>76.206097716193597</v>
      </c>
      <c r="R10" s="114">
        <v>14.3368846509213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17.8606031996826</v>
      </c>
      <c r="AF10" s="114">
        <v>0</v>
      </c>
      <c r="AG10" s="114">
        <v>3.2965324514315002</v>
      </c>
      <c r="AH10" s="114">
        <v>0</v>
      </c>
      <c r="AI10" s="114">
        <v>0</v>
      </c>
      <c r="AJ10" s="114">
        <v>0</v>
      </c>
      <c r="AK10" s="114">
        <v>0</v>
      </c>
      <c r="AL10" s="114">
        <v>16.110850163961601</v>
      </c>
      <c r="AM10" s="114">
        <v>0</v>
      </c>
      <c r="AN10" s="114">
        <v>211.41436462921899</v>
      </c>
      <c r="AO10" s="114">
        <v>0</v>
      </c>
      <c r="AP10" s="114">
        <v>0</v>
      </c>
      <c r="AQ10" s="114">
        <v>0</v>
      </c>
      <c r="AR10" s="114">
        <v>0</v>
      </c>
      <c r="AS10" s="114">
        <v>0</v>
      </c>
      <c r="AT10" s="115">
        <v>0</v>
      </c>
    </row>
    <row r="11" spans="2:46" ht="12" customHeight="1" x14ac:dyDescent="0.3">
      <c r="B11" s="113" t="s">
        <v>34</v>
      </c>
      <c r="C11" s="114" t="s">
        <v>35</v>
      </c>
      <c r="D11" s="114" t="s">
        <v>25</v>
      </c>
      <c r="E11" s="114" t="s">
        <v>25</v>
      </c>
      <c r="F11" s="114" t="s">
        <v>25</v>
      </c>
      <c r="G11" s="114" t="s">
        <v>37</v>
      </c>
      <c r="H11" s="114" t="s">
        <v>84</v>
      </c>
      <c r="I11" s="114" t="s">
        <v>25</v>
      </c>
      <c r="J11" s="114">
        <v>29.68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11.132753377603199</v>
      </c>
      <c r="Y11" s="114">
        <v>0</v>
      </c>
      <c r="Z11" s="114">
        <v>0</v>
      </c>
      <c r="AA11" s="114">
        <v>18.547289795628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4">
        <v>0</v>
      </c>
      <c r="AQ11" s="114">
        <v>0</v>
      </c>
      <c r="AR11" s="114">
        <v>0</v>
      </c>
      <c r="AS11" s="114">
        <v>0</v>
      </c>
      <c r="AT11" s="115">
        <v>0</v>
      </c>
    </row>
    <row r="12" spans="2:46" ht="12" customHeight="1" x14ac:dyDescent="0.3">
      <c r="B12" s="113" t="s">
        <v>34</v>
      </c>
      <c r="C12" s="114" t="s">
        <v>23</v>
      </c>
      <c r="D12" s="114" t="s">
        <v>25</v>
      </c>
      <c r="E12" s="114" t="s">
        <v>25</v>
      </c>
      <c r="F12" s="114" t="s">
        <v>25</v>
      </c>
      <c r="G12" s="114" t="s">
        <v>25</v>
      </c>
      <c r="H12" s="114" t="s">
        <v>79</v>
      </c>
      <c r="I12" s="114" t="s">
        <v>25</v>
      </c>
      <c r="J12" s="114">
        <v>0</v>
      </c>
      <c r="K12" s="114">
        <v>227.53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16.110850163961601</v>
      </c>
      <c r="AM12" s="114">
        <v>0</v>
      </c>
      <c r="AN12" s="114">
        <v>211.41436462921899</v>
      </c>
      <c r="AO12" s="114">
        <v>0</v>
      </c>
      <c r="AP12" s="114">
        <v>0</v>
      </c>
      <c r="AQ12" s="114">
        <v>0</v>
      </c>
      <c r="AR12" s="114">
        <v>0</v>
      </c>
      <c r="AS12" s="114">
        <v>0</v>
      </c>
      <c r="AT12" s="115">
        <v>0</v>
      </c>
    </row>
    <row r="13" spans="2:46" ht="12" customHeight="1" x14ac:dyDescent="0.3">
      <c r="B13" s="113" t="s">
        <v>34</v>
      </c>
      <c r="C13" s="114" t="s">
        <v>56</v>
      </c>
      <c r="D13" s="114" t="s">
        <v>25</v>
      </c>
      <c r="E13" s="114" t="s">
        <v>25</v>
      </c>
      <c r="F13" s="114" t="s">
        <v>25</v>
      </c>
      <c r="G13" s="114" t="s">
        <v>25</v>
      </c>
      <c r="H13" s="114" t="s">
        <v>84</v>
      </c>
      <c r="I13" s="114" t="s">
        <v>25</v>
      </c>
      <c r="J13" s="114">
        <v>10.36</v>
      </c>
      <c r="K13" s="114">
        <v>0</v>
      </c>
      <c r="L13" s="114">
        <v>0</v>
      </c>
      <c r="M13" s="114">
        <v>1.1593584215721001E-2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0</v>
      </c>
      <c r="Y13" s="114">
        <v>0</v>
      </c>
      <c r="Z13" s="114">
        <v>0</v>
      </c>
      <c r="AA13" s="114">
        <v>10.351745529716201</v>
      </c>
      <c r="AB13" s="114">
        <v>0</v>
      </c>
      <c r="AC13" s="114">
        <v>0</v>
      </c>
      <c r="AD13" s="114">
        <v>0</v>
      </c>
      <c r="AE13" s="114">
        <v>8.3223536646393902E-4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4">
        <v>0</v>
      </c>
      <c r="AQ13" s="114">
        <v>0</v>
      </c>
      <c r="AR13" s="114">
        <v>0</v>
      </c>
      <c r="AS13" s="114">
        <v>0</v>
      </c>
      <c r="AT13" s="115">
        <v>0</v>
      </c>
    </row>
    <row r="14" spans="2:46" ht="12" customHeight="1" x14ac:dyDescent="0.3">
      <c r="B14" s="113" t="s">
        <v>34</v>
      </c>
      <c r="C14" s="114" t="s">
        <v>38</v>
      </c>
      <c r="D14" s="114" t="s">
        <v>25</v>
      </c>
      <c r="E14" s="114" t="s">
        <v>25</v>
      </c>
      <c r="F14" s="114" t="s">
        <v>87</v>
      </c>
      <c r="G14" s="114" t="s">
        <v>36</v>
      </c>
      <c r="H14" s="114" t="s">
        <v>79</v>
      </c>
      <c r="I14" s="114" t="s">
        <v>25</v>
      </c>
      <c r="J14" s="114">
        <v>2117.1</v>
      </c>
      <c r="K14" s="114">
        <v>0</v>
      </c>
      <c r="L14" s="114">
        <v>0</v>
      </c>
      <c r="M14" s="114">
        <v>0.78450638565974695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465.388851017305</v>
      </c>
      <c r="Y14" s="114">
        <v>0</v>
      </c>
      <c r="Z14" s="114">
        <v>0</v>
      </c>
      <c r="AA14" s="114">
        <v>1629.7663512343499</v>
      </c>
      <c r="AB14" s="114">
        <v>0</v>
      </c>
      <c r="AC14" s="114">
        <v>0</v>
      </c>
      <c r="AD14" s="114">
        <v>0</v>
      </c>
      <c r="AE14" s="114">
        <v>17.8606031996826</v>
      </c>
      <c r="AF14" s="114">
        <v>0</v>
      </c>
      <c r="AG14" s="114">
        <v>3.2965324514315002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4">
        <v>0</v>
      </c>
      <c r="AQ14" s="114">
        <v>0</v>
      </c>
      <c r="AR14" s="114">
        <v>0</v>
      </c>
      <c r="AS14" s="114">
        <v>0</v>
      </c>
      <c r="AT14" s="115">
        <v>0</v>
      </c>
    </row>
    <row r="15" spans="2:46" ht="12" customHeight="1" x14ac:dyDescent="0.3">
      <c r="B15" s="113" t="s">
        <v>34</v>
      </c>
      <c r="C15" s="114" t="s">
        <v>38</v>
      </c>
      <c r="D15" s="114" t="s">
        <v>25</v>
      </c>
      <c r="E15" s="114" t="s">
        <v>25</v>
      </c>
      <c r="F15" s="114" t="s">
        <v>87</v>
      </c>
      <c r="G15" s="114" t="s">
        <v>25</v>
      </c>
      <c r="H15" s="114" t="s">
        <v>84</v>
      </c>
      <c r="I15" s="114" t="s">
        <v>25</v>
      </c>
      <c r="J15" s="114">
        <v>29.68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11.132753377603199</v>
      </c>
      <c r="Y15" s="114">
        <v>0</v>
      </c>
      <c r="Z15" s="114">
        <v>0</v>
      </c>
      <c r="AA15" s="114">
        <v>18.547289795628</v>
      </c>
      <c r="AB15" s="114">
        <v>0</v>
      </c>
      <c r="AC15" s="114">
        <v>0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14">
        <v>0</v>
      </c>
      <c r="AT15" s="115">
        <v>0</v>
      </c>
    </row>
    <row r="16" spans="2:46" ht="12" customHeight="1" x14ac:dyDescent="0.3">
      <c r="B16" s="113" t="s">
        <v>34</v>
      </c>
      <c r="C16" s="114" t="s">
        <v>38</v>
      </c>
      <c r="D16" s="114" t="s">
        <v>25</v>
      </c>
      <c r="E16" s="114" t="s">
        <v>25</v>
      </c>
      <c r="F16" s="114" t="s">
        <v>87</v>
      </c>
      <c r="G16" s="114" t="s">
        <v>37</v>
      </c>
      <c r="H16" s="114" t="s">
        <v>79</v>
      </c>
      <c r="I16" s="114" t="s">
        <v>25</v>
      </c>
      <c r="J16" s="114">
        <v>21.94</v>
      </c>
      <c r="K16" s="114">
        <v>0</v>
      </c>
      <c r="L16" s="114">
        <v>0</v>
      </c>
      <c r="M16" s="114">
        <v>0.78450638565974695</v>
      </c>
      <c r="N16" s="114">
        <v>0</v>
      </c>
      <c r="O16" s="114">
        <v>0</v>
      </c>
      <c r="P16" s="114">
        <v>0</v>
      </c>
      <c r="Q16" s="114">
        <v>0</v>
      </c>
      <c r="R16" s="114">
        <v>0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0</v>
      </c>
      <c r="Y16" s="114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17.8606031996826</v>
      </c>
      <c r="AF16" s="114">
        <v>0</v>
      </c>
      <c r="AG16" s="114">
        <v>3.2965324514315002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0</v>
      </c>
      <c r="AO16" s="114">
        <v>0</v>
      </c>
      <c r="AP16" s="114">
        <v>0</v>
      </c>
      <c r="AQ16" s="114">
        <v>0</v>
      </c>
      <c r="AR16" s="114">
        <v>0</v>
      </c>
      <c r="AS16" s="114">
        <v>0</v>
      </c>
      <c r="AT16" s="115">
        <v>0</v>
      </c>
    </row>
    <row r="17" spans="2:46" ht="12" customHeight="1" x14ac:dyDescent="0.3">
      <c r="B17" s="113" t="s">
        <v>34</v>
      </c>
      <c r="C17" s="114" t="s">
        <v>38</v>
      </c>
      <c r="D17" s="114" t="s">
        <v>25</v>
      </c>
      <c r="E17" s="114" t="s">
        <v>25</v>
      </c>
      <c r="F17" s="114" t="s">
        <v>25</v>
      </c>
      <c r="G17" s="114" t="s">
        <v>36</v>
      </c>
      <c r="H17" s="114" t="s">
        <v>79</v>
      </c>
      <c r="I17" s="114" t="s">
        <v>25</v>
      </c>
      <c r="J17" s="114">
        <v>2207.64</v>
      </c>
      <c r="K17" s="114">
        <v>227.53</v>
      </c>
      <c r="L17" s="114">
        <v>0</v>
      </c>
      <c r="M17" s="114">
        <v>0.78450638565974695</v>
      </c>
      <c r="N17" s="114">
        <v>0</v>
      </c>
      <c r="O17" s="114">
        <v>0</v>
      </c>
      <c r="P17" s="114">
        <v>0</v>
      </c>
      <c r="Q17" s="114">
        <v>76.206097716193597</v>
      </c>
      <c r="R17" s="114">
        <v>14.3368846509213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465.388851017305</v>
      </c>
      <c r="Y17" s="114">
        <v>0</v>
      </c>
      <c r="Z17" s="114">
        <v>0</v>
      </c>
      <c r="AA17" s="114">
        <v>1629.7663512343499</v>
      </c>
      <c r="AB17" s="114">
        <v>0</v>
      </c>
      <c r="AC17" s="114">
        <v>0</v>
      </c>
      <c r="AD17" s="114">
        <v>0</v>
      </c>
      <c r="AE17" s="114">
        <v>17.8606031996826</v>
      </c>
      <c r="AF17" s="114">
        <v>0</v>
      </c>
      <c r="AG17" s="114">
        <v>3.2965324514315002</v>
      </c>
      <c r="AH17" s="114">
        <v>0</v>
      </c>
      <c r="AI17" s="114">
        <v>0</v>
      </c>
      <c r="AJ17" s="114">
        <v>0</v>
      </c>
      <c r="AK17" s="114">
        <v>0</v>
      </c>
      <c r="AL17" s="114">
        <v>16.110850163961601</v>
      </c>
      <c r="AM17" s="114">
        <v>0</v>
      </c>
      <c r="AN17" s="114">
        <v>211.41436462921899</v>
      </c>
      <c r="AO17" s="114">
        <v>0</v>
      </c>
      <c r="AP17" s="114">
        <v>0</v>
      </c>
      <c r="AQ17" s="114">
        <v>0</v>
      </c>
      <c r="AR17" s="114">
        <v>0</v>
      </c>
      <c r="AS17" s="114">
        <v>0</v>
      </c>
      <c r="AT17" s="115">
        <v>0</v>
      </c>
    </row>
    <row r="18" spans="2:46" ht="12" customHeight="1" x14ac:dyDescent="0.3">
      <c r="B18" s="113" t="s">
        <v>34</v>
      </c>
      <c r="C18" s="114" t="s">
        <v>38</v>
      </c>
      <c r="D18" s="114" t="s">
        <v>25</v>
      </c>
      <c r="E18" s="114" t="s">
        <v>25</v>
      </c>
      <c r="F18" s="114" t="s">
        <v>25</v>
      </c>
      <c r="G18" s="114" t="s">
        <v>25</v>
      </c>
      <c r="H18" s="114" t="s">
        <v>84</v>
      </c>
      <c r="I18" s="114" t="s">
        <v>25</v>
      </c>
      <c r="J18" s="114">
        <v>29.68</v>
      </c>
      <c r="K18" s="114">
        <v>0</v>
      </c>
      <c r="L18" s="114">
        <v>0</v>
      </c>
      <c r="M18" s="114">
        <v>0</v>
      </c>
      <c r="N18" s="114">
        <v>0</v>
      </c>
      <c r="O18" s="114">
        <v>0</v>
      </c>
      <c r="P18" s="114">
        <v>0</v>
      </c>
      <c r="Q18" s="114">
        <v>0</v>
      </c>
      <c r="R18" s="114">
        <v>0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11.132753377603199</v>
      </c>
      <c r="Y18" s="114">
        <v>0</v>
      </c>
      <c r="Z18" s="114">
        <v>0</v>
      </c>
      <c r="AA18" s="114">
        <v>18.547289795628</v>
      </c>
      <c r="AB18" s="114">
        <v>0</v>
      </c>
      <c r="AC18" s="114">
        <v>0</v>
      </c>
      <c r="AD18" s="114">
        <v>0</v>
      </c>
      <c r="AE18" s="114">
        <v>0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4">
        <v>0</v>
      </c>
      <c r="AO18" s="114">
        <v>0</v>
      </c>
      <c r="AP18" s="114">
        <v>0</v>
      </c>
      <c r="AQ18" s="114">
        <v>0</v>
      </c>
      <c r="AR18" s="114">
        <v>0</v>
      </c>
      <c r="AS18" s="114">
        <v>0</v>
      </c>
      <c r="AT18" s="115">
        <v>0</v>
      </c>
    </row>
    <row r="19" spans="2:46" ht="12" customHeight="1" x14ac:dyDescent="0.3">
      <c r="B19" s="113" t="s">
        <v>34</v>
      </c>
      <c r="C19" s="114" t="s">
        <v>38</v>
      </c>
      <c r="D19" s="114" t="s">
        <v>25</v>
      </c>
      <c r="E19" s="114" t="s">
        <v>25</v>
      </c>
      <c r="F19" s="114" t="s">
        <v>25</v>
      </c>
      <c r="G19" s="114" t="s">
        <v>37</v>
      </c>
      <c r="H19" s="114" t="s">
        <v>79</v>
      </c>
      <c r="I19" s="114" t="s">
        <v>25</v>
      </c>
      <c r="J19" s="114">
        <v>112.48</v>
      </c>
      <c r="K19" s="114">
        <v>227.53</v>
      </c>
      <c r="L19" s="114">
        <v>0</v>
      </c>
      <c r="M19" s="114">
        <v>0.78450638565974695</v>
      </c>
      <c r="N19" s="114">
        <v>0</v>
      </c>
      <c r="O19" s="114">
        <v>0</v>
      </c>
      <c r="P19" s="114">
        <v>0</v>
      </c>
      <c r="Q19" s="114">
        <v>76.206097716193597</v>
      </c>
      <c r="R19" s="114">
        <v>14.3368846509213</v>
      </c>
      <c r="S19" s="114">
        <v>0</v>
      </c>
      <c r="T19" s="114">
        <v>0</v>
      </c>
      <c r="U19" s="114">
        <v>0</v>
      </c>
      <c r="V19" s="114">
        <v>0</v>
      </c>
      <c r="W19" s="114">
        <v>0</v>
      </c>
      <c r="X19" s="114">
        <v>0</v>
      </c>
      <c r="Y19" s="114">
        <v>0</v>
      </c>
      <c r="Z19" s="114">
        <v>0</v>
      </c>
      <c r="AA19" s="114">
        <v>0</v>
      </c>
      <c r="AB19" s="114">
        <v>0</v>
      </c>
      <c r="AC19" s="114">
        <v>0</v>
      </c>
      <c r="AD19" s="114">
        <v>0</v>
      </c>
      <c r="AE19" s="114">
        <v>17.8606031996826</v>
      </c>
      <c r="AF19" s="114">
        <v>0</v>
      </c>
      <c r="AG19" s="114">
        <v>3.2965324514315002</v>
      </c>
      <c r="AH19" s="114">
        <v>0</v>
      </c>
      <c r="AI19" s="114">
        <v>0</v>
      </c>
      <c r="AJ19" s="114">
        <v>0</v>
      </c>
      <c r="AK19" s="114">
        <v>0</v>
      </c>
      <c r="AL19" s="114">
        <v>16.110850163961601</v>
      </c>
      <c r="AM19" s="114">
        <v>0</v>
      </c>
      <c r="AN19" s="114">
        <v>211.41436462921899</v>
      </c>
      <c r="AO19" s="114">
        <v>0</v>
      </c>
      <c r="AP19" s="114">
        <v>0</v>
      </c>
      <c r="AQ19" s="114">
        <v>0</v>
      </c>
      <c r="AR19" s="114">
        <v>0</v>
      </c>
      <c r="AS19" s="114">
        <v>0</v>
      </c>
      <c r="AT19" s="115">
        <v>0</v>
      </c>
    </row>
    <row r="20" spans="2:46" ht="12" customHeight="1" x14ac:dyDescent="0.3">
      <c r="B20" s="113" t="s">
        <v>88</v>
      </c>
      <c r="C20" s="114" t="s">
        <v>56</v>
      </c>
      <c r="D20" s="114" t="s">
        <v>25</v>
      </c>
      <c r="E20" s="114" t="s">
        <v>25</v>
      </c>
      <c r="F20" s="114" t="s">
        <v>89</v>
      </c>
      <c r="G20" s="114" t="s">
        <v>25</v>
      </c>
      <c r="H20" s="114" t="s">
        <v>84</v>
      </c>
      <c r="I20" s="114" t="s">
        <v>25</v>
      </c>
      <c r="J20" s="114">
        <v>5.95</v>
      </c>
      <c r="K20" s="114">
        <v>0</v>
      </c>
      <c r="L20" s="114">
        <v>0</v>
      </c>
      <c r="M20" s="114">
        <v>6.6390610466094697E-3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114">
        <v>0</v>
      </c>
      <c r="V20" s="114">
        <v>0</v>
      </c>
      <c r="W20" s="114">
        <v>0</v>
      </c>
      <c r="X20" s="114">
        <v>0</v>
      </c>
      <c r="Y20" s="114">
        <v>0</v>
      </c>
      <c r="Z20" s="114">
        <v>0</v>
      </c>
      <c r="AA20" s="114">
        <v>5.9463082197085697</v>
      </c>
      <c r="AB20" s="114">
        <v>0</v>
      </c>
      <c r="AC20" s="114">
        <v>0</v>
      </c>
      <c r="AD20" s="114">
        <v>0</v>
      </c>
      <c r="AE20" s="114">
        <v>0</v>
      </c>
      <c r="AF20" s="114">
        <v>0</v>
      </c>
      <c r="AG20" s="114">
        <v>0</v>
      </c>
      <c r="AH20" s="114">
        <v>0</v>
      </c>
      <c r="AI20" s="114">
        <v>0</v>
      </c>
      <c r="AJ20" s="114">
        <v>0</v>
      </c>
      <c r="AK20" s="114">
        <v>0</v>
      </c>
      <c r="AL20" s="114">
        <v>0</v>
      </c>
      <c r="AM20" s="114">
        <v>0</v>
      </c>
      <c r="AN20" s="114">
        <v>0</v>
      </c>
      <c r="AO20" s="114">
        <v>0</v>
      </c>
      <c r="AP20" s="114">
        <v>0</v>
      </c>
      <c r="AQ20" s="114">
        <v>0</v>
      </c>
      <c r="AR20" s="114">
        <v>0</v>
      </c>
      <c r="AS20" s="114">
        <v>0</v>
      </c>
      <c r="AT20" s="115">
        <v>0</v>
      </c>
    </row>
    <row r="21" spans="2:46" ht="12" customHeight="1" x14ac:dyDescent="0.3">
      <c r="B21" s="113" t="s">
        <v>88</v>
      </c>
      <c r="C21" s="114" t="s">
        <v>56</v>
      </c>
      <c r="D21" s="114" t="s">
        <v>25</v>
      </c>
      <c r="E21" s="114" t="s">
        <v>25</v>
      </c>
      <c r="F21" s="114" t="s">
        <v>90</v>
      </c>
      <c r="G21" s="114" t="s">
        <v>25</v>
      </c>
      <c r="H21" s="114" t="s">
        <v>84</v>
      </c>
      <c r="I21" s="114" t="s">
        <v>25</v>
      </c>
      <c r="J21" s="114">
        <v>17.71</v>
      </c>
      <c r="K21" s="114">
        <v>0</v>
      </c>
      <c r="L21" s="114">
        <v>0</v>
      </c>
      <c r="M21" s="114">
        <v>6.6390610466094697E-3</v>
      </c>
      <c r="N21" s="114">
        <v>0</v>
      </c>
      <c r="O21" s="114">
        <v>0</v>
      </c>
      <c r="P21" s="114">
        <v>0</v>
      </c>
      <c r="Q21" s="114">
        <v>0</v>
      </c>
      <c r="R21" s="114">
        <v>0</v>
      </c>
      <c r="S21" s="114">
        <v>0</v>
      </c>
      <c r="T21" s="114">
        <v>0</v>
      </c>
      <c r="U21" s="114">
        <v>0</v>
      </c>
      <c r="V21" s="114">
        <v>0</v>
      </c>
      <c r="W21" s="114">
        <v>0</v>
      </c>
      <c r="X21" s="114">
        <v>0</v>
      </c>
      <c r="Y21" s="114">
        <v>0</v>
      </c>
      <c r="Z21" s="114">
        <v>0</v>
      </c>
      <c r="AA21" s="114">
        <v>17.699231095280499</v>
      </c>
      <c r="AB21" s="114">
        <v>0</v>
      </c>
      <c r="AC21" s="114">
        <v>0</v>
      </c>
      <c r="AD21" s="114">
        <v>0</v>
      </c>
      <c r="AE21" s="114">
        <v>0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0</v>
      </c>
      <c r="AO21" s="114">
        <v>0</v>
      </c>
      <c r="AP21" s="114">
        <v>0</v>
      </c>
      <c r="AQ21" s="114">
        <v>0</v>
      </c>
      <c r="AR21" s="114">
        <v>0</v>
      </c>
      <c r="AS21" s="114">
        <v>0</v>
      </c>
      <c r="AT21" s="115">
        <v>0</v>
      </c>
    </row>
    <row r="22" spans="2:46" ht="12" customHeight="1" x14ac:dyDescent="0.3">
      <c r="B22" s="113" t="s">
        <v>22</v>
      </c>
      <c r="C22" s="114" t="s">
        <v>92</v>
      </c>
      <c r="D22" s="114" t="s">
        <v>24</v>
      </c>
      <c r="E22" s="114" t="s">
        <v>24</v>
      </c>
      <c r="F22" s="114" t="s">
        <v>25</v>
      </c>
      <c r="G22" s="114" t="s">
        <v>36</v>
      </c>
      <c r="H22" s="114" t="s">
        <v>79</v>
      </c>
      <c r="I22" s="114" t="s">
        <v>25</v>
      </c>
      <c r="J22" s="114">
        <v>1226.54</v>
      </c>
      <c r="K22" s="114">
        <v>227.53</v>
      </c>
      <c r="L22" s="114">
        <v>0</v>
      </c>
      <c r="M22" s="114">
        <v>1.43534414725658</v>
      </c>
      <c r="N22" s="114">
        <v>0</v>
      </c>
      <c r="O22" s="114">
        <v>0</v>
      </c>
      <c r="P22" s="114">
        <v>0</v>
      </c>
      <c r="Q22" s="114">
        <v>90.721544900230398</v>
      </c>
      <c r="R22" s="114">
        <v>14.3368846509213</v>
      </c>
      <c r="S22" s="114">
        <v>0</v>
      </c>
      <c r="T22" s="114">
        <v>0</v>
      </c>
      <c r="U22" s="114">
        <v>0</v>
      </c>
      <c r="V22" s="114">
        <v>0</v>
      </c>
      <c r="W22" s="114">
        <v>0</v>
      </c>
      <c r="X22" s="114">
        <v>180.68004333752901</v>
      </c>
      <c r="Y22" s="114">
        <v>0</v>
      </c>
      <c r="Z22" s="114">
        <v>0</v>
      </c>
      <c r="AA22" s="114">
        <v>899.00245461342797</v>
      </c>
      <c r="AB22" s="114">
        <v>0</v>
      </c>
      <c r="AC22" s="114">
        <v>0</v>
      </c>
      <c r="AD22" s="114">
        <v>0</v>
      </c>
      <c r="AE22" s="114">
        <v>35.650605099110201</v>
      </c>
      <c r="AF22" s="114">
        <v>0</v>
      </c>
      <c r="AG22" s="114">
        <v>4.7154671064063196</v>
      </c>
      <c r="AH22" s="114">
        <v>0</v>
      </c>
      <c r="AI22" s="114">
        <v>0</v>
      </c>
      <c r="AJ22" s="114">
        <v>0</v>
      </c>
      <c r="AK22" s="114">
        <v>0</v>
      </c>
      <c r="AL22" s="114">
        <v>16.110850163961601</v>
      </c>
      <c r="AM22" s="114">
        <v>0</v>
      </c>
      <c r="AN22" s="114">
        <v>211.41436462921899</v>
      </c>
      <c r="AO22" s="114">
        <v>0</v>
      </c>
      <c r="AP22" s="114">
        <v>0</v>
      </c>
      <c r="AQ22" s="114">
        <v>0</v>
      </c>
      <c r="AR22" s="114">
        <v>0</v>
      </c>
      <c r="AS22" s="114">
        <v>0</v>
      </c>
      <c r="AT22" s="115">
        <v>0</v>
      </c>
    </row>
    <row r="23" spans="2:46" ht="12" customHeight="1" x14ac:dyDescent="0.3">
      <c r="B23" s="113" t="s">
        <v>22</v>
      </c>
      <c r="C23" s="114" t="s">
        <v>92</v>
      </c>
      <c r="D23" s="114" t="s">
        <v>24</v>
      </c>
      <c r="E23" s="114" t="s">
        <v>24</v>
      </c>
      <c r="F23" s="114" t="s">
        <v>25</v>
      </c>
      <c r="G23" s="114" t="s">
        <v>541</v>
      </c>
      <c r="H23" s="114" t="s">
        <v>79</v>
      </c>
      <c r="I23" s="114" t="s">
        <v>25</v>
      </c>
      <c r="J23" s="114">
        <v>794.69</v>
      </c>
      <c r="K23" s="114">
        <v>227.53</v>
      </c>
      <c r="L23" s="114">
        <v>0</v>
      </c>
      <c r="M23" s="114">
        <v>1.43534414725658</v>
      </c>
      <c r="N23" s="114">
        <v>0</v>
      </c>
      <c r="O23" s="114">
        <v>0</v>
      </c>
      <c r="P23" s="114">
        <v>0</v>
      </c>
      <c r="Q23" s="114">
        <v>90.721544900230398</v>
      </c>
      <c r="R23" s="114">
        <v>14.3368846509213</v>
      </c>
      <c r="S23" s="114">
        <v>0</v>
      </c>
      <c r="T23" s="114">
        <v>0</v>
      </c>
      <c r="U23" s="114">
        <v>0</v>
      </c>
      <c r="V23" s="114">
        <v>0</v>
      </c>
      <c r="W23" s="114">
        <v>0</v>
      </c>
      <c r="X23" s="114">
        <v>108.43074590737</v>
      </c>
      <c r="Y23" s="114">
        <v>0</v>
      </c>
      <c r="Z23" s="114">
        <v>0</v>
      </c>
      <c r="AA23" s="114">
        <v>539.40152932415504</v>
      </c>
      <c r="AB23" s="114">
        <v>0</v>
      </c>
      <c r="AC23" s="114">
        <v>0</v>
      </c>
      <c r="AD23" s="114">
        <v>0</v>
      </c>
      <c r="AE23" s="114">
        <v>35.650605099110201</v>
      </c>
      <c r="AF23" s="114">
        <v>0</v>
      </c>
      <c r="AG23" s="114">
        <v>4.7154671064063196</v>
      </c>
      <c r="AH23" s="114">
        <v>0</v>
      </c>
      <c r="AI23" s="114">
        <v>0</v>
      </c>
      <c r="AJ23" s="114">
        <v>0</v>
      </c>
      <c r="AK23" s="114">
        <v>0</v>
      </c>
      <c r="AL23" s="114">
        <v>16.110850163961601</v>
      </c>
      <c r="AM23" s="114">
        <v>0</v>
      </c>
      <c r="AN23" s="114">
        <v>211.41436462921899</v>
      </c>
      <c r="AO23" s="114">
        <v>0</v>
      </c>
      <c r="AP23" s="114">
        <v>0</v>
      </c>
      <c r="AQ23" s="114">
        <v>0</v>
      </c>
      <c r="AR23" s="114">
        <v>0</v>
      </c>
      <c r="AS23" s="114">
        <v>0</v>
      </c>
      <c r="AT23" s="115">
        <v>0</v>
      </c>
    </row>
    <row r="24" spans="2:46" ht="12" customHeight="1" x14ac:dyDescent="0.3">
      <c r="B24" s="113" t="s">
        <v>22</v>
      </c>
      <c r="C24" s="114" t="s">
        <v>92</v>
      </c>
      <c r="D24" s="114" t="s">
        <v>24</v>
      </c>
      <c r="E24" s="114" t="s">
        <v>24</v>
      </c>
      <c r="F24" s="114" t="s">
        <v>25</v>
      </c>
      <c r="G24" s="114" t="s">
        <v>37</v>
      </c>
      <c r="H24" s="114" t="s">
        <v>79</v>
      </c>
      <c r="I24" s="114" t="s">
        <v>25</v>
      </c>
      <c r="J24" s="114">
        <v>362.81</v>
      </c>
      <c r="K24" s="114">
        <v>227.53</v>
      </c>
      <c r="L24" s="114">
        <v>0</v>
      </c>
      <c r="M24" s="114">
        <v>1.43534414725658</v>
      </c>
      <c r="N24" s="114">
        <v>0</v>
      </c>
      <c r="O24" s="114">
        <v>0</v>
      </c>
      <c r="P24" s="114">
        <v>0</v>
      </c>
      <c r="Q24" s="114">
        <v>90.721544900230398</v>
      </c>
      <c r="R24" s="114">
        <v>14.3368846509213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36.153048596145098</v>
      </c>
      <c r="Y24" s="114">
        <v>0</v>
      </c>
      <c r="Z24" s="114">
        <v>0</v>
      </c>
      <c r="AA24" s="114">
        <v>179.80032125438899</v>
      </c>
      <c r="AB24" s="114">
        <v>0</v>
      </c>
      <c r="AC24" s="114">
        <v>0</v>
      </c>
      <c r="AD24" s="114">
        <v>0</v>
      </c>
      <c r="AE24" s="114">
        <v>35.650605099110201</v>
      </c>
      <c r="AF24" s="114">
        <v>0</v>
      </c>
      <c r="AG24" s="114">
        <v>4.7154671064063196</v>
      </c>
      <c r="AH24" s="114">
        <v>0</v>
      </c>
      <c r="AI24" s="114">
        <v>0</v>
      </c>
      <c r="AJ24" s="114">
        <v>0</v>
      </c>
      <c r="AK24" s="114">
        <v>0</v>
      </c>
      <c r="AL24" s="114">
        <v>16.110850163961601</v>
      </c>
      <c r="AM24" s="114">
        <v>0</v>
      </c>
      <c r="AN24" s="114">
        <v>211.41436462921899</v>
      </c>
      <c r="AO24" s="114">
        <v>0</v>
      </c>
      <c r="AP24" s="114">
        <v>0</v>
      </c>
      <c r="AQ24" s="114">
        <v>0</v>
      </c>
      <c r="AR24" s="114">
        <v>0</v>
      </c>
      <c r="AS24" s="114">
        <v>0</v>
      </c>
      <c r="AT24" s="115">
        <v>0</v>
      </c>
    </row>
    <row r="25" spans="2:46" ht="12" customHeight="1" x14ac:dyDescent="0.3">
      <c r="B25" s="113" t="s">
        <v>22</v>
      </c>
      <c r="C25" s="114" t="s">
        <v>23</v>
      </c>
      <c r="D25" s="114" t="s">
        <v>24</v>
      </c>
      <c r="E25" s="114" t="s">
        <v>1073</v>
      </c>
      <c r="F25" s="114" t="s">
        <v>25</v>
      </c>
      <c r="G25" s="114" t="s">
        <v>25</v>
      </c>
      <c r="H25" s="114" t="s">
        <v>79</v>
      </c>
      <c r="I25" s="114" t="s">
        <v>25</v>
      </c>
      <c r="J25" s="114">
        <v>441.7</v>
      </c>
      <c r="K25" s="114">
        <v>227.53</v>
      </c>
      <c r="L25" s="114">
        <v>0</v>
      </c>
      <c r="M25" s="114">
        <v>1.43534414725658</v>
      </c>
      <c r="N25" s="114">
        <v>0</v>
      </c>
      <c r="O25" s="114">
        <v>0</v>
      </c>
      <c r="P25" s="114">
        <v>0</v>
      </c>
      <c r="Q25" s="114">
        <v>0</v>
      </c>
      <c r="R25" s="114">
        <v>0</v>
      </c>
      <c r="S25" s="114">
        <v>0</v>
      </c>
      <c r="T25" s="114">
        <v>0</v>
      </c>
      <c r="U25" s="114">
        <v>0</v>
      </c>
      <c r="V25" s="114">
        <v>0</v>
      </c>
      <c r="W25" s="114">
        <v>0</v>
      </c>
      <c r="X25" s="114">
        <v>66.938519670945695</v>
      </c>
      <c r="Y25" s="114">
        <v>0</v>
      </c>
      <c r="Z25" s="114">
        <v>0</v>
      </c>
      <c r="AA25" s="114">
        <v>332.96385113234402</v>
      </c>
      <c r="AB25" s="114">
        <v>0</v>
      </c>
      <c r="AC25" s="114">
        <v>0</v>
      </c>
      <c r="AD25" s="114">
        <v>0</v>
      </c>
      <c r="AE25" s="114">
        <v>35.650605099110201</v>
      </c>
      <c r="AF25" s="114">
        <v>0</v>
      </c>
      <c r="AG25" s="114">
        <v>4.7154671064063196</v>
      </c>
      <c r="AH25" s="114">
        <v>0</v>
      </c>
      <c r="AI25" s="114">
        <v>0</v>
      </c>
      <c r="AJ25" s="114">
        <v>0</v>
      </c>
      <c r="AK25" s="114">
        <v>0</v>
      </c>
      <c r="AL25" s="114">
        <v>16.110850163961601</v>
      </c>
      <c r="AM25" s="114">
        <v>0</v>
      </c>
      <c r="AN25" s="114">
        <v>211.41436462921899</v>
      </c>
      <c r="AO25" s="114">
        <v>0</v>
      </c>
      <c r="AP25" s="114">
        <v>0</v>
      </c>
      <c r="AQ25" s="114">
        <v>0</v>
      </c>
      <c r="AR25" s="114">
        <v>0</v>
      </c>
      <c r="AS25" s="114">
        <v>0</v>
      </c>
      <c r="AT25" s="115">
        <v>0</v>
      </c>
    </row>
    <row r="26" spans="2:46" ht="12" customHeight="1" x14ac:dyDescent="0.3">
      <c r="B26" s="113" t="s">
        <v>22</v>
      </c>
      <c r="C26" s="114" t="s">
        <v>23</v>
      </c>
      <c r="D26" s="114" t="s">
        <v>24</v>
      </c>
      <c r="E26" s="114" t="s">
        <v>24</v>
      </c>
      <c r="F26" s="114" t="s">
        <v>25</v>
      </c>
      <c r="G26" s="114" t="s">
        <v>25</v>
      </c>
      <c r="H26" s="114" t="s">
        <v>79</v>
      </c>
      <c r="I26" s="114" t="s">
        <v>25</v>
      </c>
      <c r="J26" s="114">
        <v>546.76</v>
      </c>
      <c r="K26" s="114">
        <v>227.53</v>
      </c>
      <c r="L26" s="114">
        <v>0</v>
      </c>
      <c r="M26" s="114">
        <v>1.43534414725658</v>
      </c>
      <c r="N26" s="114">
        <v>0</v>
      </c>
      <c r="O26" s="114">
        <v>0</v>
      </c>
      <c r="P26" s="114">
        <v>0</v>
      </c>
      <c r="Q26" s="114">
        <v>90.721544900230398</v>
      </c>
      <c r="R26" s="114">
        <v>14.3368846509213</v>
      </c>
      <c r="S26" s="114">
        <v>0</v>
      </c>
      <c r="T26" s="114">
        <v>0</v>
      </c>
      <c r="U26" s="114">
        <v>0</v>
      </c>
      <c r="V26" s="114">
        <v>0</v>
      </c>
      <c r="W26" s="114">
        <v>0</v>
      </c>
      <c r="X26" s="114">
        <v>66.938519670945695</v>
      </c>
      <c r="Y26" s="114">
        <v>0</v>
      </c>
      <c r="Z26" s="114">
        <v>0</v>
      </c>
      <c r="AA26" s="114">
        <v>332.96385113234402</v>
      </c>
      <c r="AB26" s="114">
        <v>0</v>
      </c>
      <c r="AC26" s="114">
        <v>0</v>
      </c>
      <c r="AD26" s="114">
        <v>0</v>
      </c>
      <c r="AE26" s="114">
        <v>35.650605099110201</v>
      </c>
      <c r="AF26" s="114">
        <v>0</v>
      </c>
      <c r="AG26" s="114">
        <v>4.7154671064063196</v>
      </c>
      <c r="AH26" s="114">
        <v>0</v>
      </c>
      <c r="AI26" s="114">
        <v>0</v>
      </c>
      <c r="AJ26" s="114">
        <v>0</v>
      </c>
      <c r="AK26" s="114">
        <v>0</v>
      </c>
      <c r="AL26" s="114">
        <v>16.110850163961601</v>
      </c>
      <c r="AM26" s="114">
        <v>0</v>
      </c>
      <c r="AN26" s="114">
        <v>211.41436462921899</v>
      </c>
      <c r="AO26" s="114">
        <v>0</v>
      </c>
      <c r="AP26" s="114">
        <v>0</v>
      </c>
      <c r="AQ26" s="114">
        <v>0</v>
      </c>
      <c r="AR26" s="114">
        <v>0</v>
      </c>
      <c r="AS26" s="114">
        <v>0</v>
      </c>
      <c r="AT26" s="115">
        <v>0</v>
      </c>
    </row>
    <row r="27" spans="2:46" ht="12" customHeight="1" x14ac:dyDescent="0.3">
      <c r="B27" s="113" t="s">
        <v>22</v>
      </c>
      <c r="C27" s="114" t="s">
        <v>94</v>
      </c>
      <c r="D27" s="114" t="s">
        <v>24</v>
      </c>
      <c r="E27" s="114" t="s">
        <v>1073</v>
      </c>
      <c r="F27" s="114" t="s">
        <v>25</v>
      </c>
      <c r="G27" s="114" t="s">
        <v>25</v>
      </c>
      <c r="H27" s="114" t="s">
        <v>79</v>
      </c>
      <c r="I27" s="114" t="s">
        <v>25</v>
      </c>
      <c r="J27" s="114">
        <v>441.7</v>
      </c>
      <c r="K27" s="114">
        <v>227.53</v>
      </c>
      <c r="L27" s="114">
        <v>0</v>
      </c>
      <c r="M27" s="114">
        <v>1.43534414725658</v>
      </c>
      <c r="N27" s="114">
        <v>0</v>
      </c>
      <c r="O27" s="114">
        <v>0</v>
      </c>
      <c r="P27" s="114">
        <v>0</v>
      </c>
      <c r="Q27" s="114">
        <v>0</v>
      </c>
      <c r="R27" s="114">
        <v>0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66.938519670945695</v>
      </c>
      <c r="Y27" s="114">
        <v>0</v>
      </c>
      <c r="Z27" s="114">
        <v>0</v>
      </c>
      <c r="AA27" s="114">
        <v>332.96385113234402</v>
      </c>
      <c r="AB27" s="114">
        <v>0</v>
      </c>
      <c r="AC27" s="114">
        <v>0</v>
      </c>
      <c r="AD27" s="114">
        <v>0</v>
      </c>
      <c r="AE27" s="114">
        <v>35.650605099110201</v>
      </c>
      <c r="AF27" s="114">
        <v>0</v>
      </c>
      <c r="AG27" s="114">
        <v>4.7154671064063196</v>
      </c>
      <c r="AH27" s="114">
        <v>0</v>
      </c>
      <c r="AI27" s="114">
        <v>0</v>
      </c>
      <c r="AJ27" s="114">
        <v>0</v>
      </c>
      <c r="AK27" s="114">
        <v>0</v>
      </c>
      <c r="AL27" s="114">
        <v>16.110850163961601</v>
      </c>
      <c r="AM27" s="114">
        <v>0</v>
      </c>
      <c r="AN27" s="114">
        <v>211.41436462921899</v>
      </c>
      <c r="AO27" s="114">
        <v>0</v>
      </c>
      <c r="AP27" s="114">
        <v>0</v>
      </c>
      <c r="AQ27" s="114">
        <v>0</v>
      </c>
      <c r="AR27" s="114">
        <v>0</v>
      </c>
      <c r="AS27" s="114">
        <v>0</v>
      </c>
      <c r="AT27" s="115">
        <v>0</v>
      </c>
    </row>
    <row r="28" spans="2:46" ht="12" customHeight="1" x14ac:dyDescent="0.3">
      <c r="B28" s="113" t="s">
        <v>22</v>
      </c>
      <c r="C28" s="114" t="s">
        <v>94</v>
      </c>
      <c r="D28" s="114" t="s">
        <v>24</v>
      </c>
      <c r="E28" s="114" t="s">
        <v>24</v>
      </c>
      <c r="F28" s="114" t="s">
        <v>25</v>
      </c>
      <c r="G28" s="114" t="s">
        <v>25</v>
      </c>
      <c r="H28" s="114" t="s">
        <v>79</v>
      </c>
      <c r="I28" s="114" t="s">
        <v>25</v>
      </c>
      <c r="J28" s="114">
        <v>546.76</v>
      </c>
      <c r="K28" s="114">
        <v>227.53</v>
      </c>
      <c r="L28" s="114">
        <v>0</v>
      </c>
      <c r="M28" s="114">
        <v>1.43534414725658</v>
      </c>
      <c r="N28" s="114">
        <v>0</v>
      </c>
      <c r="O28" s="114">
        <v>0</v>
      </c>
      <c r="P28" s="114">
        <v>0</v>
      </c>
      <c r="Q28" s="114">
        <v>90.721544900230398</v>
      </c>
      <c r="R28" s="114">
        <v>14.3368846509213</v>
      </c>
      <c r="S28" s="114">
        <v>0</v>
      </c>
      <c r="T28" s="114">
        <v>0</v>
      </c>
      <c r="U28" s="114">
        <v>0</v>
      </c>
      <c r="V28" s="114">
        <v>0</v>
      </c>
      <c r="W28" s="114">
        <v>0</v>
      </c>
      <c r="X28" s="114">
        <v>66.938519670945695</v>
      </c>
      <c r="Y28" s="114">
        <v>0</v>
      </c>
      <c r="Z28" s="114">
        <v>0</v>
      </c>
      <c r="AA28" s="114">
        <v>332.96385113234402</v>
      </c>
      <c r="AB28" s="114">
        <v>0</v>
      </c>
      <c r="AC28" s="114">
        <v>0</v>
      </c>
      <c r="AD28" s="114">
        <v>0</v>
      </c>
      <c r="AE28" s="114">
        <v>35.650605099110201</v>
      </c>
      <c r="AF28" s="114">
        <v>0</v>
      </c>
      <c r="AG28" s="114">
        <v>4.7154671064063196</v>
      </c>
      <c r="AH28" s="114">
        <v>0</v>
      </c>
      <c r="AI28" s="114">
        <v>0</v>
      </c>
      <c r="AJ28" s="114">
        <v>0</v>
      </c>
      <c r="AK28" s="114">
        <v>0</v>
      </c>
      <c r="AL28" s="114">
        <v>16.110850163961601</v>
      </c>
      <c r="AM28" s="114">
        <v>0</v>
      </c>
      <c r="AN28" s="114">
        <v>211.41436462921899</v>
      </c>
      <c r="AO28" s="114">
        <v>0</v>
      </c>
      <c r="AP28" s="114">
        <v>0</v>
      </c>
      <c r="AQ28" s="114">
        <v>0</v>
      </c>
      <c r="AR28" s="114">
        <v>0</v>
      </c>
      <c r="AS28" s="114">
        <v>0</v>
      </c>
      <c r="AT28" s="115">
        <v>0</v>
      </c>
    </row>
    <row r="29" spans="2:46" ht="12" customHeight="1" x14ac:dyDescent="0.3">
      <c r="B29" s="113" t="s">
        <v>40</v>
      </c>
      <c r="C29" s="114" t="s">
        <v>92</v>
      </c>
      <c r="D29" s="114" t="s">
        <v>41</v>
      </c>
      <c r="E29" s="114" t="s">
        <v>95</v>
      </c>
      <c r="F29" s="114" t="s">
        <v>25</v>
      </c>
      <c r="G29" s="114" t="s">
        <v>36</v>
      </c>
      <c r="H29" s="114" t="s">
        <v>79</v>
      </c>
      <c r="I29" s="114" t="s">
        <v>25</v>
      </c>
      <c r="J29" s="114">
        <v>1246.95</v>
      </c>
      <c r="K29" s="114">
        <v>213.87</v>
      </c>
      <c r="L29" s="114">
        <v>0</v>
      </c>
      <c r="M29" s="114">
        <v>1.3492234984211899</v>
      </c>
      <c r="N29" s="114">
        <v>0</v>
      </c>
      <c r="O29" s="114">
        <v>0</v>
      </c>
      <c r="P29" s="114">
        <v>0</v>
      </c>
      <c r="Q29" s="114">
        <v>85.278252206216607</v>
      </c>
      <c r="R29" s="114">
        <v>13.476671571866</v>
      </c>
      <c r="S29" s="114">
        <v>0</v>
      </c>
      <c r="T29" s="114">
        <v>0</v>
      </c>
      <c r="U29" s="114">
        <v>0</v>
      </c>
      <c r="V29" s="114">
        <v>0</v>
      </c>
      <c r="W29" s="114">
        <v>0</v>
      </c>
      <c r="X29" s="114">
        <v>185.58981477610101</v>
      </c>
      <c r="Y29" s="114">
        <v>0</v>
      </c>
      <c r="Z29" s="114">
        <v>0</v>
      </c>
      <c r="AA29" s="114">
        <v>923.30881235272295</v>
      </c>
      <c r="AB29" s="114">
        <v>0</v>
      </c>
      <c r="AC29" s="114">
        <v>0</v>
      </c>
      <c r="AD29" s="114">
        <v>0</v>
      </c>
      <c r="AE29" s="114">
        <v>33.511568793163597</v>
      </c>
      <c r="AF29" s="114">
        <v>0</v>
      </c>
      <c r="AG29" s="114">
        <v>4.4325390800219404</v>
      </c>
      <c r="AH29" s="114">
        <v>0</v>
      </c>
      <c r="AI29" s="114">
        <v>0</v>
      </c>
      <c r="AJ29" s="114">
        <v>0</v>
      </c>
      <c r="AK29" s="114">
        <v>0</v>
      </c>
      <c r="AL29" s="114">
        <v>15.1441991541239</v>
      </c>
      <c r="AM29" s="114">
        <v>0</v>
      </c>
      <c r="AN29" s="114">
        <v>198.72950275146599</v>
      </c>
      <c r="AO29" s="114">
        <v>0</v>
      </c>
      <c r="AP29" s="114">
        <v>0</v>
      </c>
      <c r="AQ29" s="114">
        <v>0</v>
      </c>
      <c r="AR29" s="114">
        <v>0</v>
      </c>
      <c r="AS29" s="114">
        <v>0</v>
      </c>
      <c r="AT29" s="115">
        <v>0</v>
      </c>
    </row>
    <row r="30" spans="2:46" ht="12" customHeight="1" x14ac:dyDescent="0.3">
      <c r="B30" s="113" t="s">
        <v>40</v>
      </c>
      <c r="C30" s="114" t="s">
        <v>92</v>
      </c>
      <c r="D30" s="114" t="s">
        <v>41</v>
      </c>
      <c r="E30" s="114" t="s">
        <v>95</v>
      </c>
      <c r="F30" s="114" t="s">
        <v>25</v>
      </c>
      <c r="G30" s="114" t="s">
        <v>541</v>
      </c>
      <c r="H30" s="114" t="s">
        <v>79</v>
      </c>
      <c r="I30" s="114" t="s">
        <v>25</v>
      </c>
      <c r="J30" s="114">
        <v>803.36</v>
      </c>
      <c r="K30" s="114">
        <v>213.87</v>
      </c>
      <c r="L30" s="114">
        <v>0</v>
      </c>
      <c r="M30" s="114">
        <v>1.3492234984211899</v>
      </c>
      <c r="N30" s="114">
        <v>0</v>
      </c>
      <c r="O30" s="114">
        <v>0</v>
      </c>
      <c r="P30" s="114">
        <v>0</v>
      </c>
      <c r="Q30" s="114">
        <v>85.278252206216607</v>
      </c>
      <c r="R30" s="114">
        <v>13.476671571866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111.321853799819</v>
      </c>
      <c r="Y30" s="114">
        <v>0</v>
      </c>
      <c r="Z30" s="114">
        <v>0</v>
      </c>
      <c r="AA30" s="114">
        <v>553.98544689983203</v>
      </c>
      <c r="AB30" s="114">
        <v>0</v>
      </c>
      <c r="AC30" s="114">
        <v>0</v>
      </c>
      <c r="AD30" s="114">
        <v>0</v>
      </c>
      <c r="AE30" s="114">
        <v>33.511568793163597</v>
      </c>
      <c r="AF30" s="114">
        <v>0</v>
      </c>
      <c r="AG30" s="114">
        <v>4.4325390800219404</v>
      </c>
      <c r="AH30" s="114">
        <v>0</v>
      </c>
      <c r="AI30" s="114">
        <v>0</v>
      </c>
      <c r="AJ30" s="114">
        <v>0</v>
      </c>
      <c r="AK30" s="114">
        <v>0</v>
      </c>
      <c r="AL30" s="114">
        <v>15.1441991541239</v>
      </c>
      <c r="AM30" s="114">
        <v>0</v>
      </c>
      <c r="AN30" s="114">
        <v>198.72950275146599</v>
      </c>
      <c r="AO30" s="114">
        <v>0</v>
      </c>
      <c r="AP30" s="114">
        <v>0</v>
      </c>
      <c r="AQ30" s="114">
        <v>0</v>
      </c>
      <c r="AR30" s="114">
        <v>0</v>
      </c>
      <c r="AS30" s="114">
        <v>0</v>
      </c>
      <c r="AT30" s="115">
        <v>0</v>
      </c>
    </row>
    <row r="31" spans="2:46" ht="12" customHeight="1" x14ac:dyDescent="0.3">
      <c r="B31" s="113" t="s">
        <v>40</v>
      </c>
      <c r="C31" s="114" t="s">
        <v>92</v>
      </c>
      <c r="D31" s="114" t="s">
        <v>41</v>
      </c>
      <c r="E31" s="114" t="s">
        <v>95</v>
      </c>
      <c r="F31" s="114" t="s">
        <v>25</v>
      </c>
      <c r="G31" s="114" t="s">
        <v>37</v>
      </c>
      <c r="H31" s="114" t="s">
        <v>79</v>
      </c>
      <c r="I31" s="114" t="s">
        <v>25</v>
      </c>
      <c r="J31" s="114">
        <v>359.84</v>
      </c>
      <c r="K31" s="114">
        <v>213.87</v>
      </c>
      <c r="L31" s="114">
        <v>0</v>
      </c>
      <c r="M31" s="114">
        <v>1.3492234984211899</v>
      </c>
      <c r="N31" s="114">
        <v>0</v>
      </c>
      <c r="O31" s="114">
        <v>0</v>
      </c>
      <c r="P31" s="114">
        <v>0</v>
      </c>
      <c r="Q31" s="114">
        <v>85.278252206216607</v>
      </c>
      <c r="R31" s="114">
        <v>13.476671571866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v>37.133980488140999</v>
      </c>
      <c r="Y31" s="114">
        <v>0</v>
      </c>
      <c r="Z31" s="114">
        <v>0</v>
      </c>
      <c r="AA31" s="114">
        <v>184.661815633277</v>
      </c>
      <c r="AB31" s="114">
        <v>0</v>
      </c>
      <c r="AC31" s="114">
        <v>0</v>
      </c>
      <c r="AD31" s="114">
        <v>0</v>
      </c>
      <c r="AE31" s="114">
        <v>33.511568793163597</v>
      </c>
      <c r="AF31" s="114">
        <v>0</v>
      </c>
      <c r="AG31" s="114">
        <v>4.4325390800219404</v>
      </c>
      <c r="AH31" s="114">
        <v>0</v>
      </c>
      <c r="AI31" s="114">
        <v>0</v>
      </c>
      <c r="AJ31" s="114">
        <v>0</v>
      </c>
      <c r="AK31" s="114">
        <v>0</v>
      </c>
      <c r="AL31" s="114">
        <v>15.1441991541239</v>
      </c>
      <c r="AM31" s="114">
        <v>0</v>
      </c>
      <c r="AN31" s="114">
        <v>198.72950275146599</v>
      </c>
      <c r="AO31" s="114">
        <v>0</v>
      </c>
      <c r="AP31" s="114">
        <v>0</v>
      </c>
      <c r="AQ31" s="114">
        <v>0</v>
      </c>
      <c r="AR31" s="114">
        <v>0</v>
      </c>
      <c r="AS31" s="114">
        <v>0</v>
      </c>
      <c r="AT31" s="115">
        <v>0</v>
      </c>
    </row>
    <row r="32" spans="2:46" ht="12" customHeight="1" x14ac:dyDescent="0.3">
      <c r="B32" s="113" t="s">
        <v>40</v>
      </c>
      <c r="C32" s="114" t="s">
        <v>92</v>
      </c>
      <c r="D32" s="114" t="s">
        <v>41</v>
      </c>
      <c r="E32" s="114" t="s">
        <v>25</v>
      </c>
      <c r="F32" s="114" t="s">
        <v>25</v>
      </c>
      <c r="G32" s="114" t="s">
        <v>36</v>
      </c>
      <c r="H32" s="114" t="s">
        <v>79</v>
      </c>
      <c r="I32" s="114" t="s">
        <v>25</v>
      </c>
      <c r="J32" s="114">
        <v>1246.95</v>
      </c>
      <c r="K32" s="114">
        <v>213.87</v>
      </c>
      <c r="L32" s="114">
        <v>0</v>
      </c>
      <c r="M32" s="114">
        <v>1.3492234984211899</v>
      </c>
      <c r="N32" s="114">
        <v>0</v>
      </c>
      <c r="O32" s="114">
        <v>0</v>
      </c>
      <c r="P32" s="114">
        <v>0</v>
      </c>
      <c r="Q32" s="114">
        <v>85.278252206216607</v>
      </c>
      <c r="R32" s="114">
        <v>13.476671571866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v>185.58981477610101</v>
      </c>
      <c r="Y32" s="114">
        <v>0</v>
      </c>
      <c r="Z32" s="114">
        <v>0</v>
      </c>
      <c r="AA32" s="114">
        <v>923.30881235272295</v>
      </c>
      <c r="AB32" s="114">
        <v>0</v>
      </c>
      <c r="AC32" s="114">
        <v>0</v>
      </c>
      <c r="AD32" s="114">
        <v>0</v>
      </c>
      <c r="AE32" s="114">
        <v>33.511568793163597</v>
      </c>
      <c r="AF32" s="114">
        <v>0</v>
      </c>
      <c r="AG32" s="114">
        <v>4.4325390800219404</v>
      </c>
      <c r="AH32" s="114">
        <v>0</v>
      </c>
      <c r="AI32" s="114">
        <v>0</v>
      </c>
      <c r="AJ32" s="114">
        <v>0</v>
      </c>
      <c r="AK32" s="114">
        <v>0</v>
      </c>
      <c r="AL32" s="114">
        <v>15.1441991541239</v>
      </c>
      <c r="AM32" s="114">
        <v>0</v>
      </c>
      <c r="AN32" s="114">
        <v>198.72950275146599</v>
      </c>
      <c r="AO32" s="114">
        <v>0</v>
      </c>
      <c r="AP32" s="114">
        <v>0</v>
      </c>
      <c r="AQ32" s="114">
        <v>0</v>
      </c>
      <c r="AR32" s="114">
        <v>0</v>
      </c>
      <c r="AS32" s="114">
        <v>0</v>
      </c>
      <c r="AT32" s="115">
        <v>0</v>
      </c>
    </row>
    <row r="33" spans="2:46" ht="12" customHeight="1" x14ac:dyDescent="0.3">
      <c r="B33" s="113" t="s">
        <v>40</v>
      </c>
      <c r="C33" s="114" t="s">
        <v>92</v>
      </c>
      <c r="D33" s="114" t="s">
        <v>41</v>
      </c>
      <c r="E33" s="114" t="s">
        <v>25</v>
      </c>
      <c r="F33" s="114" t="s">
        <v>25</v>
      </c>
      <c r="G33" s="114" t="s">
        <v>541</v>
      </c>
      <c r="H33" s="114" t="s">
        <v>79</v>
      </c>
      <c r="I33" s="114" t="s">
        <v>25</v>
      </c>
      <c r="J33" s="114">
        <v>803.36</v>
      </c>
      <c r="K33" s="114">
        <v>213.87</v>
      </c>
      <c r="L33" s="114">
        <v>0</v>
      </c>
      <c r="M33" s="114">
        <v>1.3492234984211899</v>
      </c>
      <c r="N33" s="114">
        <v>0</v>
      </c>
      <c r="O33" s="114">
        <v>0</v>
      </c>
      <c r="P33" s="114">
        <v>0</v>
      </c>
      <c r="Q33" s="114">
        <v>85.278252206216607</v>
      </c>
      <c r="R33" s="114">
        <v>13.476671571866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v>111.321853799819</v>
      </c>
      <c r="Y33" s="114">
        <v>0</v>
      </c>
      <c r="Z33" s="114">
        <v>0</v>
      </c>
      <c r="AA33" s="114">
        <v>553.98544689983203</v>
      </c>
      <c r="AB33" s="114">
        <v>0</v>
      </c>
      <c r="AC33" s="114">
        <v>0</v>
      </c>
      <c r="AD33" s="114">
        <v>0</v>
      </c>
      <c r="AE33" s="114">
        <v>33.511568793163597</v>
      </c>
      <c r="AF33" s="114">
        <v>0</v>
      </c>
      <c r="AG33" s="114">
        <v>4.4325390800219404</v>
      </c>
      <c r="AH33" s="114">
        <v>0</v>
      </c>
      <c r="AI33" s="114">
        <v>0</v>
      </c>
      <c r="AJ33" s="114">
        <v>0</v>
      </c>
      <c r="AK33" s="114">
        <v>0</v>
      </c>
      <c r="AL33" s="114">
        <v>15.1441991541239</v>
      </c>
      <c r="AM33" s="114">
        <v>0</v>
      </c>
      <c r="AN33" s="114">
        <v>198.72950275146599</v>
      </c>
      <c r="AO33" s="114">
        <v>0</v>
      </c>
      <c r="AP33" s="114">
        <v>0</v>
      </c>
      <c r="AQ33" s="114">
        <v>0</v>
      </c>
      <c r="AR33" s="114">
        <v>0</v>
      </c>
      <c r="AS33" s="114">
        <v>0</v>
      </c>
      <c r="AT33" s="115">
        <v>0</v>
      </c>
    </row>
    <row r="34" spans="2:46" ht="12" customHeight="1" x14ac:dyDescent="0.3">
      <c r="B34" s="113" t="s">
        <v>40</v>
      </c>
      <c r="C34" s="114" t="s">
        <v>92</v>
      </c>
      <c r="D34" s="114" t="s">
        <v>41</v>
      </c>
      <c r="E34" s="114" t="s">
        <v>25</v>
      </c>
      <c r="F34" s="114" t="s">
        <v>25</v>
      </c>
      <c r="G34" s="114" t="s">
        <v>37</v>
      </c>
      <c r="H34" s="114" t="s">
        <v>79</v>
      </c>
      <c r="I34" s="114" t="s">
        <v>25</v>
      </c>
      <c r="J34" s="114">
        <v>359.84</v>
      </c>
      <c r="K34" s="114">
        <v>213.87</v>
      </c>
      <c r="L34" s="114">
        <v>0</v>
      </c>
      <c r="M34" s="114">
        <v>1.3492234984211899</v>
      </c>
      <c r="N34" s="114">
        <v>0</v>
      </c>
      <c r="O34" s="114">
        <v>0</v>
      </c>
      <c r="P34" s="114">
        <v>0</v>
      </c>
      <c r="Q34" s="114">
        <v>85.278252206216607</v>
      </c>
      <c r="R34" s="114">
        <v>13.476671571866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v>37.133980488140999</v>
      </c>
      <c r="Y34" s="114">
        <v>0</v>
      </c>
      <c r="Z34" s="114">
        <v>0</v>
      </c>
      <c r="AA34" s="114">
        <v>184.661815633277</v>
      </c>
      <c r="AB34" s="114">
        <v>0</v>
      </c>
      <c r="AC34" s="114">
        <v>0</v>
      </c>
      <c r="AD34" s="114">
        <v>0</v>
      </c>
      <c r="AE34" s="114">
        <v>33.511568793163597</v>
      </c>
      <c r="AF34" s="114">
        <v>0</v>
      </c>
      <c r="AG34" s="114">
        <v>4.4325390800219404</v>
      </c>
      <c r="AH34" s="114">
        <v>0</v>
      </c>
      <c r="AI34" s="114">
        <v>0</v>
      </c>
      <c r="AJ34" s="114">
        <v>0</v>
      </c>
      <c r="AK34" s="114">
        <v>0</v>
      </c>
      <c r="AL34" s="114">
        <v>15.1441991541239</v>
      </c>
      <c r="AM34" s="114">
        <v>0</v>
      </c>
      <c r="AN34" s="114">
        <v>198.72950275146599</v>
      </c>
      <c r="AO34" s="114">
        <v>0</v>
      </c>
      <c r="AP34" s="114">
        <v>0</v>
      </c>
      <c r="AQ34" s="114">
        <v>0</v>
      </c>
      <c r="AR34" s="114">
        <v>0</v>
      </c>
      <c r="AS34" s="114">
        <v>0</v>
      </c>
      <c r="AT34" s="115">
        <v>0</v>
      </c>
    </row>
    <row r="35" spans="2:46" ht="12" customHeight="1" x14ac:dyDescent="0.3">
      <c r="B35" s="113" t="s">
        <v>40</v>
      </c>
      <c r="C35" s="114" t="s">
        <v>92</v>
      </c>
      <c r="D35" s="114" t="s">
        <v>41</v>
      </c>
      <c r="E35" s="114" t="s">
        <v>96</v>
      </c>
      <c r="F35" s="114" t="s">
        <v>25</v>
      </c>
      <c r="G35" s="114" t="s">
        <v>36</v>
      </c>
      <c r="H35" s="114" t="s">
        <v>79</v>
      </c>
      <c r="I35" s="114" t="s">
        <v>25</v>
      </c>
      <c r="J35" s="114">
        <v>1220.42</v>
      </c>
      <c r="K35" s="114">
        <v>209.32</v>
      </c>
      <c r="L35" s="114">
        <v>0</v>
      </c>
      <c r="M35" s="114">
        <v>1.3205166154760499</v>
      </c>
      <c r="N35" s="114">
        <v>0</v>
      </c>
      <c r="O35" s="114">
        <v>0</v>
      </c>
      <c r="P35" s="114">
        <v>0</v>
      </c>
      <c r="Q35" s="114">
        <v>83.463821308212005</v>
      </c>
      <c r="R35" s="114">
        <v>13.189933878847601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181.64109531278001</v>
      </c>
      <c r="Y35" s="114">
        <v>0</v>
      </c>
      <c r="Z35" s="114">
        <v>0</v>
      </c>
      <c r="AA35" s="114">
        <v>903.66394400479203</v>
      </c>
      <c r="AB35" s="114">
        <v>0</v>
      </c>
      <c r="AC35" s="114">
        <v>0</v>
      </c>
      <c r="AD35" s="114">
        <v>0</v>
      </c>
      <c r="AE35" s="114">
        <v>32.798556691181403</v>
      </c>
      <c r="AF35" s="114">
        <v>0</v>
      </c>
      <c r="AG35" s="114">
        <v>4.3382297378938199</v>
      </c>
      <c r="AH35" s="114">
        <v>0</v>
      </c>
      <c r="AI35" s="114">
        <v>0</v>
      </c>
      <c r="AJ35" s="114">
        <v>0</v>
      </c>
      <c r="AK35" s="114">
        <v>0</v>
      </c>
      <c r="AL35" s="114">
        <v>14.8219821508447</v>
      </c>
      <c r="AM35" s="114">
        <v>0</v>
      </c>
      <c r="AN35" s="114">
        <v>194.501215458882</v>
      </c>
      <c r="AO35" s="114">
        <v>0</v>
      </c>
      <c r="AP35" s="114">
        <v>0</v>
      </c>
      <c r="AQ35" s="114">
        <v>0</v>
      </c>
      <c r="AR35" s="114">
        <v>0</v>
      </c>
      <c r="AS35" s="114">
        <v>0</v>
      </c>
      <c r="AT35" s="115">
        <v>0</v>
      </c>
    </row>
    <row r="36" spans="2:46" ht="12" customHeight="1" x14ac:dyDescent="0.3">
      <c r="B36" s="113" t="s">
        <v>40</v>
      </c>
      <c r="C36" s="114" t="s">
        <v>92</v>
      </c>
      <c r="D36" s="114" t="s">
        <v>41</v>
      </c>
      <c r="E36" s="114" t="s">
        <v>96</v>
      </c>
      <c r="F36" s="114" t="s">
        <v>25</v>
      </c>
      <c r="G36" s="114" t="s">
        <v>541</v>
      </c>
      <c r="H36" s="114" t="s">
        <v>79</v>
      </c>
      <c r="I36" s="114" t="s">
        <v>25</v>
      </c>
      <c r="J36" s="114">
        <v>786.26</v>
      </c>
      <c r="K36" s="114">
        <v>209.32</v>
      </c>
      <c r="L36" s="114">
        <v>0</v>
      </c>
      <c r="M36" s="114">
        <v>1.3205166154760499</v>
      </c>
      <c r="N36" s="114">
        <v>0</v>
      </c>
      <c r="O36" s="114">
        <v>0</v>
      </c>
      <c r="P36" s="114">
        <v>0</v>
      </c>
      <c r="Q36" s="114">
        <v>83.463821308212005</v>
      </c>
      <c r="R36" s="114">
        <v>13.189933878847601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v>108.95330371897199</v>
      </c>
      <c r="Y36" s="114">
        <v>0</v>
      </c>
      <c r="Z36" s="114">
        <v>0</v>
      </c>
      <c r="AA36" s="114">
        <v>542.19852249770804</v>
      </c>
      <c r="AB36" s="114">
        <v>0</v>
      </c>
      <c r="AC36" s="114">
        <v>0</v>
      </c>
      <c r="AD36" s="114">
        <v>0</v>
      </c>
      <c r="AE36" s="114">
        <v>32.798556691181403</v>
      </c>
      <c r="AF36" s="114">
        <v>0</v>
      </c>
      <c r="AG36" s="114">
        <v>4.3382297378938199</v>
      </c>
      <c r="AH36" s="114">
        <v>0</v>
      </c>
      <c r="AI36" s="114">
        <v>0</v>
      </c>
      <c r="AJ36" s="114">
        <v>0</v>
      </c>
      <c r="AK36" s="114">
        <v>0</v>
      </c>
      <c r="AL36" s="114">
        <v>14.8219821508447</v>
      </c>
      <c r="AM36" s="114">
        <v>0</v>
      </c>
      <c r="AN36" s="114">
        <v>194.501215458882</v>
      </c>
      <c r="AO36" s="114">
        <v>0</v>
      </c>
      <c r="AP36" s="114">
        <v>0</v>
      </c>
      <c r="AQ36" s="114">
        <v>0</v>
      </c>
      <c r="AR36" s="114">
        <v>0</v>
      </c>
      <c r="AS36" s="114">
        <v>0</v>
      </c>
      <c r="AT36" s="115">
        <v>0</v>
      </c>
    </row>
    <row r="37" spans="2:46" ht="12" customHeight="1" x14ac:dyDescent="0.3">
      <c r="B37" s="113" t="s">
        <v>40</v>
      </c>
      <c r="C37" s="114" t="s">
        <v>92</v>
      </c>
      <c r="D37" s="114" t="s">
        <v>41</v>
      </c>
      <c r="E37" s="114" t="s">
        <v>96</v>
      </c>
      <c r="F37" s="114" t="s">
        <v>25</v>
      </c>
      <c r="G37" s="114" t="s">
        <v>37</v>
      </c>
      <c r="H37" s="114" t="s">
        <v>79</v>
      </c>
      <c r="I37" s="114" t="s">
        <v>25</v>
      </c>
      <c r="J37" s="114">
        <v>352.19</v>
      </c>
      <c r="K37" s="114">
        <v>209.32</v>
      </c>
      <c r="L37" s="114">
        <v>0</v>
      </c>
      <c r="M37" s="114">
        <v>1.3205166154760499</v>
      </c>
      <c r="N37" s="114">
        <v>0</v>
      </c>
      <c r="O37" s="114">
        <v>0</v>
      </c>
      <c r="P37" s="114">
        <v>0</v>
      </c>
      <c r="Q37" s="114">
        <v>83.463821308212005</v>
      </c>
      <c r="R37" s="114">
        <v>13.189933878847601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36.343895796904</v>
      </c>
      <c r="Y37" s="114">
        <v>0</v>
      </c>
      <c r="Z37" s="114">
        <v>0</v>
      </c>
      <c r="AA37" s="114">
        <v>180.732840832569</v>
      </c>
      <c r="AB37" s="114">
        <v>0</v>
      </c>
      <c r="AC37" s="114">
        <v>0</v>
      </c>
      <c r="AD37" s="114">
        <v>0</v>
      </c>
      <c r="AE37" s="114">
        <v>32.798556691181403</v>
      </c>
      <c r="AF37" s="114">
        <v>0</v>
      </c>
      <c r="AG37" s="114">
        <v>4.3382297378938199</v>
      </c>
      <c r="AH37" s="114">
        <v>0</v>
      </c>
      <c r="AI37" s="114">
        <v>0</v>
      </c>
      <c r="AJ37" s="114">
        <v>0</v>
      </c>
      <c r="AK37" s="114">
        <v>0</v>
      </c>
      <c r="AL37" s="114">
        <v>14.8219821508447</v>
      </c>
      <c r="AM37" s="114">
        <v>0</v>
      </c>
      <c r="AN37" s="114">
        <v>194.501215458882</v>
      </c>
      <c r="AO37" s="114">
        <v>0</v>
      </c>
      <c r="AP37" s="114">
        <v>0</v>
      </c>
      <c r="AQ37" s="114">
        <v>0</v>
      </c>
      <c r="AR37" s="114">
        <v>0</v>
      </c>
      <c r="AS37" s="114">
        <v>0</v>
      </c>
      <c r="AT37" s="115">
        <v>0</v>
      </c>
    </row>
    <row r="38" spans="2:46" ht="12" customHeight="1" x14ac:dyDescent="0.3">
      <c r="B38" s="113" t="s">
        <v>40</v>
      </c>
      <c r="C38" s="114" t="s">
        <v>23</v>
      </c>
      <c r="D38" s="114" t="s">
        <v>41</v>
      </c>
      <c r="E38" s="114" t="s">
        <v>95</v>
      </c>
      <c r="F38" s="114" t="s">
        <v>25</v>
      </c>
      <c r="G38" s="114" t="s">
        <v>25</v>
      </c>
      <c r="H38" s="114" t="s">
        <v>79</v>
      </c>
      <c r="I38" s="114" t="s">
        <v>25</v>
      </c>
      <c r="J38" s="114">
        <v>513.96</v>
      </c>
      <c r="K38" s="114">
        <v>213.87</v>
      </c>
      <c r="L38" s="114">
        <v>0</v>
      </c>
      <c r="M38" s="114">
        <v>1.3492234984211899</v>
      </c>
      <c r="N38" s="114">
        <v>0</v>
      </c>
      <c r="O38" s="114">
        <v>0</v>
      </c>
      <c r="P38" s="114">
        <v>0</v>
      </c>
      <c r="Q38" s="114">
        <v>85.278252206216607</v>
      </c>
      <c r="R38" s="114">
        <v>13.476671571866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  <c r="X38" s="114">
        <v>62.922208490689002</v>
      </c>
      <c r="Y38" s="114">
        <v>0</v>
      </c>
      <c r="Z38" s="114">
        <v>0</v>
      </c>
      <c r="AA38" s="114">
        <v>312.98602006440302</v>
      </c>
      <c r="AB38" s="114">
        <v>0</v>
      </c>
      <c r="AC38" s="114">
        <v>0</v>
      </c>
      <c r="AD38" s="114">
        <v>0</v>
      </c>
      <c r="AE38" s="114">
        <v>33.511568793163597</v>
      </c>
      <c r="AF38" s="114">
        <v>0</v>
      </c>
      <c r="AG38" s="114">
        <v>4.4325390800219404</v>
      </c>
      <c r="AH38" s="114">
        <v>0</v>
      </c>
      <c r="AI38" s="114">
        <v>0</v>
      </c>
      <c r="AJ38" s="114">
        <v>0</v>
      </c>
      <c r="AK38" s="114">
        <v>0</v>
      </c>
      <c r="AL38" s="114">
        <v>15.1441991541239</v>
      </c>
      <c r="AM38" s="114">
        <v>0</v>
      </c>
      <c r="AN38" s="114">
        <v>198.72950275146599</v>
      </c>
      <c r="AO38" s="114">
        <v>0</v>
      </c>
      <c r="AP38" s="114">
        <v>0</v>
      </c>
      <c r="AQ38" s="114">
        <v>0</v>
      </c>
      <c r="AR38" s="114">
        <v>0</v>
      </c>
      <c r="AS38" s="114">
        <v>0</v>
      </c>
      <c r="AT38" s="115">
        <v>0</v>
      </c>
    </row>
    <row r="39" spans="2:46" ht="12" customHeight="1" x14ac:dyDescent="0.3">
      <c r="B39" s="113" t="s">
        <v>40</v>
      </c>
      <c r="C39" s="114" t="s">
        <v>23</v>
      </c>
      <c r="D39" s="114" t="s">
        <v>41</v>
      </c>
      <c r="E39" s="114" t="s">
        <v>25</v>
      </c>
      <c r="F39" s="114" t="s">
        <v>25</v>
      </c>
      <c r="G39" s="114" t="s">
        <v>25</v>
      </c>
      <c r="H39" s="114" t="s">
        <v>79</v>
      </c>
      <c r="I39" s="114" t="s">
        <v>25</v>
      </c>
      <c r="J39" s="114">
        <v>513.96</v>
      </c>
      <c r="K39" s="114">
        <v>213.87</v>
      </c>
      <c r="L39" s="114">
        <v>0</v>
      </c>
      <c r="M39" s="114">
        <v>1.3492234984211899</v>
      </c>
      <c r="N39" s="114">
        <v>0</v>
      </c>
      <c r="O39" s="114">
        <v>0</v>
      </c>
      <c r="P39" s="114">
        <v>0</v>
      </c>
      <c r="Q39" s="114">
        <v>85.278252206216607</v>
      </c>
      <c r="R39" s="114">
        <v>13.476671571866</v>
      </c>
      <c r="S39" s="114">
        <v>0</v>
      </c>
      <c r="T39" s="114">
        <v>0</v>
      </c>
      <c r="U39" s="114">
        <v>0</v>
      </c>
      <c r="V39" s="114">
        <v>0</v>
      </c>
      <c r="W39" s="114">
        <v>0</v>
      </c>
      <c r="X39" s="114">
        <v>62.922208490689002</v>
      </c>
      <c r="Y39" s="114">
        <v>0</v>
      </c>
      <c r="Z39" s="114">
        <v>0</v>
      </c>
      <c r="AA39" s="114">
        <v>312.98602006440302</v>
      </c>
      <c r="AB39" s="114">
        <v>0</v>
      </c>
      <c r="AC39" s="114">
        <v>0</v>
      </c>
      <c r="AD39" s="114">
        <v>0</v>
      </c>
      <c r="AE39" s="114">
        <v>33.511568793163597</v>
      </c>
      <c r="AF39" s="114">
        <v>0</v>
      </c>
      <c r="AG39" s="114">
        <v>4.4325390800219404</v>
      </c>
      <c r="AH39" s="114">
        <v>0</v>
      </c>
      <c r="AI39" s="114">
        <v>0</v>
      </c>
      <c r="AJ39" s="114">
        <v>0</v>
      </c>
      <c r="AK39" s="114">
        <v>0</v>
      </c>
      <c r="AL39" s="114">
        <v>15.1441991541239</v>
      </c>
      <c r="AM39" s="114">
        <v>0</v>
      </c>
      <c r="AN39" s="114">
        <v>198.72950275146599</v>
      </c>
      <c r="AO39" s="114">
        <v>0</v>
      </c>
      <c r="AP39" s="114">
        <v>0</v>
      </c>
      <c r="AQ39" s="114">
        <v>0</v>
      </c>
      <c r="AR39" s="114">
        <v>0</v>
      </c>
      <c r="AS39" s="114">
        <v>0</v>
      </c>
      <c r="AT39" s="115">
        <v>0</v>
      </c>
    </row>
    <row r="40" spans="2:46" ht="12" customHeight="1" x14ac:dyDescent="0.3">
      <c r="B40" s="113" t="s">
        <v>40</v>
      </c>
      <c r="C40" s="114" t="s">
        <v>23</v>
      </c>
      <c r="D40" s="114" t="s">
        <v>41</v>
      </c>
      <c r="E40" s="114" t="s">
        <v>96</v>
      </c>
      <c r="F40" s="114" t="s">
        <v>25</v>
      </c>
      <c r="G40" s="114" t="s">
        <v>25</v>
      </c>
      <c r="H40" s="114" t="s">
        <v>79</v>
      </c>
      <c r="I40" s="114" t="s">
        <v>25</v>
      </c>
      <c r="J40" s="114">
        <v>503.02</v>
      </c>
      <c r="K40" s="114">
        <v>209.32</v>
      </c>
      <c r="L40" s="114">
        <v>0</v>
      </c>
      <c r="M40" s="114">
        <v>1.3205166154760499</v>
      </c>
      <c r="N40" s="114">
        <v>0</v>
      </c>
      <c r="O40" s="114">
        <v>0</v>
      </c>
      <c r="P40" s="114">
        <v>0</v>
      </c>
      <c r="Q40" s="114">
        <v>83.463821308212005</v>
      </c>
      <c r="R40" s="114">
        <v>13.189933878847601</v>
      </c>
      <c r="S40" s="114">
        <v>0</v>
      </c>
      <c r="T40" s="114">
        <v>0</v>
      </c>
      <c r="U40" s="114">
        <v>0</v>
      </c>
      <c r="V40" s="114">
        <v>0</v>
      </c>
      <c r="W40" s="114">
        <v>0</v>
      </c>
      <c r="X40" s="114">
        <v>61.583438097270097</v>
      </c>
      <c r="Y40" s="114">
        <v>0</v>
      </c>
      <c r="Z40" s="114">
        <v>0</v>
      </c>
      <c r="AA40" s="114">
        <v>306.32674304175703</v>
      </c>
      <c r="AB40" s="114">
        <v>0</v>
      </c>
      <c r="AC40" s="114">
        <v>0</v>
      </c>
      <c r="AD40" s="114">
        <v>0</v>
      </c>
      <c r="AE40" s="114">
        <v>32.798556691181403</v>
      </c>
      <c r="AF40" s="114">
        <v>0</v>
      </c>
      <c r="AG40" s="114">
        <v>4.3382297378938199</v>
      </c>
      <c r="AH40" s="114">
        <v>0</v>
      </c>
      <c r="AI40" s="114">
        <v>0</v>
      </c>
      <c r="AJ40" s="114">
        <v>0</v>
      </c>
      <c r="AK40" s="114">
        <v>0</v>
      </c>
      <c r="AL40" s="114">
        <v>14.8219821508447</v>
      </c>
      <c r="AM40" s="114">
        <v>0</v>
      </c>
      <c r="AN40" s="114">
        <v>194.501215458882</v>
      </c>
      <c r="AO40" s="114">
        <v>0</v>
      </c>
      <c r="AP40" s="114">
        <v>0</v>
      </c>
      <c r="AQ40" s="114">
        <v>0</v>
      </c>
      <c r="AR40" s="114">
        <v>0</v>
      </c>
      <c r="AS40" s="114">
        <v>0</v>
      </c>
      <c r="AT40" s="115">
        <v>0</v>
      </c>
    </row>
    <row r="41" spans="2:46" ht="12" customHeight="1" x14ac:dyDescent="0.3">
      <c r="B41" s="113" t="s">
        <v>40</v>
      </c>
      <c r="C41" s="114" t="s">
        <v>94</v>
      </c>
      <c r="D41" s="114" t="s">
        <v>41</v>
      </c>
      <c r="E41" s="114" t="s">
        <v>95</v>
      </c>
      <c r="F41" s="114" t="s">
        <v>25</v>
      </c>
      <c r="G41" s="114" t="s">
        <v>25</v>
      </c>
      <c r="H41" s="114" t="s">
        <v>79</v>
      </c>
      <c r="I41" s="114" t="s">
        <v>25</v>
      </c>
      <c r="J41" s="114">
        <v>513.96</v>
      </c>
      <c r="K41" s="114">
        <v>213.87</v>
      </c>
      <c r="L41" s="114">
        <v>0</v>
      </c>
      <c r="M41" s="114">
        <v>1.3492234984211899</v>
      </c>
      <c r="N41" s="114">
        <v>0</v>
      </c>
      <c r="O41" s="114">
        <v>0</v>
      </c>
      <c r="P41" s="114">
        <v>0</v>
      </c>
      <c r="Q41" s="114">
        <v>85.278252206216607</v>
      </c>
      <c r="R41" s="114">
        <v>13.476671571866</v>
      </c>
      <c r="S41" s="114">
        <v>0</v>
      </c>
      <c r="T41" s="114">
        <v>0</v>
      </c>
      <c r="U41" s="114">
        <v>0</v>
      </c>
      <c r="V41" s="114">
        <v>0</v>
      </c>
      <c r="W41" s="114">
        <v>0</v>
      </c>
      <c r="X41" s="114">
        <v>62.922208490689002</v>
      </c>
      <c r="Y41" s="114">
        <v>0</v>
      </c>
      <c r="Z41" s="114">
        <v>0</v>
      </c>
      <c r="AA41" s="114">
        <v>312.98602006440302</v>
      </c>
      <c r="AB41" s="114">
        <v>0</v>
      </c>
      <c r="AC41" s="114">
        <v>0</v>
      </c>
      <c r="AD41" s="114">
        <v>0</v>
      </c>
      <c r="AE41" s="114">
        <v>33.511568793163597</v>
      </c>
      <c r="AF41" s="114">
        <v>0</v>
      </c>
      <c r="AG41" s="114">
        <v>4.4325390800219404</v>
      </c>
      <c r="AH41" s="114">
        <v>0</v>
      </c>
      <c r="AI41" s="114">
        <v>0</v>
      </c>
      <c r="AJ41" s="114">
        <v>0</v>
      </c>
      <c r="AK41" s="114">
        <v>0</v>
      </c>
      <c r="AL41" s="114">
        <v>15.1441991541239</v>
      </c>
      <c r="AM41" s="114">
        <v>0</v>
      </c>
      <c r="AN41" s="114">
        <v>198.72950275146599</v>
      </c>
      <c r="AO41" s="114">
        <v>0</v>
      </c>
      <c r="AP41" s="114">
        <v>0</v>
      </c>
      <c r="AQ41" s="114">
        <v>0</v>
      </c>
      <c r="AR41" s="114">
        <v>0</v>
      </c>
      <c r="AS41" s="114">
        <v>0</v>
      </c>
      <c r="AT41" s="115">
        <v>0</v>
      </c>
    </row>
    <row r="42" spans="2:46" ht="12" customHeight="1" x14ac:dyDescent="0.3">
      <c r="B42" s="113" t="s">
        <v>40</v>
      </c>
      <c r="C42" s="114" t="s">
        <v>94</v>
      </c>
      <c r="D42" s="114" t="s">
        <v>41</v>
      </c>
      <c r="E42" s="114" t="s">
        <v>25</v>
      </c>
      <c r="F42" s="114" t="s">
        <v>25</v>
      </c>
      <c r="G42" s="114" t="s">
        <v>25</v>
      </c>
      <c r="H42" s="114" t="s">
        <v>79</v>
      </c>
      <c r="I42" s="114" t="s">
        <v>25</v>
      </c>
      <c r="J42" s="114">
        <v>513.96</v>
      </c>
      <c r="K42" s="114">
        <v>213.87</v>
      </c>
      <c r="L42" s="114">
        <v>0</v>
      </c>
      <c r="M42" s="114">
        <v>1.3492234984211899</v>
      </c>
      <c r="N42" s="114">
        <v>0</v>
      </c>
      <c r="O42" s="114">
        <v>0</v>
      </c>
      <c r="P42" s="114">
        <v>0</v>
      </c>
      <c r="Q42" s="114">
        <v>85.278252206216607</v>
      </c>
      <c r="R42" s="114">
        <v>13.476671571866</v>
      </c>
      <c r="S42" s="114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62.922208490689002</v>
      </c>
      <c r="Y42" s="114">
        <v>0</v>
      </c>
      <c r="Z42" s="114">
        <v>0</v>
      </c>
      <c r="AA42" s="114">
        <v>312.98602006440302</v>
      </c>
      <c r="AB42" s="114">
        <v>0</v>
      </c>
      <c r="AC42" s="114">
        <v>0</v>
      </c>
      <c r="AD42" s="114">
        <v>0</v>
      </c>
      <c r="AE42" s="114">
        <v>33.511568793163597</v>
      </c>
      <c r="AF42" s="114">
        <v>0</v>
      </c>
      <c r="AG42" s="114">
        <v>4.4325390800219404</v>
      </c>
      <c r="AH42" s="114">
        <v>0</v>
      </c>
      <c r="AI42" s="114">
        <v>0</v>
      </c>
      <c r="AJ42" s="114">
        <v>0</v>
      </c>
      <c r="AK42" s="114">
        <v>0</v>
      </c>
      <c r="AL42" s="114">
        <v>15.1441991541239</v>
      </c>
      <c r="AM42" s="114">
        <v>0</v>
      </c>
      <c r="AN42" s="114">
        <v>198.72950275146599</v>
      </c>
      <c r="AO42" s="114">
        <v>0</v>
      </c>
      <c r="AP42" s="114">
        <v>0</v>
      </c>
      <c r="AQ42" s="114">
        <v>0</v>
      </c>
      <c r="AR42" s="114">
        <v>0</v>
      </c>
      <c r="AS42" s="114">
        <v>0</v>
      </c>
      <c r="AT42" s="115">
        <v>0</v>
      </c>
    </row>
    <row r="43" spans="2:46" ht="12" customHeight="1" x14ac:dyDescent="0.3">
      <c r="B43" s="113" t="s">
        <v>40</v>
      </c>
      <c r="C43" s="114" t="s">
        <v>94</v>
      </c>
      <c r="D43" s="114" t="s">
        <v>41</v>
      </c>
      <c r="E43" s="114" t="s">
        <v>96</v>
      </c>
      <c r="F43" s="114" t="s">
        <v>25</v>
      </c>
      <c r="G43" s="114" t="s">
        <v>25</v>
      </c>
      <c r="H43" s="114" t="s">
        <v>79</v>
      </c>
      <c r="I43" s="114" t="s">
        <v>25</v>
      </c>
      <c r="J43" s="114">
        <v>503.02</v>
      </c>
      <c r="K43" s="114">
        <v>209.32</v>
      </c>
      <c r="L43" s="114">
        <v>0</v>
      </c>
      <c r="M43" s="114">
        <v>1.3205166154760499</v>
      </c>
      <c r="N43" s="114">
        <v>0</v>
      </c>
      <c r="O43" s="114">
        <v>0</v>
      </c>
      <c r="P43" s="114">
        <v>0</v>
      </c>
      <c r="Q43" s="114">
        <v>83.463821308212005</v>
      </c>
      <c r="R43" s="114">
        <v>13.189933878847601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61.583438097270097</v>
      </c>
      <c r="Y43" s="114">
        <v>0</v>
      </c>
      <c r="Z43" s="114">
        <v>0</v>
      </c>
      <c r="AA43" s="114">
        <v>306.32674304175703</v>
      </c>
      <c r="AB43" s="114">
        <v>0</v>
      </c>
      <c r="AC43" s="114">
        <v>0</v>
      </c>
      <c r="AD43" s="114">
        <v>0</v>
      </c>
      <c r="AE43" s="114">
        <v>32.798556691181403</v>
      </c>
      <c r="AF43" s="114">
        <v>0</v>
      </c>
      <c r="AG43" s="114">
        <v>4.3382297378938199</v>
      </c>
      <c r="AH43" s="114">
        <v>0</v>
      </c>
      <c r="AI43" s="114">
        <v>0</v>
      </c>
      <c r="AJ43" s="114">
        <v>0</v>
      </c>
      <c r="AK43" s="114">
        <v>0</v>
      </c>
      <c r="AL43" s="114">
        <v>14.8219821508447</v>
      </c>
      <c r="AM43" s="114">
        <v>0</v>
      </c>
      <c r="AN43" s="114">
        <v>194.501215458882</v>
      </c>
      <c r="AO43" s="114">
        <v>0</v>
      </c>
      <c r="AP43" s="114">
        <v>0</v>
      </c>
      <c r="AQ43" s="114">
        <v>0</v>
      </c>
      <c r="AR43" s="114">
        <v>0</v>
      </c>
      <c r="AS43" s="114">
        <v>0</v>
      </c>
      <c r="AT43" s="115">
        <v>0</v>
      </c>
    </row>
    <row r="44" spans="2:46" ht="12" customHeight="1" x14ac:dyDescent="0.3">
      <c r="B44" s="113" t="s">
        <v>32</v>
      </c>
      <c r="C44" s="114" t="s">
        <v>92</v>
      </c>
      <c r="D44" s="114" t="s">
        <v>25</v>
      </c>
      <c r="E44" s="114" t="s">
        <v>25</v>
      </c>
      <c r="F44" s="114" t="s">
        <v>25</v>
      </c>
      <c r="G44" s="114" t="s">
        <v>36</v>
      </c>
      <c r="H44" s="114" t="s">
        <v>79</v>
      </c>
      <c r="I44" s="114" t="s">
        <v>25</v>
      </c>
      <c r="J44" s="114">
        <v>1506.48</v>
      </c>
      <c r="K44" s="114">
        <v>227.53</v>
      </c>
      <c r="L44" s="114">
        <v>0</v>
      </c>
      <c r="M44" s="114">
        <v>1.43534414725658</v>
      </c>
      <c r="N44" s="114">
        <v>0</v>
      </c>
      <c r="O44" s="114">
        <v>0</v>
      </c>
      <c r="P44" s="114">
        <v>0</v>
      </c>
      <c r="Q44" s="114">
        <v>90.721544900230398</v>
      </c>
      <c r="R44" s="114">
        <v>14.3368846509213</v>
      </c>
      <c r="S44" s="114">
        <v>0</v>
      </c>
      <c r="T44" s="114">
        <v>0</v>
      </c>
      <c r="U44" s="114">
        <v>0</v>
      </c>
      <c r="V44" s="114">
        <v>0</v>
      </c>
      <c r="W44" s="114">
        <v>0</v>
      </c>
      <c r="X44" s="114">
        <v>227.539847095298</v>
      </c>
      <c r="Y44" s="114">
        <v>0</v>
      </c>
      <c r="Z44" s="114">
        <v>0</v>
      </c>
      <c r="AA44" s="114">
        <v>1132.0772069621701</v>
      </c>
      <c r="AB44" s="114">
        <v>0</v>
      </c>
      <c r="AC44" s="114">
        <v>0</v>
      </c>
      <c r="AD44" s="114">
        <v>0</v>
      </c>
      <c r="AE44" s="114">
        <v>35.650605099110201</v>
      </c>
      <c r="AF44" s="114">
        <v>0</v>
      </c>
      <c r="AG44" s="114">
        <v>4.7154671064063196</v>
      </c>
      <c r="AH44" s="114">
        <v>0</v>
      </c>
      <c r="AI44" s="114">
        <v>0</v>
      </c>
      <c r="AJ44" s="114">
        <v>0</v>
      </c>
      <c r="AK44" s="114">
        <v>0</v>
      </c>
      <c r="AL44" s="114">
        <v>16.110850163961601</v>
      </c>
      <c r="AM44" s="114">
        <v>0</v>
      </c>
      <c r="AN44" s="114">
        <v>211.41436462921899</v>
      </c>
      <c r="AO44" s="114">
        <v>0</v>
      </c>
      <c r="AP44" s="114">
        <v>0</v>
      </c>
      <c r="AQ44" s="114">
        <v>0</v>
      </c>
      <c r="AR44" s="114">
        <v>0</v>
      </c>
      <c r="AS44" s="114">
        <v>0</v>
      </c>
      <c r="AT44" s="115">
        <v>0</v>
      </c>
    </row>
    <row r="45" spans="2:46" ht="12" customHeight="1" x14ac:dyDescent="0.3">
      <c r="B45" s="113" t="s">
        <v>32</v>
      </c>
      <c r="C45" s="114" t="s">
        <v>92</v>
      </c>
      <c r="D45" s="114" t="s">
        <v>25</v>
      </c>
      <c r="E45" s="114" t="s">
        <v>25</v>
      </c>
      <c r="F45" s="114" t="s">
        <v>25</v>
      </c>
      <c r="G45" s="114" t="s">
        <v>541</v>
      </c>
      <c r="H45" s="114" t="s">
        <v>79</v>
      </c>
      <c r="I45" s="114" t="s">
        <v>25</v>
      </c>
      <c r="J45" s="114">
        <v>962.62</v>
      </c>
      <c r="K45" s="114">
        <v>227.53</v>
      </c>
      <c r="L45" s="114">
        <v>0</v>
      </c>
      <c r="M45" s="114">
        <v>1.43534414725658</v>
      </c>
      <c r="N45" s="114">
        <v>0</v>
      </c>
      <c r="O45" s="114">
        <v>0</v>
      </c>
      <c r="P45" s="114">
        <v>0</v>
      </c>
      <c r="Q45" s="114">
        <v>90.721544900230398</v>
      </c>
      <c r="R45" s="114">
        <v>14.3368846509213</v>
      </c>
      <c r="S45" s="114">
        <v>0</v>
      </c>
      <c r="T45" s="114">
        <v>0</v>
      </c>
      <c r="U45" s="114">
        <v>0</v>
      </c>
      <c r="V45" s="114">
        <v>0</v>
      </c>
      <c r="W45" s="114">
        <v>0</v>
      </c>
      <c r="X45" s="114">
        <v>136.51822828096601</v>
      </c>
      <c r="Y45" s="114">
        <v>0</v>
      </c>
      <c r="Z45" s="114">
        <v>0</v>
      </c>
      <c r="AA45" s="114">
        <v>679.24638073339895</v>
      </c>
      <c r="AB45" s="114">
        <v>0</v>
      </c>
      <c r="AC45" s="114">
        <v>0</v>
      </c>
      <c r="AD45" s="114">
        <v>0</v>
      </c>
      <c r="AE45" s="114">
        <v>35.650605099110201</v>
      </c>
      <c r="AF45" s="114">
        <v>0</v>
      </c>
      <c r="AG45" s="114">
        <v>4.7154671064063196</v>
      </c>
      <c r="AH45" s="114">
        <v>0</v>
      </c>
      <c r="AI45" s="114">
        <v>0</v>
      </c>
      <c r="AJ45" s="114">
        <v>0</v>
      </c>
      <c r="AK45" s="114">
        <v>0</v>
      </c>
      <c r="AL45" s="114">
        <v>16.110850163961601</v>
      </c>
      <c r="AM45" s="114">
        <v>0</v>
      </c>
      <c r="AN45" s="114">
        <v>211.41436462921899</v>
      </c>
      <c r="AO45" s="114">
        <v>0</v>
      </c>
      <c r="AP45" s="114">
        <v>0</v>
      </c>
      <c r="AQ45" s="114">
        <v>0</v>
      </c>
      <c r="AR45" s="114">
        <v>0</v>
      </c>
      <c r="AS45" s="114">
        <v>0</v>
      </c>
      <c r="AT45" s="115">
        <v>0</v>
      </c>
    </row>
    <row r="46" spans="2:46" ht="12" customHeight="1" x14ac:dyDescent="0.3">
      <c r="B46" s="113" t="s">
        <v>32</v>
      </c>
      <c r="C46" s="114" t="s">
        <v>92</v>
      </c>
      <c r="D46" s="114" t="s">
        <v>25</v>
      </c>
      <c r="E46" s="114" t="s">
        <v>25</v>
      </c>
      <c r="F46" s="114" t="s">
        <v>25</v>
      </c>
      <c r="G46" s="114" t="s">
        <v>37</v>
      </c>
      <c r="H46" s="114" t="s">
        <v>79</v>
      </c>
      <c r="I46" s="114" t="s">
        <v>25</v>
      </c>
      <c r="J46" s="114">
        <v>418.8</v>
      </c>
      <c r="K46" s="114">
        <v>227.53</v>
      </c>
      <c r="L46" s="114">
        <v>0</v>
      </c>
      <c r="M46" s="114">
        <v>1.43534414725658</v>
      </c>
      <c r="N46" s="114">
        <v>0</v>
      </c>
      <c r="O46" s="114">
        <v>0</v>
      </c>
      <c r="P46" s="114">
        <v>0</v>
      </c>
      <c r="Q46" s="114">
        <v>90.721544900230398</v>
      </c>
      <c r="R46" s="114">
        <v>14.3368846509213</v>
      </c>
      <c r="S46" s="114">
        <v>0</v>
      </c>
      <c r="T46" s="114">
        <v>0</v>
      </c>
      <c r="U46" s="114">
        <v>0</v>
      </c>
      <c r="V46" s="114">
        <v>0</v>
      </c>
      <c r="W46" s="114">
        <v>0</v>
      </c>
      <c r="X46" s="114">
        <v>45.525009347698798</v>
      </c>
      <c r="Y46" s="114">
        <v>0</v>
      </c>
      <c r="Z46" s="114">
        <v>0</v>
      </c>
      <c r="AA46" s="114">
        <v>226.41555450463099</v>
      </c>
      <c r="AB46" s="114">
        <v>0</v>
      </c>
      <c r="AC46" s="114">
        <v>0</v>
      </c>
      <c r="AD46" s="114">
        <v>0</v>
      </c>
      <c r="AE46" s="114">
        <v>35.650605099110201</v>
      </c>
      <c r="AF46" s="114">
        <v>0</v>
      </c>
      <c r="AG46" s="114">
        <v>4.7154671064063196</v>
      </c>
      <c r="AH46" s="114">
        <v>0</v>
      </c>
      <c r="AI46" s="114">
        <v>0</v>
      </c>
      <c r="AJ46" s="114">
        <v>0</v>
      </c>
      <c r="AK46" s="114">
        <v>0</v>
      </c>
      <c r="AL46" s="114">
        <v>16.110850163961601</v>
      </c>
      <c r="AM46" s="114">
        <v>0</v>
      </c>
      <c r="AN46" s="114">
        <v>211.41436462921899</v>
      </c>
      <c r="AO46" s="114">
        <v>0</v>
      </c>
      <c r="AP46" s="114">
        <v>0</v>
      </c>
      <c r="AQ46" s="114">
        <v>0</v>
      </c>
      <c r="AR46" s="114">
        <v>0</v>
      </c>
      <c r="AS46" s="114">
        <v>0</v>
      </c>
      <c r="AT46" s="115">
        <v>0</v>
      </c>
    </row>
    <row r="47" spans="2:46" ht="12" customHeight="1" x14ac:dyDescent="0.3">
      <c r="B47" s="113" t="s">
        <v>32</v>
      </c>
      <c r="C47" s="114" t="s">
        <v>23</v>
      </c>
      <c r="D47" s="114" t="s">
        <v>25</v>
      </c>
      <c r="E47" s="114" t="s">
        <v>25</v>
      </c>
      <c r="F47" s="114" t="s">
        <v>25</v>
      </c>
      <c r="G47" s="114" t="s">
        <v>25</v>
      </c>
      <c r="H47" s="114" t="s">
        <v>79</v>
      </c>
      <c r="I47" s="114" t="s">
        <v>25</v>
      </c>
      <c r="J47" s="114">
        <v>546.76</v>
      </c>
      <c r="K47" s="114">
        <v>227.53</v>
      </c>
      <c r="L47" s="114">
        <v>0</v>
      </c>
      <c r="M47" s="114">
        <v>1.43534414725658</v>
      </c>
      <c r="N47" s="114">
        <v>0</v>
      </c>
      <c r="O47" s="114">
        <v>0</v>
      </c>
      <c r="P47" s="114">
        <v>0</v>
      </c>
      <c r="Q47" s="114">
        <v>90.721544900230398</v>
      </c>
      <c r="R47" s="114">
        <v>14.3368846509213</v>
      </c>
      <c r="S47" s="114">
        <v>0</v>
      </c>
      <c r="T47" s="114">
        <v>0</v>
      </c>
      <c r="U47" s="114">
        <v>0</v>
      </c>
      <c r="V47" s="114">
        <v>0</v>
      </c>
      <c r="W47" s="114">
        <v>0</v>
      </c>
      <c r="X47" s="114">
        <v>66.938519670945695</v>
      </c>
      <c r="Y47" s="114">
        <v>0</v>
      </c>
      <c r="Z47" s="114">
        <v>0</v>
      </c>
      <c r="AA47" s="114">
        <v>332.96385113234402</v>
      </c>
      <c r="AB47" s="114">
        <v>0</v>
      </c>
      <c r="AC47" s="114">
        <v>0</v>
      </c>
      <c r="AD47" s="114">
        <v>0</v>
      </c>
      <c r="AE47" s="114">
        <v>35.650605099110201</v>
      </c>
      <c r="AF47" s="114">
        <v>0</v>
      </c>
      <c r="AG47" s="114">
        <v>4.7154671064063196</v>
      </c>
      <c r="AH47" s="114">
        <v>0</v>
      </c>
      <c r="AI47" s="114">
        <v>0</v>
      </c>
      <c r="AJ47" s="114">
        <v>0</v>
      </c>
      <c r="AK47" s="114">
        <v>0</v>
      </c>
      <c r="AL47" s="114">
        <v>16.110850163961601</v>
      </c>
      <c r="AM47" s="114">
        <v>0</v>
      </c>
      <c r="AN47" s="114">
        <v>211.41436462921899</v>
      </c>
      <c r="AO47" s="114">
        <v>0</v>
      </c>
      <c r="AP47" s="114">
        <v>0</v>
      </c>
      <c r="AQ47" s="114">
        <v>0</v>
      </c>
      <c r="AR47" s="114">
        <v>0</v>
      </c>
      <c r="AS47" s="114">
        <v>0</v>
      </c>
      <c r="AT47" s="115">
        <v>0</v>
      </c>
    </row>
    <row r="48" spans="2:46" ht="12" customHeight="1" x14ac:dyDescent="0.3">
      <c r="B48" s="113" t="s">
        <v>32</v>
      </c>
      <c r="C48" s="114" t="s">
        <v>94</v>
      </c>
      <c r="D48" s="114" t="s">
        <v>25</v>
      </c>
      <c r="E48" s="114" t="s">
        <v>25</v>
      </c>
      <c r="F48" s="114" t="s">
        <v>25</v>
      </c>
      <c r="G48" s="114" t="s">
        <v>25</v>
      </c>
      <c r="H48" s="114" t="s">
        <v>79</v>
      </c>
      <c r="I48" s="114" t="s">
        <v>25</v>
      </c>
      <c r="J48" s="114">
        <v>546.76</v>
      </c>
      <c r="K48" s="114">
        <v>227.53</v>
      </c>
      <c r="L48" s="114">
        <v>0</v>
      </c>
      <c r="M48" s="114">
        <v>1.43534414725658</v>
      </c>
      <c r="N48" s="114">
        <v>0</v>
      </c>
      <c r="O48" s="114">
        <v>0</v>
      </c>
      <c r="P48" s="114">
        <v>0</v>
      </c>
      <c r="Q48" s="114">
        <v>90.721544900230398</v>
      </c>
      <c r="R48" s="114">
        <v>14.3368846509213</v>
      </c>
      <c r="S48" s="114">
        <v>0</v>
      </c>
      <c r="T48" s="114">
        <v>0</v>
      </c>
      <c r="U48" s="114">
        <v>0</v>
      </c>
      <c r="V48" s="114">
        <v>0</v>
      </c>
      <c r="W48" s="114">
        <v>0</v>
      </c>
      <c r="X48" s="114">
        <v>66.938519670945695</v>
      </c>
      <c r="Y48" s="114">
        <v>0</v>
      </c>
      <c r="Z48" s="114">
        <v>0</v>
      </c>
      <c r="AA48" s="114">
        <v>332.96385113234402</v>
      </c>
      <c r="AB48" s="114">
        <v>0</v>
      </c>
      <c r="AC48" s="114">
        <v>0</v>
      </c>
      <c r="AD48" s="114">
        <v>0</v>
      </c>
      <c r="AE48" s="114">
        <v>35.650605099110201</v>
      </c>
      <c r="AF48" s="114">
        <v>0</v>
      </c>
      <c r="AG48" s="114">
        <v>4.7154671064063196</v>
      </c>
      <c r="AH48" s="114">
        <v>0</v>
      </c>
      <c r="AI48" s="114">
        <v>0</v>
      </c>
      <c r="AJ48" s="114">
        <v>0</v>
      </c>
      <c r="AK48" s="114">
        <v>0</v>
      </c>
      <c r="AL48" s="114">
        <v>16.110850163961601</v>
      </c>
      <c r="AM48" s="114">
        <v>0</v>
      </c>
      <c r="AN48" s="114">
        <v>211.41436462921899</v>
      </c>
      <c r="AO48" s="114">
        <v>0</v>
      </c>
      <c r="AP48" s="114">
        <v>0</v>
      </c>
      <c r="AQ48" s="114">
        <v>0</v>
      </c>
      <c r="AR48" s="114">
        <v>0</v>
      </c>
      <c r="AS48" s="114">
        <v>0</v>
      </c>
      <c r="AT48" s="115">
        <v>0</v>
      </c>
    </row>
    <row r="49" spans="2:46" ht="12" customHeight="1" x14ac:dyDescent="0.3">
      <c r="B49" s="113" t="s">
        <v>43</v>
      </c>
      <c r="C49" s="114" t="s">
        <v>23</v>
      </c>
      <c r="D49" s="114" t="s">
        <v>44</v>
      </c>
      <c r="E49" s="114" t="s">
        <v>97</v>
      </c>
      <c r="F49" s="114" t="s">
        <v>25</v>
      </c>
      <c r="G49" s="114" t="s">
        <v>25</v>
      </c>
      <c r="H49" s="114" t="s">
        <v>79</v>
      </c>
      <c r="I49" s="114" t="s">
        <v>25</v>
      </c>
      <c r="J49" s="114">
        <v>300.72000000000003</v>
      </c>
      <c r="K49" s="114">
        <v>125.14</v>
      </c>
      <c r="L49" s="114">
        <v>0</v>
      </c>
      <c r="M49" s="114">
        <v>0.78943928099111904</v>
      </c>
      <c r="N49" s="114">
        <v>0</v>
      </c>
      <c r="O49" s="114">
        <v>0</v>
      </c>
      <c r="P49" s="114">
        <v>0</v>
      </c>
      <c r="Q49" s="114">
        <v>49.896849695126697</v>
      </c>
      <c r="R49" s="114">
        <v>7.8852865580067197</v>
      </c>
      <c r="S49" s="114">
        <v>0</v>
      </c>
      <c r="T49" s="114">
        <v>0</v>
      </c>
      <c r="U49" s="114">
        <v>0</v>
      </c>
      <c r="V49" s="114">
        <v>0</v>
      </c>
      <c r="W49" s="114">
        <v>0</v>
      </c>
      <c r="X49" s="114">
        <v>36.816185819020099</v>
      </c>
      <c r="Y49" s="114">
        <v>0</v>
      </c>
      <c r="Z49" s="114">
        <v>0</v>
      </c>
      <c r="AA49" s="114">
        <v>183.13011812278901</v>
      </c>
      <c r="AB49" s="114">
        <v>0</v>
      </c>
      <c r="AC49" s="114">
        <v>0</v>
      </c>
      <c r="AD49" s="114">
        <v>0</v>
      </c>
      <c r="AE49" s="114">
        <v>19.607832804510601</v>
      </c>
      <c r="AF49" s="114">
        <v>0</v>
      </c>
      <c r="AG49" s="114">
        <v>2.5935069085234801</v>
      </c>
      <c r="AH49" s="114">
        <v>0</v>
      </c>
      <c r="AI49" s="114">
        <v>0</v>
      </c>
      <c r="AJ49" s="114">
        <v>0</v>
      </c>
      <c r="AK49" s="114">
        <v>0</v>
      </c>
      <c r="AL49" s="114">
        <v>8.8609675901788805</v>
      </c>
      <c r="AM49" s="114">
        <v>0</v>
      </c>
      <c r="AN49" s="114">
        <v>116.277900546071</v>
      </c>
      <c r="AO49" s="114">
        <v>0</v>
      </c>
      <c r="AP49" s="114">
        <v>0</v>
      </c>
      <c r="AQ49" s="114">
        <v>0</v>
      </c>
      <c r="AR49" s="114">
        <v>0</v>
      </c>
      <c r="AS49" s="114">
        <v>0</v>
      </c>
      <c r="AT49" s="115">
        <v>0</v>
      </c>
    </row>
    <row r="50" spans="2:46" ht="12" customHeight="1" x14ac:dyDescent="0.3">
      <c r="B50" s="116" t="s">
        <v>43</v>
      </c>
      <c r="C50" s="117" t="s">
        <v>23</v>
      </c>
      <c r="D50" s="117" t="s">
        <v>44</v>
      </c>
      <c r="E50" s="117" t="s">
        <v>45</v>
      </c>
      <c r="F50" s="117" t="s">
        <v>25</v>
      </c>
      <c r="G50" s="117" t="s">
        <v>25</v>
      </c>
      <c r="H50" s="117" t="s">
        <v>79</v>
      </c>
      <c r="I50" s="117" t="s">
        <v>25</v>
      </c>
      <c r="J50" s="117">
        <v>328.06</v>
      </c>
      <c r="K50" s="117">
        <v>136.52000000000001</v>
      </c>
      <c r="L50" s="117">
        <v>0</v>
      </c>
      <c r="M50" s="117">
        <v>0.86120648835394797</v>
      </c>
      <c r="N50" s="117">
        <v>0</v>
      </c>
      <c r="O50" s="117">
        <v>0</v>
      </c>
      <c r="P50" s="117">
        <v>0</v>
      </c>
      <c r="Q50" s="117">
        <v>54.432926940138302</v>
      </c>
      <c r="R50" s="117">
        <v>8.6021307905527795</v>
      </c>
      <c r="S50" s="117">
        <v>0</v>
      </c>
      <c r="T50" s="117">
        <v>0</v>
      </c>
      <c r="U50" s="117">
        <v>0</v>
      </c>
      <c r="V50" s="117">
        <v>0</v>
      </c>
      <c r="W50" s="117">
        <v>0</v>
      </c>
      <c r="X50" s="117">
        <v>40.1631118025674</v>
      </c>
      <c r="Y50" s="117">
        <v>0</v>
      </c>
      <c r="Z50" s="117">
        <v>0</v>
      </c>
      <c r="AA50" s="117">
        <v>199.77831067940599</v>
      </c>
      <c r="AB50" s="117">
        <v>0</v>
      </c>
      <c r="AC50" s="117">
        <v>0</v>
      </c>
      <c r="AD50" s="117">
        <v>0</v>
      </c>
      <c r="AE50" s="117">
        <v>21.3903630594661</v>
      </c>
      <c r="AF50" s="117">
        <v>0</v>
      </c>
      <c r="AG50" s="117">
        <v>2.8292802638437902</v>
      </c>
      <c r="AH50" s="117">
        <v>0</v>
      </c>
      <c r="AI50" s="117">
        <v>0</v>
      </c>
      <c r="AJ50" s="117">
        <v>0</v>
      </c>
      <c r="AK50" s="117">
        <v>0</v>
      </c>
      <c r="AL50" s="117">
        <v>9.6665100983769605</v>
      </c>
      <c r="AM50" s="117">
        <v>0</v>
      </c>
      <c r="AN50" s="117">
        <v>126.848618777532</v>
      </c>
      <c r="AO50" s="117">
        <v>0</v>
      </c>
      <c r="AP50" s="117">
        <v>0</v>
      </c>
      <c r="AQ50" s="117">
        <v>0</v>
      </c>
      <c r="AR50" s="117">
        <v>0</v>
      </c>
      <c r="AS50" s="117">
        <v>0</v>
      </c>
      <c r="AT50" s="118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FE30-87F2-425A-9D3A-266E3BA2EBE2}">
  <dimension ref="B1:AT50"/>
  <sheetViews>
    <sheetView showGridLines="0" tabSelected="1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0.88671875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19" t="s">
        <v>1075</v>
      </c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</row>
    <row r="2" spans="2:46" ht="12" customHeight="1" x14ac:dyDescent="0.3">
      <c r="L2" s="120" t="s">
        <v>394</v>
      </c>
      <c r="M2" s="120"/>
      <c r="N2" s="120"/>
      <c r="O2" s="120"/>
      <c r="P2" s="120"/>
      <c r="Q2" s="120"/>
      <c r="R2" s="120"/>
      <c r="S2" s="121"/>
      <c r="T2" s="120" t="s">
        <v>403</v>
      </c>
      <c r="U2" s="120"/>
      <c r="V2" s="120"/>
      <c r="W2" s="120"/>
      <c r="X2" s="120"/>
      <c r="Y2" s="120"/>
      <c r="Z2" s="121"/>
      <c r="AA2" s="122" t="s">
        <v>411</v>
      </c>
      <c r="AB2" s="120" t="s">
        <v>25</v>
      </c>
      <c r="AC2" s="120"/>
      <c r="AD2" s="121"/>
      <c r="AE2" s="120" t="s">
        <v>1074</v>
      </c>
      <c r="AF2" s="120"/>
      <c r="AG2" s="120"/>
      <c r="AH2" s="121"/>
      <c r="AI2" s="120" t="s">
        <v>394</v>
      </c>
      <c r="AJ2" s="120"/>
      <c r="AK2" s="120"/>
      <c r="AL2" s="120"/>
      <c r="AM2" s="121"/>
      <c r="AN2" s="122" t="s">
        <v>425</v>
      </c>
      <c r="AO2" s="120" t="s">
        <v>403</v>
      </c>
      <c r="AP2" s="120"/>
      <c r="AQ2" s="120"/>
      <c r="AR2" s="120"/>
      <c r="AS2" s="121"/>
      <c r="AT2" s="123" t="s">
        <v>1074</v>
      </c>
    </row>
    <row r="3" spans="2:46" ht="12" customHeight="1" x14ac:dyDescent="0.3">
      <c r="B3" s="110" t="s">
        <v>69</v>
      </c>
      <c r="C3" s="111" t="s">
        <v>70</v>
      </c>
      <c r="D3" s="111" t="s">
        <v>71</v>
      </c>
      <c r="E3" s="111" t="s">
        <v>72</v>
      </c>
      <c r="F3" s="111" t="s">
        <v>73</v>
      </c>
      <c r="G3" s="111" t="s">
        <v>75</v>
      </c>
      <c r="H3" s="111" t="s">
        <v>76</v>
      </c>
      <c r="I3" s="111" t="s">
        <v>672</v>
      </c>
      <c r="J3" s="111" t="s">
        <v>1036</v>
      </c>
      <c r="K3" s="111" t="s">
        <v>1037</v>
      </c>
      <c r="L3" s="111" t="s">
        <v>1038</v>
      </c>
      <c r="M3" s="111" t="s">
        <v>1039</v>
      </c>
      <c r="N3" s="111" t="s">
        <v>1040</v>
      </c>
      <c r="O3" s="111" t="s">
        <v>1041</v>
      </c>
      <c r="P3" s="111" t="s">
        <v>1042</v>
      </c>
      <c r="Q3" s="111" t="s">
        <v>1043</v>
      </c>
      <c r="R3" s="111" t="s">
        <v>1044</v>
      </c>
      <c r="S3" s="111" t="s">
        <v>1045</v>
      </c>
      <c r="T3" s="111" t="s">
        <v>1046</v>
      </c>
      <c r="U3" s="111" t="s">
        <v>1047</v>
      </c>
      <c r="V3" s="111" t="s">
        <v>1048</v>
      </c>
      <c r="W3" s="111" t="s">
        <v>1049</v>
      </c>
      <c r="X3" s="111" t="s">
        <v>1050</v>
      </c>
      <c r="Y3" s="111" t="s">
        <v>1051</v>
      </c>
      <c r="Z3" s="111" t="s">
        <v>1052</v>
      </c>
      <c r="AA3" s="111" t="s">
        <v>1053</v>
      </c>
      <c r="AB3" s="111" t="s">
        <v>1054</v>
      </c>
      <c r="AC3" s="111" t="s">
        <v>1055</v>
      </c>
      <c r="AD3" s="111" t="s">
        <v>1056</v>
      </c>
      <c r="AE3" s="111" t="s">
        <v>1057</v>
      </c>
      <c r="AF3" s="111" t="s">
        <v>1058</v>
      </c>
      <c r="AG3" s="111" t="s">
        <v>1059</v>
      </c>
      <c r="AH3" s="111" t="s">
        <v>1060</v>
      </c>
      <c r="AI3" s="111" t="s">
        <v>1061</v>
      </c>
      <c r="AJ3" s="111" t="s">
        <v>1062</v>
      </c>
      <c r="AK3" s="111" t="s">
        <v>1063</v>
      </c>
      <c r="AL3" s="111" t="s">
        <v>1064</v>
      </c>
      <c r="AM3" s="111" t="s">
        <v>1065</v>
      </c>
      <c r="AN3" s="111" t="s">
        <v>1066</v>
      </c>
      <c r="AO3" s="111" t="s">
        <v>1067</v>
      </c>
      <c r="AP3" s="111" t="s">
        <v>1068</v>
      </c>
      <c r="AQ3" s="111" t="s">
        <v>1069</v>
      </c>
      <c r="AR3" s="111" t="s">
        <v>1070</v>
      </c>
      <c r="AS3" s="111" t="s">
        <v>1071</v>
      </c>
      <c r="AT3" s="112" t="s">
        <v>1072</v>
      </c>
    </row>
    <row r="4" spans="2:46" ht="12" customHeight="1" x14ac:dyDescent="0.3">
      <c r="B4" s="113" t="s">
        <v>34</v>
      </c>
      <c r="C4" s="114" t="s">
        <v>35</v>
      </c>
      <c r="D4" s="114" t="s">
        <v>25</v>
      </c>
      <c r="E4" s="114" t="s">
        <v>25</v>
      </c>
      <c r="F4" s="114" t="s">
        <v>87</v>
      </c>
      <c r="G4" s="114" t="s">
        <v>36</v>
      </c>
      <c r="H4" s="114" t="s">
        <v>79</v>
      </c>
      <c r="I4" s="114" t="s">
        <v>25</v>
      </c>
      <c r="J4" s="114">
        <v>0</v>
      </c>
      <c r="K4" s="114">
        <v>0</v>
      </c>
      <c r="L4" s="114">
        <v>0</v>
      </c>
      <c r="M4" s="114">
        <v>0</v>
      </c>
      <c r="N4" s="114">
        <v>0</v>
      </c>
      <c r="O4" s="114">
        <v>0</v>
      </c>
      <c r="P4" s="114">
        <v>0</v>
      </c>
      <c r="Q4" s="114">
        <v>0</v>
      </c>
      <c r="R4" s="114">
        <v>0</v>
      </c>
      <c r="S4" s="114">
        <v>0</v>
      </c>
      <c r="T4" s="114">
        <v>0</v>
      </c>
      <c r="U4" s="114">
        <v>0</v>
      </c>
      <c r="V4" s="114">
        <v>0</v>
      </c>
      <c r="W4" s="114">
        <v>0</v>
      </c>
      <c r="X4" s="114">
        <v>0</v>
      </c>
      <c r="Y4" s="114">
        <v>0</v>
      </c>
      <c r="Z4" s="114">
        <v>0</v>
      </c>
      <c r="AA4" s="114">
        <v>0</v>
      </c>
      <c r="AB4" s="114">
        <v>0</v>
      </c>
      <c r="AC4" s="114">
        <v>0</v>
      </c>
      <c r="AD4" s="114">
        <v>0</v>
      </c>
      <c r="AE4" s="114">
        <v>0</v>
      </c>
      <c r="AF4" s="114">
        <v>0</v>
      </c>
      <c r="AG4" s="114">
        <v>0</v>
      </c>
      <c r="AH4" s="114">
        <v>0</v>
      </c>
      <c r="AI4" s="114">
        <v>0</v>
      </c>
      <c r="AJ4" s="114">
        <v>0</v>
      </c>
      <c r="AK4" s="114">
        <v>0</v>
      </c>
      <c r="AL4" s="114">
        <v>0</v>
      </c>
      <c r="AM4" s="114">
        <v>0</v>
      </c>
      <c r="AN4" s="114">
        <v>0</v>
      </c>
      <c r="AO4" s="114">
        <v>0</v>
      </c>
      <c r="AP4" s="114">
        <v>0</v>
      </c>
      <c r="AQ4" s="114">
        <v>0</v>
      </c>
      <c r="AR4" s="114">
        <v>0</v>
      </c>
      <c r="AS4" s="114">
        <v>0</v>
      </c>
      <c r="AT4" s="115">
        <v>0</v>
      </c>
    </row>
    <row r="5" spans="2:46" ht="12" customHeight="1" x14ac:dyDescent="0.3">
      <c r="B5" s="113" t="s">
        <v>34</v>
      </c>
      <c r="C5" s="114" t="s">
        <v>35</v>
      </c>
      <c r="D5" s="114" t="s">
        <v>25</v>
      </c>
      <c r="E5" s="114" t="s">
        <v>25</v>
      </c>
      <c r="F5" s="114" t="s">
        <v>87</v>
      </c>
      <c r="G5" s="114" t="s">
        <v>36</v>
      </c>
      <c r="H5" s="114" t="s">
        <v>84</v>
      </c>
      <c r="I5" s="114" t="s">
        <v>25</v>
      </c>
      <c r="J5" s="114">
        <v>0</v>
      </c>
      <c r="K5" s="114">
        <v>0</v>
      </c>
      <c r="L5" s="114">
        <v>0</v>
      </c>
      <c r="M5" s="114">
        <v>0</v>
      </c>
      <c r="N5" s="114">
        <v>0</v>
      </c>
      <c r="O5" s="114">
        <v>0</v>
      </c>
      <c r="P5" s="114">
        <v>0</v>
      </c>
      <c r="Q5" s="114">
        <v>0</v>
      </c>
      <c r="R5" s="114">
        <v>0</v>
      </c>
      <c r="S5" s="114">
        <v>0</v>
      </c>
      <c r="T5" s="114">
        <v>0</v>
      </c>
      <c r="U5" s="114">
        <v>0</v>
      </c>
      <c r="V5" s="114">
        <v>0</v>
      </c>
      <c r="W5" s="114">
        <v>0</v>
      </c>
      <c r="X5" s="114">
        <v>0</v>
      </c>
      <c r="Y5" s="114">
        <v>0</v>
      </c>
      <c r="Z5" s="114">
        <v>0</v>
      </c>
      <c r="AA5" s="114">
        <v>0</v>
      </c>
      <c r="AB5" s="114">
        <v>0</v>
      </c>
      <c r="AC5" s="114">
        <v>0</v>
      </c>
      <c r="AD5" s="114">
        <v>0</v>
      </c>
      <c r="AE5" s="114">
        <v>0</v>
      </c>
      <c r="AF5" s="114">
        <v>0</v>
      </c>
      <c r="AG5" s="114">
        <v>0</v>
      </c>
      <c r="AH5" s="114">
        <v>0</v>
      </c>
      <c r="AI5" s="114">
        <v>0</v>
      </c>
      <c r="AJ5" s="114">
        <v>0</v>
      </c>
      <c r="AK5" s="114">
        <v>0</v>
      </c>
      <c r="AL5" s="114">
        <v>0</v>
      </c>
      <c r="AM5" s="114">
        <v>0</v>
      </c>
      <c r="AN5" s="114">
        <v>0</v>
      </c>
      <c r="AO5" s="114">
        <v>0</v>
      </c>
      <c r="AP5" s="114">
        <v>0</v>
      </c>
      <c r="AQ5" s="114">
        <v>0</v>
      </c>
      <c r="AR5" s="114">
        <v>0</v>
      </c>
      <c r="AS5" s="114">
        <v>0</v>
      </c>
      <c r="AT5" s="115">
        <v>0</v>
      </c>
    </row>
    <row r="6" spans="2:46" ht="12" customHeight="1" x14ac:dyDescent="0.3">
      <c r="B6" s="113" t="s">
        <v>34</v>
      </c>
      <c r="C6" s="114" t="s">
        <v>35</v>
      </c>
      <c r="D6" s="114" t="s">
        <v>25</v>
      </c>
      <c r="E6" s="114" t="s">
        <v>25</v>
      </c>
      <c r="F6" s="114" t="s">
        <v>87</v>
      </c>
      <c r="G6" s="114" t="s">
        <v>37</v>
      </c>
      <c r="H6" s="114" t="s">
        <v>79</v>
      </c>
      <c r="I6" s="114" t="s">
        <v>25</v>
      </c>
      <c r="J6" s="114">
        <v>0</v>
      </c>
      <c r="K6" s="114">
        <v>0</v>
      </c>
      <c r="L6" s="114">
        <v>0</v>
      </c>
      <c r="M6" s="114">
        <v>0</v>
      </c>
      <c r="N6" s="114">
        <v>0</v>
      </c>
      <c r="O6" s="114">
        <v>0</v>
      </c>
      <c r="P6" s="114">
        <v>0</v>
      </c>
      <c r="Q6" s="114">
        <v>0</v>
      </c>
      <c r="R6" s="114">
        <v>0</v>
      </c>
      <c r="S6" s="114">
        <v>0</v>
      </c>
      <c r="T6" s="114">
        <v>0</v>
      </c>
      <c r="U6" s="114">
        <v>0</v>
      </c>
      <c r="V6" s="114">
        <v>0</v>
      </c>
      <c r="W6" s="114">
        <v>0</v>
      </c>
      <c r="X6" s="114">
        <v>0</v>
      </c>
      <c r="Y6" s="114">
        <v>0</v>
      </c>
      <c r="Z6" s="114">
        <v>0</v>
      </c>
      <c r="AA6" s="114">
        <v>0</v>
      </c>
      <c r="AB6" s="114">
        <v>0</v>
      </c>
      <c r="AC6" s="114">
        <v>0</v>
      </c>
      <c r="AD6" s="114">
        <v>0</v>
      </c>
      <c r="AE6" s="114">
        <v>0</v>
      </c>
      <c r="AF6" s="114">
        <v>0</v>
      </c>
      <c r="AG6" s="114">
        <v>0</v>
      </c>
      <c r="AH6" s="114">
        <v>0</v>
      </c>
      <c r="AI6" s="114">
        <v>0</v>
      </c>
      <c r="AJ6" s="114">
        <v>0</v>
      </c>
      <c r="AK6" s="114">
        <v>0</v>
      </c>
      <c r="AL6" s="114">
        <v>0</v>
      </c>
      <c r="AM6" s="114">
        <v>0</v>
      </c>
      <c r="AN6" s="114">
        <v>0</v>
      </c>
      <c r="AO6" s="114">
        <v>0</v>
      </c>
      <c r="AP6" s="114">
        <v>0</v>
      </c>
      <c r="AQ6" s="114">
        <v>0</v>
      </c>
      <c r="AR6" s="114">
        <v>0</v>
      </c>
      <c r="AS6" s="114">
        <v>0</v>
      </c>
      <c r="AT6" s="115">
        <v>0</v>
      </c>
    </row>
    <row r="7" spans="2:46" ht="12" customHeight="1" x14ac:dyDescent="0.3">
      <c r="B7" s="113" t="s">
        <v>34</v>
      </c>
      <c r="C7" s="114" t="s">
        <v>35</v>
      </c>
      <c r="D7" s="114" t="s">
        <v>25</v>
      </c>
      <c r="E7" s="114" t="s">
        <v>25</v>
      </c>
      <c r="F7" s="114" t="s">
        <v>87</v>
      </c>
      <c r="G7" s="114" t="s">
        <v>37</v>
      </c>
      <c r="H7" s="114" t="s">
        <v>84</v>
      </c>
      <c r="I7" s="114" t="s">
        <v>25</v>
      </c>
      <c r="J7" s="114">
        <v>0</v>
      </c>
      <c r="K7" s="114">
        <v>0</v>
      </c>
      <c r="L7" s="114">
        <v>0</v>
      </c>
      <c r="M7" s="114">
        <v>0</v>
      </c>
      <c r="N7" s="114">
        <v>0</v>
      </c>
      <c r="O7" s="114">
        <v>0</v>
      </c>
      <c r="P7" s="114">
        <v>0</v>
      </c>
      <c r="Q7" s="114">
        <v>0</v>
      </c>
      <c r="R7" s="114">
        <v>0</v>
      </c>
      <c r="S7" s="114">
        <v>0</v>
      </c>
      <c r="T7" s="114">
        <v>0</v>
      </c>
      <c r="U7" s="114">
        <v>0</v>
      </c>
      <c r="V7" s="114">
        <v>0</v>
      </c>
      <c r="W7" s="114">
        <v>0</v>
      </c>
      <c r="X7" s="114">
        <v>0</v>
      </c>
      <c r="Y7" s="114">
        <v>0</v>
      </c>
      <c r="Z7" s="114">
        <v>0</v>
      </c>
      <c r="AA7" s="114">
        <v>0</v>
      </c>
      <c r="AB7" s="114">
        <v>0</v>
      </c>
      <c r="AC7" s="114">
        <v>0</v>
      </c>
      <c r="AD7" s="114">
        <v>0</v>
      </c>
      <c r="AE7" s="114">
        <v>0</v>
      </c>
      <c r="AF7" s="114">
        <v>0</v>
      </c>
      <c r="AG7" s="114">
        <v>0</v>
      </c>
      <c r="AH7" s="114">
        <v>0</v>
      </c>
      <c r="AI7" s="114">
        <v>0</v>
      </c>
      <c r="AJ7" s="114">
        <v>0</v>
      </c>
      <c r="AK7" s="114">
        <v>0</v>
      </c>
      <c r="AL7" s="114">
        <v>0</v>
      </c>
      <c r="AM7" s="114">
        <v>0</v>
      </c>
      <c r="AN7" s="114">
        <v>0</v>
      </c>
      <c r="AO7" s="114">
        <v>0</v>
      </c>
      <c r="AP7" s="114">
        <v>0</v>
      </c>
      <c r="AQ7" s="114">
        <v>0</v>
      </c>
      <c r="AR7" s="114">
        <v>0</v>
      </c>
      <c r="AS7" s="114">
        <v>0</v>
      </c>
      <c r="AT7" s="115">
        <v>0</v>
      </c>
    </row>
    <row r="8" spans="2:46" ht="12" customHeight="1" x14ac:dyDescent="0.3">
      <c r="B8" s="113" t="s">
        <v>34</v>
      </c>
      <c r="C8" s="114" t="s">
        <v>35</v>
      </c>
      <c r="D8" s="114" t="s">
        <v>25</v>
      </c>
      <c r="E8" s="114" t="s">
        <v>25</v>
      </c>
      <c r="F8" s="114" t="s">
        <v>25</v>
      </c>
      <c r="G8" s="114" t="s">
        <v>36</v>
      </c>
      <c r="H8" s="114" t="s">
        <v>79</v>
      </c>
      <c r="I8" s="114" t="s">
        <v>25</v>
      </c>
      <c r="J8" s="114">
        <v>0</v>
      </c>
      <c r="K8" s="114">
        <v>0</v>
      </c>
      <c r="L8" s="114">
        <v>0</v>
      </c>
      <c r="M8" s="114">
        <v>0</v>
      </c>
      <c r="N8" s="114">
        <v>0</v>
      </c>
      <c r="O8" s="114">
        <v>0</v>
      </c>
      <c r="P8" s="114">
        <v>0</v>
      </c>
      <c r="Q8" s="114">
        <v>0</v>
      </c>
      <c r="R8" s="114">
        <v>0</v>
      </c>
      <c r="S8" s="114">
        <v>0</v>
      </c>
      <c r="T8" s="114">
        <v>0</v>
      </c>
      <c r="U8" s="114">
        <v>0</v>
      </c>
      <c r="V8" s="114">
        <v>0</v>
      </c>
      <c r="W8" s="114">
        <v>0</v>
      </c>
      <c r="X8" s="114">
        <v>0</v>
      </c>
      <c r="Y8" s="114">
        <v>0</v>
      </c>
      <c r="Z8" s="114">
        <v>0</v>
      </c>
      <c r="AA8" s="114">
        <v>0</v>
      </c>
      <c r="AB8" s="114">
        <v>0</v>
      </c>
      <c r="AC8" s="114">
        <v>0</v>
      </c>
      <c r="AD8" s="114">
        <v>0</v>
      </c>
      <c r="AE8" s="114">
        <v>0</v>
      </c>
      <c r="AF8" s="114">
        <v>0</v>
      </c>
      <c r="AG8" s="114">
        <v>0</v>
      </c>
      <c r="AH8" s="114">
        <v>0</v>
      </c>
      <c r="AI8" s="114">
        <v>0</v>
      </c>
      <c r="AJ8" s="114">
        <v>0</v>
      </c>
      <c r="AK8" s="114">
        <v>0</v>
      </c>
      <c r="AL8" s="114">
        <v>0</v>
      </c>
      <c r="AM8" s="114">
        <v>0</v>
      </c>
      <c r="AN8" s="114">
        <v>0</v>
      </c>
      <c r="AO8" s="114">
        <v>0</v>
      </c>
      <c r="AP8" s="114">
        <v>0</v>
      </c>
      <c r="AQ8" s="114">
        <v>0</v>
      </c>
      <c r="AR8" s="114">
        <v>0</v>
      </c>
      <c r="AS8" s="114">
        <v>0</v>
      </c>
      <c r="AT8" s="115">
        <v>0</v>
      </c>
    </row>
    <row r="9" spans="2:46" ht="12" customHeight="1" x14ac:dyDescent="0.3">
      <c r="B9" s="113" t="s">
        <v>34</v>
      </c>
      <c r="C9" s="114" t="s">
        <v>35</v>
      </c>
      <c r="D9" s="114" t="s">
        <v>25</v>
      </c>
      <c r="E9" s="114" t="s">
        <v>25</v>
      </c>
      <c r="F9" s="114" t="s">
        <v>25</v>
      </c>
      <c r="G9" s="114" t="s">
        <v>36</v>
      </c>
      <c r="H9" s="114" t="s">
        <v>84</v>
      </c>
      <c r="I9" s="114" t="s">
        <v>25</v>
      </c>
      <c r="J9" s="114">
        <v>0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0</v>
      </c>
      <c r="Y9" s="114">
        <v>0</v>
      </c>
      <c r="Z9" s="114">
        <v>0</v>
      </c>
      <c r="AA9" s="114">
        <v>0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4">
        <v>0</v>
      </c>
      <c r="AQ9" s="114">
        <v>0</v>
      </c>
      <c r="AR9" s="114">
        <v>0</v>
      </c>
      <c r="AS9" s="114">
        <v>0</v>
      </c>
      <c r="AT9" s="115">
        <v>0</v>
      </c>
    </row>
    <row r="10" spans="2:46" ht="12" customHeight="1" x14ac:dyDescent="0.3">
      <c r="B10" s="113" t="s">
        <v>34</v>
      </c>
      <c r="C10" s="114" t="s">
        <v>35</v>
      </c>
      <c r="D10" s="114" t="s">
        <v>25</v>
      </c>
      <c r="E10" s="114" t="s">
        <v>25</v>
      </c>
      <c r="F10" s="114" t="s">
        <v>25</v>
      </c>
      <c r="G10" s="114" t="s">
        <v>37</v>
      </c>
      <c r="H10" s="114" t="s">
        <v>79</v>
      </c>
      <c r="I10" s="114" t="s">
        <v>25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4">
        <v>0</v>
      </c>
      <c r="P10" s="114">
        <v>0</v>
      </c>
      <c r="Q10" s="114">
        <v>0</v>
      </c>
      <c r="R10" s="114">
        <v>0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0</v>
      </c>
      <c r="AF10" s="114">
        <v>0</v>
      </c>
      <c r="AG10" s="114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4">
        <v>0</v>
      </c>
      <c r="AO10" s="114">
        <v>0</v>
      </c>
      <c r="AP10" s="114">
        <v>0</v>
      </c>
      <c r="AQ10" s="114">
        <v>0</v>
      </c>
      <c r="AR10" s="114">
        <v>0</v>
      </c>
      <c r="AS10" s="114">
        <v>0</v>
      </c>
      <c r="AT10" s="115">
        <v>0</v>
      </c>
    </row>
    <row r="11" spans="2:46" ht="12" customHeight="1" x14ac:dyDescent="0.3">
      <c r="B11" s="113" t="s">
        <v>34</v>
      </c>
      <c r="C11" s="114" t="s">
        <v>35</v>
      </c>
      <c r="D11" s="114" t="s">
        <v>25</v>
      </c>
      <c r="E11" s="114" t="s">
        <v>25</v>
      </c>
      <c r="F11" s="114" t="s">
        <v>25</v>
      </c>
      <c r="G11" s="114" t="s">
        <v>37</v>
      </c>
      <c r="H11" s="114" t="s">
        <v>84</v>
      </c>
      <c r="I11" s="114" t="s">
        <v>25</v>
      </c>
      <c r="J11" s="114">
        <v>0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0</v>
      </c>
      <c r="Y11" s="114">
        <v>0</v>
      </c>
      <c r="Z11" s="114">
        <v>0</v>
      </c>
      <c r="AA11" s="114">
        <v>0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4">
        <v>0</v>
      </c>
      <c r="AQ11" s="114">
        <v>0</v>
      </c>
      <c r="AR11" s="114">
        <v>0</v>
      </c>
      <c r="AS11" s="114">
        <v>0</v>
      </c>
      <c r="AT11" s="115">
        <v>0</v>
      </c>
    </row>
    <row r="12" spans="2:46" ht="12" customHeight="1" x14ac:dyDescent="0.3">
      <c r="B12" s="113" t="s">
        <v>34</v>
      </c>
      <c r="C12" s="114" t="s">
        <v>23</v>
      </c>
      <c r="D12" s="114" t="s">
        <v>25</v>
      </c>
      <c r="E12" s="114" t="s">
        <v>25</v>
      </c>
      <c r="F12" s="114" t="s">
        <v>25</v>
      </c>
      <c r="G12" s="114" t="s">
        <v>25</v>
      </c>
      <c r="H12" s="114" t="s">
        <v>79</v>
      </c>
      <c r="I12" s="114" t="s">
        <v>25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14">
        <v>0</v>
      </c>
      <c r="AT12" s="115">
        <v>0</v>
      </c>
    </row>
    <row r="13" spans="2:46" ht="12" customHeight="1" x14ac:dyDescent="0.3">
      <c r="B13" s="113" t="s">
        <v>34</v>
      </c>
      <c r="C13" s="114" t="s">
        <v>56</v>
      </c>
      <c r="D13" s="114" t="s">
        <v>25</v>
      </c>
      <c r="E13" s="114" t="s">
        <v>25</v>
      </c>
      <c r="F13" s="114" t="s">
        <v>25</v>
      </c>
      <c r="G13" s="114" t="s">
        <v>25</v>
      </c>
      <c r="H13" s="114" t="s">
        <v>84</v>
      </c>
      <c r="I13" s="114" t="s">
        <v>25</v>
      </c>
      <c r="J13" s="114">
        <v>0</v>
      </c>
      <c r="K13" s="114">
        <v>0</v>
      </c>
      <c r="L13" s="114">
        <v>0</v>
      </c>
      <c r="M13" s="114">
        <v>0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0</v>
      </c>
      <c r="Y13" s="114">
        <v>0</v>
      </c>
      <c r="Z13" s="114">
        <v>0</v>
      </c>
      <c r="AA13" s="114">
        <v>0</v>
      </c>
      <c r="AB13" s="114">
        <v>0</v>
      </c>
      <c r="AC13" s="114">
        <v>0</v>
      </c>
      <c r="AD13" s="114">
        <v>0</v>
      </c>
      <c r="AE13" s="114">
        <v>0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4">
        <v>0</v>
      </c>
      <c r="AQ13" s="114">
        <v>0</v>
      </c>
      <c r="AR13" s="114">
        <v>0</v>
      </c>
      <c r="AS13" s="114">
        <v>0</v>
      </c>
      <c r="AT13" s="115">
        <v>0</v>
      </c>
    </row>
    <row r="14" spans="2:46" ht="12" customHeight="1" x14ac:dyDescent="0.3">
      <c r="B14" s="113" t="s">
        <v>34</v>
      </c>
      <c r="C14" s="114" t="s">
        <v>38</v>
      </c>
      <c r="D14" s="114" t="s">
        <v>25</v>
      </c>
      <c r="E14" s="114" t="s">
        <v>25</v>
      </c>
      <c r="F14" s="114" t="s">
        <v>87</v>
      </c>
      <c r="G14" s="114" t="s">
        <v>36</v>
      </c>
      <c r="H14" s="114" t="s">
        <v>79</v>
      </c>
      <c r="I14" s="114" t="s">
        <v>25</v>
      </c>
      <c r="J14" s="114">
        <v>0</v>
      </c>
      <c r="K14" s="114">
        <v>0</v>
      </c>
      <c r="L14" s="114">
        <v>0</v>
      </c>
      <c r="M14" s="114">
        <v>0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0</v>
      </c>
      <c r="Y14" s="114">
        <v>0</v>
      </c>
      <c r="Z14" s="114">
        <v>0</v>
      </c>
      <c r="AA14" s="114">
        <v>0</v>
      </c>
      <c r="AB14" s="114">
        <v>0</v>
      </c>
      <c r="AC14" s="114">
        <v>0</v>
      </c>
      <c r="AD14" s="114">
        <v>0</v>
      </c>
      <c r="AE14" s="114">
        <v>0</v>
      </c>
      <c r="AF14" s="114">
        <v>0</v>
      </c>
      <c r="AG14" s="114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4">
        <v>0</v>
      </c>
      <c r="AQ14" s="114">
        <v>0</v>
      </c>
      <c r="AR14" s="114">
        <v>0</v>
      </c>
      <c r="AS14" s="114">
        <v>0</v>
      </c>
      <c r="AT14" s="115">
        <v>0</v>
      </c>
    </row>
    <row r="15" spans="2:46" ht="12" customHeight="1" x14ac:dyDescent="0.3">
      <c r="B15" s="113" t="s">
        <v>34</v>
      </c>
      <c r="C15" s="114" t="s">
        <v>38</v>
      </c>
      <c r="D15" s="114" t="s">
        <v>25</v>
      </c>
      <c r="E15" s="114" t="s">
        <v>25</v>
      </c>
      <c r="F15" s="114" t="s">
        <v>87</v>
      </c>
      <c r="G15" s="114" t="s">
        <v>25</v>
      </c>
      <c r="H15" s="114" t="s">
        <v>84</v>
      </c>
      <c r="I15" s="114" t="s">
        <v>25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14">
        <v>0</v>
      </c>
      <c r="AT15" s="115">
        <v>0</v>
      </c>
    </row>
    <row r="16" spans="2:46" ht="12" customHeight="1" x14ac:dyDescent="0.3">
      <c r="B16" s="113" t="s">
        <v>34</v>
      </c>
      <c r="C16" s="114" t="s">
        <v>38</v>
      </c>
      <c r="D16" s="114" t="s">
        <v>25</v>
      </c>
      <c r="E16" s="114" t="s">
        <v>25</v>
      </c>
      <c r="F16" s="114" t="s">
        <v>87</v>
      </c>
      <c r="G16" s="114" t="s">
        <v>37</v>
      </c>
      <c r="H16" s="114" t="s">
        <v>79</v>
      </c>
      <c r="I16" s="114" t="s">
        <v>25</v>
      </c>
      <c r="J16" s="114">
        <v>0</v>
      </c>
      <c r="K16" s="114">
        <v>0</v>
      </c>
      <c r="L16" s="114">
        <v>0</v>
      </c>
      <c r="M16" s="114">
        <v>0</v>
      </c>
      <c r="N16" s="114">
        <v>0</v>
      </c>
      <c r="O16" s="114">
        <v>0</v>
      </c>
      <c r="P16" s="114">
        <v>0</v>
      </c>
      <c r="Q16" s="114">
        <v>0</v>
      </c>
      <c r="R16" s="114">
        <v>0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0</v>
      </c>
      <c r="Y16" s="114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0</v>
      </c>
      <c r="AF16" s="114">
        <v>0</v>
      </c>
      <c r="AG16" s="114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0</v>
      </c>
      <c r="AO16" s="114">
        <v>0</v>
      </c>
      <c r="AP16" s="114">
        <v>0</v>
      </c>
      <c r="AQ16" s="114">
        <v>0</v>
      </c>
      <c r="AR16" s="114">
        <v>0</v>
      </c>
      <c r="AS16" s="114">
        <v>0</v>
      </c>
      <c r="AT16" s="115">
        <v>0</v>
      </c>
    </row>
    <row r="17" spans="2:46" ht="12" customHeight="1" x14ac:dyDescent="0.3">
      <c r="B17" s="113" t="s">
        <v>34</v>
      </c>
      <c r="C17" s="114" t="s">
        <v>38</v>
      </c>
      <c r="D17" s="114" t="s">
        <v>25</v>
      </c>
      <c r="E17" s="114" t="s">
        <v>25</v>
      </c>
      <c r="F17" s="114" t="s">
        <v>25</v>
      </c>
      <c r="G17" s="114" t="s">
        <v>36</v>
      </c>
      <c r="H17" s="114" t="s">
        <v>79</v>
      </c>
      <c r="I17" s="114" t="s">
        <v>25</v>
      </c>
      <c r="J17" s="114">
        <v>0</v>
      </c>
      <c r="K17" s="114">
        <v>0</v>
      </c>
      <c r="L17" s="114">
        <v>0</v>
      </c>
      <c r="M17" s="114">
        <v>0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0</v>
      </c>
      <c r="Y17" s="114">
        <v>0</v>
      </c>
      <c r="Z17" s="114">
        <v>0</v>
      </c>
      <c r="AA17" s="114">
        <v>0</v>
      </c>
      <c r="AB17" s="114">
        <v>0</v>
      </c>
      <c r="AC17" s="114">
        <v>0</v>
      </c>
      <c r="AD17" s="114">
        <v>0</v>
      </c>
      <c r="AE17" s="114">
        <v>0</v>
      </c>
      <c r="AF17" s="114">
        <v>0</v>
      </c>
      <c r="AG17" s="114">
        <v>0</v>
      </c>
      <c r="AH17" s="114">
        <v>0</v>
      </c>
      <c r="AI17" s="114">
        <v>0</v>
      </c>
      <c r="AJ17" s="114">
        <v>0</v>
      </c>
      <c r="AK17" s="114">
        <v>0</v>
      </c>
      <c r="AL17" s="114">
        <v>0</v>
      </c>
      <c r="AM17" s="114">
        <v>0</v>
      </c>
      <c r="AN17" s="114">
        <v>0</v>
      </c>
      <c r="AO17" s="114">
        <v>0</v>
      </c>
      <c r="AP17" s="114">
        <v>0</v>
      </c>
      <c r="AQ17" s="114">
        <v>0</v>
      </c>
      <c r="AR17" s="114">
        <v>0</v>
      </c>
      <c r="AS17" s="114">
        <v>0</v>
      </c>
      <c r="AT17" s="115">
        <v>0</v>
      </c>
    </row>
    <row r="18" spans="2:46" ht="12" customHeight="1" x14ac:dyDescent="0.3">
      <c r="B18" s="113" t="s">
        <v>34</v>
      </c>
      <c r="C18" s="114" t="s">
        <v>38</v>
      </c>
      <c r="D18" s="114" t="s">
        <v>25</v>
      </c>
      <c r="E18" s="114" t="s">
        <v>25</v>
      </c>
      <c r="F18" s="114" t="s">
        <v>25</v>
      </c>
      <c r="G18" s="114" t="s">
        <v>25</v>
      </c>
      <c r="H18" s="114" t="s">
        <v>84</v>
      </c>
      <c r="I18" s="114" t="s">
        <v>25</v>
      </c>
      <c r="J18" s="114">
        <v>0</v>
      </c>
      <c r="K18" s="114">
        <v>0</v>
      </c>
      <c r="L18" s="114">
        <v>0</v>
      </c>
      <c r="M18" s="114">
        <v>0</v>
      </c>
      <c r="N18" s="114">
        <v>0</v>
      </c>
      <c r="O18" s="114">
        <v>0</v>
      </c>
      <c r="P18" s="114">
        <v>0</v>
      </c>
      <c r="Q18" s="114">
        <v>0</v>
      </c>
      <c r="R18" s="114">
        <v>0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0</v>
      </c>
      <c r="Y18" s="114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0</v>
      </c>
      <c r="AE18" s="114">
        <v>0</v>
      </c>
      <c r="AF18" s="114">
        <v>0</v>
      </c>
      <c r="AG18" s="114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4">
        <v>0</v>
      </c>
      <c r="AO18" s="114">
        <v>0</v>
      </c>
      <c r="AP18" s="114">
        <v>0</v>
      </c>
      <c r="AQ18" s="114">
        <v>0</v>
      </c>
      <c r="AR18" s="114">
        <v>0</v>
      </c>
      <c r="AS18" s="114">
        <v>0</v>
      </c>
      <c r="AT18" s="115">
        <v>0</v>
      </c>
    </row>
    <row r="19" spans="2:46" ht="12" customHeight="1" x14ac:dyDescent="0.3">
      <c r="B19" s="113" t="s">
        <v>34</v>
      </c>
      <c r="C19" s="114" t="s">
        <v>38</v>
      </c>
      <c r="D19" s="114" t="s">
        <v>25</v>
      </c>
      <c r="E19" s="114" t="s">
        <v>25</v>
      </c>
      <c r="F19" s="114" t="s">
        <v>25</v>
      </c>
      <c r="G19" s="114" t="s">
        <v>37</v>
      </c>
      <c r="H19" s="114" t="s">
        <v>79</v>
      </c>
      <c r="I19" s="114" t="s">
        <v>25</v>
      </c>
      <c r="J19" s="114">
        <v>0</v>
      </c>
      <c r="K19" s="114">
        <v>0</v>
      </c>
      <c r="L19" s="114">
        <v>0</v>
      </c>
      <c r="M19" s="114">
        <v>0</v>
      </c>
      <c r="N19" s="114">
        <v>0</v>
      </c>
      <c r="O19" s="114">
        <v>0</v>
      </c>
      <c r="P19" s="114">
        <v>0</v>
      </c>
      <c r="Q19" s="114">
        <v>0</v>
      </c>
      <c r="R19" s="114">
        <v>0</v>
      </c>
      <c r="S19" s="114">
        <v>0</v>
      </c>
      <c r="T19" s="114">
        <v>0</v>
      </c>
      <c r="U19" s="114">
        <v>0</v>
      </c>
      <c r="V19" s="114">
        <v>0</v>
      </c>
      <c r="W19" s="114">
        <v>0</v>
      </c>
      <c r="X19" s="114">
        <v>0</v>
      </c>
      <c r="Y19" s="114">
        <v>0</v>
      </c>
      <c r="Z19" s="114">
        <v>0</v>
      </c>
      <c r="AA19" s="114">
        <v>0</v>
      </c>
      <c r="AB19" s="114">
        <v>0</v>
      </c>
      <c r="AC19" s="114">
        <v>0</v>
      </c>
      <c r="AD19" s="114">
        <v>0</v>
      </c>
      <c r="AE19" s="114">
        <v>0</v>
      </c>
      <c r="AF19" s="114">
        <v>0</v>
      </c>
      <c r="AG19" s="114">
        <v>0</v>
      </c>
      <c r="AH19" s="114">
        <v>0</v>
      </c>
      <c r="AI19" s="114">
        <v>0</v>
      </c>
      <c r="AJ19" s="114">
        <v>0</v>
      </c>
      <c r="AK19" s="114">
        <v>0</v>
      </c>
      <c r="AL19" s="114">
        <v>0</v>
      </c>
      <c r="AM19" s="114">
        <v>0</v>
      </c>
      <c r="AN19" s="114">
        <v>0</v>
      </c>
      <c r="AO19" s="114">
        <v>0</v>
      </c>
      <c r="AP19" s="114">
        <v>0</v>
      </c>
      <c r="AQ19" s="114">
        <v>0</v>
      </c>
      <c r="AR19" s="114">
        <v>0</v>
      </c>
      <c r="AS19" s="114">
        <v>0</v>
      </c>
      <c r="AT19" s="115">
        <v>0</v>
      </c>
    </row>
    <row r="20" spans="2:46" ht="12" customHeight="1" x14ac:dyDescent="0.3">
      <c r="B20" s="113" t="s">
        <v>88</v>
      </c>
      <c r="C20" s="114" t="s">
        <v>56</v>
      </c>
      <c r="D20" s="114" t="s">
        <v>25</v>
      </c>
      <c r="E20" s="114" t="s">
        <v>25</v>
      </c>
      <c r="F20" s="114" t="s">
        <v>89</v>
      </c>
      <c r="G20" s="114" t="s">
        <v>25</v>
      </c>
      <c r="H20" s="114" t="s">
        <v>84</v>
      </c>
      <c r="I20" s="114" t="s">
        <v>25</v>
      </c>
      <c r="J20" s="114">
        <v>0</v>
      </c>
      <c r="K20" s="114">
        <v>0</v>
      </c>
      <c r="L20" s="114">
        <v>0</v>
      </c>
      <c r="M20" s="114">
        <v>0</v>
      </c>
      <c r="N20" s="114">
        <v>0</v>
      </c>
      <c r="O20" s="114">
        <v>0</v>
      </c>
      <c r="P20" s="114">
        <v>0</v>
      </c>
      <c r="Q20" s="114">
        <v>0</v>
      </c>
      <c r="R20" s="114">
        <v>0</v>
      </c>
      <c r="S20" s="114">
        <v>0</v>
      </c>
      <c r="T20" s="114">
        <v>0</v>
      </c>
      <c r="U20" s="114">
        <v>0</v>
      </c>
      <c r="V20" s="114">
        <v>0</v>
      </c>
      <c r="W20" s="114">
        <v>0</v>
      </c>
      <c r="X20" s="114">
        <v>0</v>
      </c>
      <c r="Y20" s="114">
        <v>0</v>
      </c>
      <c r="Z20" s="114">
        <v>0</v>
      </c>
      <c r="AA20" s="114">
        <v>0</v>
      </c>
      <c r="AB20" s="114">
        <v>0</v>
      </c>
      <c r="AC20" s="114">
        <v>0</v>
      </c>
      <c r="AD20" s="114">
        <v>0</v>
      </c>
      <c r="AE20" s="114">
        <v>0</v>
      </c>
      <c r="AF20" s="114">
        <v>0</v>
      </c>
      <c r="AG20" s="114">
        <v>0</v>
      </c>
      <c r="AH20" s="114">
        <v>0</v>
      </c>
      <c r="AI20" s="114">
        <v>0</v>
      </c>
      <c r="AJ20" s="114">
        <v>0</v>
      </c>
      <c r="AK20" s="114">
        <v>0</v>
      </c>
      <c r="AL20" s="114">
        <v>0</v>
      </c>
      <c r="AM20" s="114">
        <v>0</v>
      </c>
      <c r="AN20" s="114">
        <v>0</v>
      </c>
      <c r="AO20" s="114">
        <v>0</v>
      </c>
      <c r="AP20" s="114">
        <v>0</v>
      </c>
      <c r="AQ20" s="114">
        <v>0</v>
      </c>
      <c r="AR20" s="114">
        <v>0</v>
      </c>
      <c r="AS20" s="114">
        <v>0</v>
      </c>
      <c r="AT20" s="115">
        <v>0</v>
      </c>
    </row>
    <row r="21" spans="2:46" ht="12" customHeight="1" x14ac:dyDescent="0.3">
      <c r="B21" s="113" t="s">
        <v>88</v>
      </c>
      <c r="C21" s="114" t="s">
        <v>56</v>
      </c>
      <c r="D21" s="114" t="s">
        <v>25</v>
      </c>
      <c r="E21" s="114" t="s">
        <v>25</v>
      </c>
      <c r="F21" s="114" t="s">
        <v>90</v>
      </c>
      <c r="G21" s="114" t="s">
        <v>25</v>
      </c>
      <c r="H21" s="114" t="s">
        <v>84</v>
      </c>
      <c r="I21" s="114" t="s">
        <v>25</v>
      </c>
      <c r="J21" s="114">
        <v>0</v>
      </c>
      <c r="K21" s="114">
        <v>0</v>
      </c>
      <c r="L21" s="114">
        <v>0</v>
      </c>
      <c r="M21" s="114">
        <v>0</v>
      </c>
      <c r="N21" s="114">
        <v>0</v>
      </c>
      <c r="O21" s="114">
        <v>0</v>
      </c>
      <c r="P21" s="114">
        <v>0</v>
      </c>
      <c r="Q21" s="114">
        <v>0</v>
      </c>
      <c r="R21" s="114">
        <v>0</v>
      </c>
      <c r="S21" s="114">
        <v>0</v>
      </c>
      <c r="T21" s="114">
        <v>0</v>
      </c>
      <c r="U21" s="114">
        <v>0</v>
      </c>
      <c r="V21" s="114">
        <v>0</v>
      </c>
      <c r="W21" s="114">
        <v>0</v>
      </c>
      <c r="X21" s="114">
        <v>0</v>
      </c>
      <c r="Y21" s="114">
        <v>0</v>
      </c>
      <c r="Z21" s="114">
        <v>0</v>
      </c>
      <c r="AA21" s="114">
        <v>0</v>
      </c>
      <c r="AB21" s="114">
        <v>0</v>
      </c>
      <c r="AC21" s="114">
        <v>0</v>
      </c>
      <c r="AD21" s="114">
        <v>0</v>
      </c>
      <c r="AE21" s="114">
        <v>0</v>
      </c>
      <c r="AF21" s="114">
        <v>0</v>
      </c>
      <c r="AG21" s="114">
        <v>0</v>
      </c>
      <c r="AH21" s="114">
        <v>0</v>
      </c>
      <c r="AI21" s="114">
        <v>0</v>
      </c>
      <c r="AJ21" s="114">
        <v>0</v>
      </c>
      <c r="AK21" s="114">
        <v>0</v>
      </c>
      <c r="AL21" s="114">
        <v>0</v>
      </c>
      <c r="AM21" s="114">
        <v>0</v>
      </c>
      <c r="AN21" s="114">
        <v>0</v>
      </c>
      <c r="AO21" s="114">
        <v>0</v>
      </c>
      <c r="AP21" s="114">
        <v>0</v>
      </c>
      <c r="AQ21" s="114">
        <v>0</v>
      </c>
      <c r="AR21" s="114">
        <v>0</v>
      </c>
      <c r="AS21" s="114">
        <v>0</v>
      </c>
      <c r="AT21" s="115">
        <v>0</v>
      </c>
    </row>
    <row r="22" spans="2:46" ht="12" customHeight="1" x14ac:dyDescent="0.3">
      <c r="B22" s="113" t="s">
        <v>22</v>
      </c>
      <c r="C22" s="114" t="s">
        <v>92</v>
      </c>
      <c r="D22" s="114" t="s">
        <v>24</v>
      </c>
      <c r="E22" s="114" t="s">
        <v>24</v>
      </c>
      <c r="F22" s="114" t="s">
        <v>25</v>
      </c>
      <c r="G22" s="114" t="s">
        <v>36</v>
      </c>
      <c r="H22" s="114" t="s">
        <v>79</v>
      </c>
      <c r="I22" s="114" t="s">
        <v>25</v>
      </c>
      <c r="J22" s="114">
        <v>0</v>
      </c>
      <c r="K22" s="114">
        <v>0</v>
      </c>
      <c r="L22" s="114">
        <v>0</v>
      </c>
      <c r="M22" s="114">
        <v>0</v>
      </c>
      <c r="N22" s="114">
        <v>0</v>
      </c>
      <c r="O22" s="114">
        <v>0</v>
      </c>
      <c r="P22" s="114">
        <v>0</v>
      </c>
      <c r="Q22" s="114">
        <v>0</v>
      </c>
      <c r="R22" s="114">
        <v>0</v>
      </c>
      <c r="S22" s="114">
        <v>0</v>
      </c>
      <c r="T22" s="114">
        <v>0</v>
      </c>
      <c r="U22" s="114">
        <v>0</v>
      </c>
      <c r="V22" s="114">
        <v>0</v>
      </c>
      <c r="W22" s="114">
        <v>0</v>
      </c>
      <c r="X22" s="114">
        <v>0</v>
      </c>
      <c r="Y22" s="114">
        <v>0</v>
      </c>
      <c r="Z22" s="114">
        <v>0</v>
      </c>
      <c r="AA22" s="114">
        <v>0</v>
      </c>
      <c r="AB22" s="114">
        <v>0</v>
      </c>
      <c r="AC22" s="114">
        <v>0</v>
      </c>
      <c r="AD22" s="114">
        <v>0</v>
      </c>
      <c r="AE22" s="114">
        <v>0</v>
      </c>
      <c r="AF22" s="114">
        <v>0</v>
      </c>
      <c r="AG22" s="114">
        <v>0</v>
      </c>
      <c r="AH22" s="114">
        <v>0</v>
      </c>
      <c r="AI22" s="114">
        <v>0</v>
      </c>
      <c r="AJ22" s="114">
        <v>0</v>
      </c>
      <c r="AK22" s="114">
        <v>0</v>
      </c>
      <c r="AL22" s="114">
        <v>0</v>
      </c>
      <c r="AM22" s="114">
        <v>0</v>
      </c>
      <c r="AN22" s="114">
        <v>0</v>
      </c>
      <c r="AO22" s="114">
        <v>0</v>
      </c>
      <c r="AP22" s="114">
        <v>0</v>
      </c>
      <c r="AQ22" s="114">
        <v>0</v>
      </c>
      <c r="AR22" s="114">
        <v>0</v>
      </c>
      <c r="AS22" s="114">
        <v>0</v>
      </c>
      <c r="AT22" s="115">
        <v>0</v>
      </c>
    </row>
    <row r="23" spans="2:46" ht="12" customHeight="1" x14ac:dyDescent="0.3">
      <c r="B23" s="113" t="s">
        <v>22</v>
      </c>
      <c r="C23" s="114" t="s">
        <v>92</v>
      </c>
      <c r="D23" s="114" t="s">
        <v>24</v>
      </c>
      <c r="E23" s="114" t="s">
        <v>24</v>
      </c>
      <c r="F23" s="114" t="s">
        <v>25</v>
      </c>
      <c r="G23" s="114" t="s">
        <v>541</v>
      </c>
      <c r="H23" s="114" t="s">
        <v>79</v>
      </c>
      <c r="I23" s="114" t="s">
        <v>25</v>
      </c>
      <c r="J23" s="114">
        <v>0</v>
      </c>
      <c r="K23" s="114">
        <v>0</v>
      </c>
      <c r="L23" s="114">
        <v>0</v>
      </c>
      <c r="M23" s="114">
        <v>0</v>
      </c>
      <c r="N23" s="114">
        <v>0</v>
      </c>
      <c r="O23" s="114">
        <v>0</v>
      </c>
      <c r="P23" s="114">
        <v>0</v>
      </c>
      <c r="Q23" s="114">
        <v>0</v>
      </c>
      <c r="R23" s="114">
        <v>0</v>
      </c>
      <c r="S23" s="114">
        <v>0</v>
      </c>
      <c r="T23" s="114">
        <v>0</v>
      </c>
      <c r="U23" s="114">
        <v>0</v>
      </c>
      <c r="V23" s="114">
        <v>0</v>
      </c>
      <c r="W23" s="114">
        <v>0</v>
      </c>
      <c r="X23" s="114">
        <v>0</v>
      </c>
      <c r="Y23" s="114">
        <v>0</v>
      </c>
      <c r="Z23" s="114">
        <v>0</v>
      </c>
      <c r="AA23" s="114">
        <v>0</v>
      </c>
      <c r="AB23" s="114">
        <v>0</v>
      </c>
      <c r="AC23" s="114">
        <v>0</v>
      </c>
      <c r="AD23" s="114">
        <v>0</v>
      </c>
      <c r="AE23" s="114">
        <v>0</v>
      </c>
      <c r="AF23" s="114">
        <v>0</v>
      </c>
      <c r="AG23" s="114">
        <v>0</v>
      </c>
      <c r="AH23" s="114">
        <v>0</v>
      </c>
      <c r="AI23" s="114">
        <v>0</v>
      </c>
      <c r="AJ23" s="114">
        <v>0</v>
      </c>
      <c r="AK23" s="114">
        <v>0</v>
      </c>
      <c r="AL23" s="114">
        <v>0</v>
      </c>
      <c r="AM23" s="114">
        <v>0</v>
      </c>
      <c r="AN23" s="114">
        <v>0</v>
      </c>
      <c r="AO23" s="114">
        <v>0</v>
      </c>
      <c r="AP23" s="114">
        <v>0</v>
      </c>
      <c r="AQ23" s="114">
        <v>0</v>
      </c>
      <c r="AR23" s="114">
        <v>0</v>
      </c>
      <c r="AS23" s="114">
        <v>0</v>
      </c>
      <c r="AT23" s="115">
        <v>0</v>
      </c>
    </row>
    <row r="24" spans="2:46" ht="12" customHeight="1" x14ac:dyDescent="0.3">
      <c r="B24" s="113" t="s">
        <v>22</v>
      </c>
      <c r="C24" s="114" t="s">
        <v>92</v>
      </c>
      <c r="D24" s="114" t="s">
        <v>24</v>
      </c>
      <c r="E24" s="114" t="s">
        <v>24</v>
      </c>
      <c r="F24" s="114" t="s">
        <v>25</v>
      </c>
      <c r="G24" s="114" t="s">
        <v>37</v>
      </c>
      <c r="H24" s="114" t="s">
        <v>79</v>
      </c>
      <c r="I24" s="114" t="s">
        <v>25</v>
      </c>
      <c r="J24" s="114">
        <v>0</v>
      </c>
      <c r="K24" s="114">
        <v>0</v>
      </c>
      <c r="L24" s="114">
        <v>0</v>
      </c>
      <c r="M24" s="114">
        <v>0</v>
      </c>
      <c r="N24" s="114">
        <v>0</v>
      </c>
      <c r="O24" s="114">
        <v>0</v>
      </c>
      <c r="P24" s="114">
        <v>0</v>
      </c>
      <c r="Q24" s="114">
        <v>0</v>
      </c>
      <c r="R24" s="114">
        <v>0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0</v>
      </c>
      <c r="Y24" s="114">
        <v>0</v>
      </c>
      <c r="Z24" s="114">
        <v>0</v>
      </c>
      <c r="AA24" s="114">
        <v>0</v>
      </c>
      <c r="AB24" s="114">
        <v>0</v>
      </c>
      <c r="AC24" s="114">
        <v>0</v>
      </c>
      <c r="AD24" s="114">
        <v>0</v>
      </c>
      <c r="AE24" s="114">
        <v>0</v>
      </c>
      <c r="AF24" s="114">
        <v>0</v>
      </c>
      <c r="AG24" s="114">
        <v>0</v>
      </c>
      <c r="AH24" s="114">
        <v>0</v>
      </c>
      <c r="AI24" s="114">
        <v>0</v>
      </c>
      <c r="AJ24" s="114">
        <v>0</v>
      </c>
      <c r="AK24" s="114">
        <v>0</v>
      </c>
      <c r="AL24" s="114">
        <v>0</v>
      </c>
      <c r="AM24" s="114">
        <v>0</v>
      </c>
      <c r="AN24" s="114">
        <v>0</v>
      </c>
      <c r="AO24" s="114">
        <v>0</v>
      </c>
      <c r="AP24" s="114">
        <v>0</v>
      </c>
      <c r="AQ24" s="114">
        <v>0</v>
      </c>
      <c r="AR24" s="114">
        <v>0</v>
      </c>
      <c r="AS24" s="114">
        <v>0</v>
      </c>
      <c r="AT24" s="115">
        <v>0</v>
      </c>
    </row>
    <row r="25" spans="2:46" ht="12" customHeight="1" x14ac:dyDescent="0.3">
      <c r="B25" s="113" t="s">
        <v>22</v>
      </c>
      <c r="C25" s="114" t="s">
        <v>23</v>
      </c>
      <c r="D25" s="114" t="s">
        <v>24</v>
      </c>
      <c r="E25" s="114" t="s">
        <v>1073</v>
      </c>
      <c r="F25" s="114" t="s">
        <v>25</v>
      </c>
      <c r="G25" s="114" t="s">
        <v>25</v>
      </c>
      <c r="H25" s="114" t="s">
        <v>79</v>
      </c>
      <c r="I25" s="114" t="s">
        <v>25</v>
      </c>
      <c r="J25" s="114">
        <v>0</v>
      </c>
      <c r="K25" s="114">
        <v>0</v>
      </c>
      <c r="L25" s="114">
        <v>0</v>
      </c>
      <c r="M25" s="114">
        <v>0</v>
      </c>
      <c r="N25" s="114">
        <v>0</v>
      </c>
      <c r="O25" s="114">
        <v>0</v>
      </c>
      <c r="P25" s="114">
        <v>0</v>
      </c>
      <c r="Q25" s="114">
        <v>0</v>
      </c>
      <c r="R25" s="114">
        <v>0</v>
      </c>
      <c r="S25" s="114">
        <v>0</v>
      </c>
      <c r="T25" s="114">
        <v>0</v>
      </c>
      <c r="U25" s="114">
        <v>0</v>
      </c>
      <c r="V25" s="114">
        <v>0</v>
      </c>
      <c r="W25" s="114">
        <v>0</v>
      </c>
      <c r="X25" s="114">
        <v>0</v>
      </c>
      <c r="Y25" s="114">
        <v>0</v>
      </c>
      <c r="Z25" s="114">
        <v>0</v>
      </c>
      <c r="AA25" s="114">
        <v>0</v>
      </c>
      <c r="AB25" s="114">
        <v>0</v>
      </c>
      <c r="AC25" s="114">
        <v>0</v>
      </c>
      <c r="AD25" s="114">
        <v>0</v>
      </c>
      <c r="AE25" s="114">
        <v>0</v>
      </c>
      <c r="AF25" s="114">
        <v>0</v>
      </c>
      <c r="AG25" s="114">
        <v>0</v>
      </c>
      <c r="AH25" s="114">
        <v>0</v>
      </c>
      <c r="AI25" s="114">
        <v>0</v>
      </c>
      <c r="AJ25" s="114">
        <v>0</v>
      </c>
      <c r="AK25" s="114">
        <v>0</v>
      </c>
      <c r="AL25" s="114">
        <v>0</v>
      </c>
      <c r="AM25" s="114">
        <v>0</v>
      </c>
      <c r="AN25" s="114">
        <v>0</v>
      </c>
      <c r="AO25" s="114">
        <v>0</v>
      </c>
      <c r="AP25" s="114">
        <v>0</v>
      </c>
      <c r="AQ25" s="114">
        <v>0</v>
      </c>
      <c r="AR25" s="114">
        <v>0</v>
      </c>
      <c r="AS25" s="114">
        <v>0</v>
      </c>
      <c r="AT25" s="115">
        <v>0</v>
      </c>
    </row>
    <row r="26" spans="2:46" ht="12" customHeight="1" x14ac:dyDescent="0.3">
      <c r="B26" s="113" t="s">
        <v>22</v>
      </c>
      <c r="C26" s="114" t="s">
        <v>23</v>
      </c>
      <c r="D26" s="114" t="s">
        <v>24</v>
      </c>
      <c r="E26" s="114" t="s">
        <v>24</v>
      </c>
      <c r="F26" s="114" t="s">
        <v>25</v>
      </c>
      <c r="G26" s="114" t="s">
        <v>25</v>
      </c>
      <c r="H26" s="114" t="s">
        <v>79</v>
      </c>
      <c r="I26" s="114" t="s">
        <v>25</v>
      </c>
      <c r="J26" s="114">
        <v>0</v>
      </c>
      <c r="K26" s="114">
        <v>0</v>
      </c>
      <c r="L26" s="114">
        <v>0</v>
      </c>
      <c r="M26" s="114">
        <v>0</v>
      </c>
      <c r="N26" s="114">
        <v>0</v>
      </c>
      <c r="O26" s="114">
        <v>0</v>
      </c>
      <c r="P26" s="114">
        <v>0</v>
      </c>
      <c r="Q26" s="114">
        <v>0</v>
      </c>
      <c r="R26" s="114">
        <v>0</v>
      </c>
      <c r="S26" s="114">
        <v>0</v>
      </c>
      <c r="T26" s="114">
        <v>0</v>
      </c>
      <c r="U26" s="114">
        <v>0</v>
      </c>
      <c r="V26" s="114">
        <v>0</v>
      </c>
      <c r="W26" s="114">
        <v>0</v>
      </c>
      <c r="X26" s="114">
        <v>0</v>
      </c>
      <c r="Y26" s="114">
        <v>0</v>
      </c>
      <c r="Z26" s="114">
        <v>0</v>
      </c>
      <c r="AA26" s="114">
        <v>0</v>
      </c>
      <c r="AB26" s="114">
        <v>0</v>
      </c>
      <c r="AC26" s="114">
        <v>0</v>
      </c>
      <c r="AD26" s="114">
        <v>0</v>
      </c>
      <c r="AE26" s="114">
        <v>0</v>
      </c>
      <c r="AF26" s="114">
        <v>0</v>
      </c>
      <c r="AG26" s="114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0</v>
      </c>
      <c r="AM26" s="114">
        <v>0</v>
      </c>
      <c r="AN26" s="114">
        <v>0</v>
      </c>
      <c r="AO26" s="114">
        <v>0</v>
      </c>
      <c r="AP26" s="114">
        <v>0</v>
      </c>
      <c r="AQ26" s="114">
        <v>0</v>
      </c>
      <c r="AR26" s="114">
        <v>0</v>
      </c>
      <c r="AS26" s="114">
        <v>0</v>
      </c>
      <c r="AT26" s="115">
        <v>0</v>
      </c>
    </row>
    <row r="27" spans="2:46" ht="12" customHeight="1" x14ac:dyDescent="0.3">
      <c r="B27" s="113" t="s">
        <v>22</v>
      </c>
      <c r="C27" s="114" t="s">
        <v>94</v>
      </c>
      <c r="D27" s="114" t="s">
        <v>24</v>
      </c>
      <c r="E27" s="114" t="s">
        <v>1073</v>
      </c>
      <c r="F27" s="114" t="s">
        <v>25</v>
      </c>
      <c r="G27" s="114" t="s">
        <v>25</v>
      </c>
      <c r="H27" s="114" t="s">
        <v>79</v>
      </c>
      <c r="I27" s="114" t="s">
        <v>25</v>
      </c>
      <c r="J27" s="114">
        <v>0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  <c r="Q27" s="114">
        <v>0</v>
      </c>
      <c r="R27" s="114">
        <v>0</v>
      </c>
      <c r="S27" s="114">
        <v>0</v>
      </c>
      <c r="T27" s="114">
        <v>0</v>
      </c>
      <c r="U27" s="114">
        <v>0</v>
      </c>
      <c r="V27" s="114">
        <v>0</v>
      </c>
      <c r="W27" s="114">
        <v>0</v>
      </c>
      <c r="X27" s="114">
        <v>0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0</v>
      </c>
      <c r="AE27" s="114">
        <v>0</v>
      </c>
      <c r="AF27" s="114">
        <v>0</v>
      </c>
      <c r="AG27" s="114">
        <v>0</v>
      </c>
      <c r="AH27" s="114">
        <v>0</v>
      </c>
      <c r="AI27" s="114">
        <v>0</v>
      </c>
      <c r="AJ27" s="114">
        <v>0</v>
      </c>
      <c r="AK27" s="114">
        <v>0</v>
      </c>
      <c r="AL27" s="114">
        <v>0</v>
      </c>
      <c r="AM27" s="114">
        <v>0</v>
      </c>
      <c r="AN27" s="114">
        <v>0</v>
      </c>
      <c r="AO27" s="114">
        <v>0</v>
      </c>
      <c r="AP27" s="114">
        <v>0</v>
      </c>
      <c r="AQ27" s="114">
        <v>0</v>
      </c>
      <c r="AR27" s="114">
        <v>0</v>
      </c>
      <c r="AS27" s="114">
        <v>0</v>
      </c>
      <c r="AT27" s="115">
        <v>0</v>
      </c>
    </row>
    <row r="28" spans="2:46" ht="12" customHeight="1" x14ac:dyDescent="0.3">
      <c r="B28" s="113" t="s">
        <v>22</v>
      </c>
      <c r="C28" s="114" t="s">
        <v>94</v>
      </c>
      <c r="D28" s="114" t="s">
        <v>24</v>
      </c>
      <c r="E28" s="114" t="s">
        <v>24</v>
      </c>
      <c r="F28" s="114" t="s">
        <v>25</v>
      </c>
      <c r="G28" s="114" t="s">
        <v>25</v>
      </c>
      <c r="H28" s="114" t="s">
        <v>79</v>
      </c>
      <c r="I28" s="114" t="s">
        <v>25</v>
      </c>
      <c r="J28" s="114">
        <v>0</v>
      </c>
      <c r="K28" s="114">
        <v>0</v>
      </c>
      <c r="L28" s="114">
        <v>0</v>
      </c>
      <c r="M28" s="114">
        <v>0</v>
      </c>
      <c r="N28" s="114">
        <v>0</v>
      </c>
      <c r="O28" s="114">
        <v>0</v>
      </c>
      <c r="P28" s="114">
        <v>0</v>
      </c>
      <c r="Q28" s="114">
        <v>0</v>
      </c>
      <c r="R28" s="114">
        <v>0</v>
      </c>
      <c r="S28" s="114">
        <v>0</v>
      </c>
      <c r="T28" s="114">
        <v>0</v>
      </c>
      <c r="U28" s="114">
        <v>0</v>
      </c>
      <c r="V28" s="114">
        <v>0</v>
      </c>
      <c r="W28" s="114">
        <v>0</v>
      </c>
      <c r="X28" s="114">
        <v>0</v>
      </c>
      <c r="Y28" s="114">
        <v>0</v>
      </c>
      <c r="Z28" s="114">
        <v>0</v>
      </c>
      <c r="AA28" s="114">
        <v>0</v>
      </c>
      <c r="AB28" s="114">
        <v>0</v>
      </c>
      <c r="AC28" s="114">
        <v>0</v>
      </c>
      <c r="AD28" s="114">
        <v>0</v>
      </c>
      <c r="AE28" s="114">
        <v>0</v>
      </c>
      <c r="AF28" s="114">
        <v>0</v>
      </c>
      <c r="AG28" s="114">
        <v>0</v>
      </c>
      <c r="AH28" s="114">
        <v>0</v>
      </c>
      <c r="AI28" s="114">
        <v>0</v>
      </c>
      <c r="AJ28" s="114">
        <v>0</v>
      </c>
      <c r="AK28" s="114">
        <v>0</v>
      </c>
      <c r="AL28" s="114">
        <v>0</v>
      </c>
      <c r="AM28" s="114">
        <v>0</v>
      </c>
      <c r="AN28" s="114">
        <v>0</v>
      </c>
      <c r="AO28" s="114">
        <v>0</v>
      </c>
      <c r="AP28" s="114">
        <v>0</v>
      </c>
      <c r="AQ28" s="114">
        <v>0</v>
      </c>
      <c r="AR28" s="114">
        <v>0</v>
      </c>
      <c r="AS28" s="114">
        <v>0</v>
      </c>
      <c r="AT28" s="115">
        <v>0</v>
      </c>
    </row>
    <row r="29" spans="2:46" ht="12" customHeight="1" x14ac:dyDescent="0.3">
      <c r="B29" s="113" t="s">
        <v>40</v>
      </c>
      <c r="C29" s="114" t="s">
        <v>92</v>
      </c>
      <c r="D29" s="114" t="s">
        <v>41</v>
      </c>
      <c r="E29" s="114" t="s">
        <v>95</v>
      </c>
      <c r="F29" s="114" t="s">
        <v>25</v>
      </c>
      <c r="G29" s="114" t="s">
        <v>36</v>
      </c>
      <c r="H29" s="114" t="s">
        <v>79</v>
      </c>
      <c r="I29" s="114" t="s">
        <v>25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4">
        <v>0</v>
      </c>
      <c r="P29" s="114">
        <v>0</v>
      </c>
      <c r="Q29" s="114">
        <v>0</v>
      </c>
      <c r="R29" s="114">
        <v>0</v>
      </c>
      <c r="S29" s="114">
        <v>0</v>
      </c>
      <c r="T29" s="114">
        <v>0</v>
      </c>
      <c r="U29" s="114">
        <v>0</v>
      </c>
      <c r="V29" s="114">
        <v>0</v>
      </c>
      <c r="W29" s="114">
        <v>0</v>
      </c>
      <c r="X29" s="114">
        <v>0</v>
      </c>
      <c r="Y29" s="114">
        <v>0</v>
      </c>
      <c r="Z29" s="114">
        <v>0</v>
      </c>
      <c r="AA29" s="114">
        <v>0</v>
      </c>
      <c r="AB29" s="114">
        <v>0</v>
      </c>
      <c r="AC29" s="114">
        <v>0</v>
      </c>
      <c r="AD29" s="114">
        <v>0</v>
      </c>
      <c r="AE29" s="114">
        <v>0</v>
      </c>
      <c r="AF29" s="114">
        <v>0</v>
      </c>
      <c r="AG29" s="114">
        <v>0</v>
      </c>
      <c r="AH29" s="114">
        <v>0</v>
      </c>
      <c r="AI29" s="114">
        <v>0</v>
      </c>
      <c r="AJ29" s="114">
        <v>0</v>
      </c>
      <c r="AK29" s="114">
        <v>0</v>
      </c>
      <c r="AL29" s="114">
        <v>0</v>
      </c>
      <c r="AM29" s="114">
        <v>0</v>
      </c>
      <c r="AN29" s="114">
        <v>0</v>
      </c>
      <c r="AO29" s="114">
        <v>0</v>
      </c>
      <c r="AP29" s="114">
        <v>0</v>
      </c>
      <c r="AQ29" s="114">
        <v>0</v>
      </c>
      <c r="AR29" s="114">
        <v>0</v>
      </c>
      <c r="AS29" s="114">
        <v>0</v>
      </c>
      <c r="AT29" s="115">
        <v>0</v>
      </c>
    </row>
    <row r="30" spans="2:46" ht="12" customHeight="1" x14ac:dyDescent="0.3">
      <c r="B30" s="113" t="s">
        <v>40</v>
      </c>
      <c r="C30" s="114" t="s">
        <v>92</v>
      </c>
      <c r="D30" s="114" t="s">
        <v>41</v>
      </c>
      <c r="E30" s="114" t="s">
        <v>95</v>
      </c>
      <c r="F30" s="114" t="s">
        <v>25</v>
      </c>
      <c r="G30" s="114" t="s">
        <v>541</v>
      </c>
      <c r="H30" s="114" t="s">
        <v>79</v>
      </c>
      <c r="I30" s="114" t="s">
        <v>25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4">
        <v>0</v>
      </c>
      <c r="P30" s="114">
        <v>0</v>
      </c>
      <c r="Q30" s="114">
        <v>0</v>
      </c>
      <c r="R30" s="114">
        <v>0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14">
        <v>0</v>
      </c>
      <c r="AT30" s="115">
        <v>0</v>
      </c>
    </row>
    <row r="31" spans="2:46" ht="12" customHeight="1" x14ac:dyDescent="0.3">
      <c r="B31" s="113" t="s">
        <v>40</v>
      </c>
      <c r="C31" s="114" t="s">
        <v>92</v>
      </c>
      <c r="D31" s="114" t="s">
        <v>41</v>
      </c>
      <c r="E31" s="114" t="s">
        <v>95</v>
      </c>
      <c r="F31" s="114" t="s">
        <v>25</v>
      </c>
      <c r="G31" s="114" t="s">
        <v>37</v>
      </c>
      <c r="H31" s="114" t="s">
        <v>79</v>
      </c>
      <c r="I31" s="114" t="s">
        <v>25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4">
        <v>0</v>
      </c>
      <c r="P31" s="114">
        <v>0</v>
      </c>
      <c r="Q31" s="114">
        <v>0</v>
      </c>
      <c r="R31" s="114">
        <v>0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v>0</v>
      </c>
      <c r="Y31" s="114">
        <v>0</v>
      </c>
      <c r="Z31" s="114">
        <v>0</v>
      </c>
      <c r="AA31" s="114">
        <v>0</v>
      </c>
      <c r="AB31" s="114">
        <v>0</v>
      </c>
      <c r="AC31" s="114">
        <v>0</v>
      </c>
      <c r="AD31" s="114">
        <v>0</v>
      </c>
      <c r="AE31" s="114">
        <v>0</v>
      </c>
      <c r="AF31" s="114">
        <v>0</v>
      </c>
      <c r="AG31" s="114">
        <v>0</v>
      </c>
      <c r="AH31" s="114">
        <v>0</v>
      </c>
      <c r="AI31" s="114">
        <v>0</v>
      </c>
      <c r="AJ31" s="114">
        <v>0</v>
      </c>
      <c r="AK31" s="114">
        <v>0</v>
      </c>
      <c r="AL31" s="114">
        <v>0</v>
      </c>
      <c r="AM31" s="114">
        <v>0</v>
      </c>
      <c r="AN31" s="114">
        <v>0</v>
      </c>
      <c r="AO31" s="114">
        <v>0</v>
      </c>
      <c r="AP31" s="114">
        <v>0</v>
      </c>
      <c r="AQ31" s="114">
        <v>0</v>
      </c>
      <c r="AR31" s="114">
        <v>0</v>
      </c>
      <c r="AS31" s="114">
        <v>0</v>
      </c>
      <c r="AT31" s="115">
        <v>0</v>
      </c>
    </row>
    <row r="32" spans="2:46" ht="12" customHeight="1" x14ac:dyDescent="0.3">
      <c r="B32" s="113" t="s">
        <v>40</v>
      </c>
      <c r="C32" s="114" t="s">
        <v>92</v>
      </c>
      <c r="D32" s="114" t="s">
        <v>41</v>
      </c>
      <c r="E32" s="114" t="s">
        <v>25</v>
      </c>
      <c r="F32" s="114" t="s">
        <v>25</v>
      </c>
      <c r="G32" s="114" t="s">
        <v>36</v>
      </c>
      <c r="H32" s="114" t="s">
        <v>79</v>
      </c>
      <c r="I32" s="114" t="s">
        <v>25</v>
      </c>
      <c r="J32" s="114">
        <v>0</v>
      </c>
      <c r="K32" s="114">
        <v>0</v>
      </c>
      <c r="L32" s="114">
        <v>0</v>
      </c>
      <c r="M32" s="114">
        <v>0</v>
      </c>
      <c r="N32" s="114">
        <v>0</v>
      </c>
      <c r="O32" s="114">
        <v>0</v>
      </c>
      <c r="P32" s="114">
        <v>0</v>
      </c>
      <c r="Q32" s="114">
        <v>0</v>
      </c>
      <c r="R32" s="114">
        <v>0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v>0</v>
      </c>
      <c r="Y32" s="114">
        <v>0</v>
      </c>
      <c r="Z32" s="114">
        <v>0</v>
      </c>
      <c r="AA32" s="114">
        <v>0</v>
      </c>
      <c r="AB32" s="114">
        <v>0</v>
      </c>
      <c r="AC32" s="114">
        <v>0</v>
      </c>
      <c r="AD32" s="114">
        <v>0</v>
      </c>
      <c r="AE32" s="114">
        <v>0</v>
      </c>
      <c r="AF32" s="114">
        <v>0</v>
      </c>
      <c r="AG32" s="114">
        <v>0</v>
      </c>
      <c r="AH32" s="114">
        <v>0</v>
      </c>
      <c r="AI32" s="114">
        <v>0</v>
      </c>
      <c r="AJ32" s="114">
        <v>0</v>
      </c>
      <c r="AK32" s="114">
        <v>0</v>
      </c>
      <c r="AL32" s="114">
        <v>0</v>
      </c>
      <c r="AM32" s="114">
        <v>0</v>
      </c>
      <c r="AN32" s="114">
        <v>0</v>
      </c>
      <c r="AO32" s="114">
        <v>0</v>
      </c>
      <c r="AP32" s="114">
        <v>0</v>
      </c>
      <c r="AQ32" s="114">
        <v>0</v>
      </c>
      <c r="AR32" s="114">
        <v>0</v>
      </c>
      <c r="AS32" s="114">
        <v>0</v>
      </c>
      <c r="AT32" s="115">
        <v>0</v>
      </c>
    </row>
    <row r="33" spans="2:46" ht="12" customHeight="1" x14ac:dyDescent="0.3">
      <c r="B33" s="113" t="s">
        <v>40</v>
      </c>
      <c r="C33" s="114" t="s">
        <v>92</v>
      </c>
      <c r="D33" s="114" t="s">
        <v>41</v>
      </c>
      <c r="E33" s="114" t="s">
        <v>25</v>
      </c>
      <c r="F33" s="114" t="s">
        <v>25</v>
      </c>
      <c r="G33" s="114" t="s">
        <v>541</v>
      </c>
      <c r="H33" s="114" t="s">
        <v>79</v>
      </c>
      <c r="I33" s="114" t="s">
        <v>25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v>0</v>
      </c>
      <c r="P33" s="114">
        <v>0</v>
      </c>
      <c r="Q33" s="114">
        <v>0</v>
      </c>
      <c r="R33" s="114">
        <v>0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0</v>
      </c>
      <c r="AR33" s="114">
        <v>0</v>
      </c>
      <c r="AS33" s="114">
        <v>0</v>
      </c>
      <c r="AT33" s="115">
        <v>0</v>
      </c>
    </row>
    <row r="34" spans="2:46" ht="12" customHeight="1" x14ac:dyDescent="0.3">
      <c r="B34" s="113" t="s">
        <v>40</v>
      </c>
      <c r="C34" s="114" t="s">
        <v>92</v>
      </c>
      <c r="D34" s="114" t="s">
        <v>41</v>
      </c>
      <c r="E34" s="114" t="s">
        <v>25</v>
      </c>
      <c r="F34" s="114" t="s">
        <v>25</v>
      </c>
      <c r="G34" s="114" t="s">
        <v>37</v>
      </c>
      <c r="H34" s="114" t="s">
        <v>79</v>
      </c>
      <c r="I34" s="114" t="s">
        <v>25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4">
        <v>0</v>
      </c>
      <c r="P34" s="114">
        <v>0</v>
      </c>
      <c r="Q34" s="114">
        <v>0</v>
      </c>
      <c r="R34" s="114">
        <v>0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v>0</v>
      </c>
      <c r="Y34" s="114">
        <v>0</v>
      </c>
      <c r="Z34" s="114">
        <v>0</v>
      </c>
      <c r="AA34" s="114">
        <v>0</v>
      </c>
      <c r="AB34" s="114">
        <v>0</v>
      </c>
      <c r="AC34" s="114">
        <v>0</v>
      </c>
      <c r="AD34" s="114">
        <v>0</v>
      </c>
      <c r="AE34" s="114">
        <v>0</v>
      </c>
      <c r="AF34" s="114">
        <v>0</v>
      </c>
      <c r="AG34" s="114">
        <v>0</v>
      </c>
      <c r="AH34" s="114">
        <v>0</v>
      </c>
      <c r="AI34" s="114">
        <v>0</v>
      </c>
      <c r="AJ34" s="114">
        <v>0</v>
      </c>
      <c r="AK34" s="114">
        <v>0</v>
      </c>
      <c r="AL34" s="114">
        <v>0</v>
      </c>
      <c r="AM34" s="114">
        <v>0</v>
      </c>
      <c r="AN34" s="114">
        <v>0</v>
      </c>
      <c r="AO34" s="114">
        <v>0</v>
      </c>
      <c r="AP34" s="114">
        <v>0</v>
      </c>
      <c r="AQ34" s="114">
        <v>0</v>
      </c>
      <c r="AR34" s="114">
        <v>0</v>
      </c>
      <c r="AS34" s="114">
        <v>0</v>
      </c>
      <c r="AT34" s="115">
        <v>0</v>
      </c>
    </row>
    <row r="35" spans="2:46" ht="12" customHeight="1" x14ac:dyDescent="0.3">
      <c r="B35" s="113" t="s">
        <v>40</v>
      </c>
      <c r="C35" s="114" t="s">
        <v>92</v>
      </c>
      <c r="D35" s="114" t="s">
        <v>41</v>
      </c>
      <c r="E35" s="114" t="s">
        <v>96</v>
      </c>
      <c r="F35" s="114" t="s">
        <v>25</v>
      </c>
      <c r="G35" s="114" t="s">
        <v>36</v>
      </c>
      <c r="H35" s="114" t="s">
        <v>79</v>
      </c>
      <c r="I35" s="114" t="s">
        <v>25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4">
        <v>0</v>
      </c>
      <c r="P35" s="114">
        <v>0</v>
      </c>
      <c r="Q35" s="114">
        <v>0</v>
      </c>
      <c r="R35" s="114">
        <v>0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0</v>
      </c>
      <c r="Y35" s="114">
        <v>0</v>
      </c>
      <c r="Z35" s="114">
        <v>0</v>
      </c>
      <c r="AA35" s="114">
        <v>0</v>
      </c>
      <c r="AB35" s="114">
        <v>0</v>
      </c>
      <c r="AC35" s="114">
        <v>0</v>
      </c>
      <c r="AD35" s="114">
        <v>0</v>
      </c>
      <c r="AE35" s="114">
        <v>0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0</v>
      </c>
      <c r="AO35" s="114">
        <v>0</v>
      </c>
      <c r="AP35" s="114">
        <v>0</v>
      </c>
      <c r="AQ35" s="114">
        <v>0</v>
      </c>
      <c r="AR35" s="114">
        <v>0</v>
      </c>
      <c r="AS35" s="114">
        <v>0</v>
      </c>
      <c r="AT35" s="115">
        <v>0</v>
      </c>
    </row>
    <row r="36" spans="2:46" ht="12" customHeight="1" x14ac:dyDescent="0.3">
      <c r="B36" s="113" t="s">
        <v>40</v>
      </c>
      <c r="C36" s="114" t="s">
        <v>92</v>
      </c>
      <c r="D36" s="114" t="s">
        <v>41</v>
      </c>
      <c r="E36" s="114" t="s">
        <v>96</v>
      </c>
      <c r="F36" s="114" t="s">
        <v>25</v>
      </c>
      <c r="G36" s="114" t="s">
        <v>541</v>
      </c>
      <c r="H36" s="114" t="s">
        <v>79</v>
      </c>
      <c r="I36" s="114" t="s">
        <v>25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14">
        <v>0</v>
      </c>
      <c r="AT36" s="115">
        <v>0</v>
      </c>
    </row>
    <row r="37" spans="2:46" ht="12" customHeight="1" x14ac:dyDescent="0.3">
      <c r="B37" s="113" t="s">
        <v>40</v>
      </c>
      <c r="C37" s="114" t="s">
        <v>92</v>
      </c>
      <c r="D37" s="114" t="s">
        <v>41</v>
      </c>
      <c r="E37" s="114" t="s">
        <v>96</v>
      </c>
      <c r="F37" s="114" t="s">
        <v>25</v>
      </c>
      <c r="G37" s="114" t="s">
        <v>37</v>
      </c>
      <c r="H37" s="114" t="s">
        <v>79</v>
      </c>
      <c r="I37" s="114" t="s">
        <v>25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4">
        <v>0</v>
      </c>
      <c r="P37" s="114">
        <v>0</v>
      </c>
      <c r="Q37" s="114">
        <v>0</v>
      </c>
      <c r="R37" s="114">
        <v>0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0</v>
      </c>
      <c r="Y37" s="114">
        <v>0</v>
      </c>
      <c r="Z37" s="114">
        <v>0</v>
      </c>
      <c r="AA37" s="114">
        <v>0</v>
      </c>
      <c r="AB37" s="114">
        <v>0</v>
      </c>
      <c r="AC37" s="114">
        <v>0</v>
      </c>
      <c r="AD37" s="114">
        <v>0</v>
      </c>
      <c r="AE37" s="114">
        <v>0</v>
      </c>
      <c r="AF37" s="114">
        <v>0</v>
      </c>
      <c r="AG37" s="114">
        <v>0</v>
      </c>
      <c r="AH37" s="114">
        <v>0</v>
      </c>
      <c r="AI37" s="114">
        <v>0</v>
      </c>
      <c r="AJ37" s="114">
        <v>0</v>
      </c>
      <c r="AK37" s="114">
        <v>0</v>
      </c>
      <c r="AL37" s="114">
        <v>0</v>
      </c>
      <c r="AM37" s="114">
        <v>0</v>
      </c>
      <c r="AN37" s="114">
        <v>0</v>
      </c>
      <c r="AO37" s="114">
        <v>0</v>
      </c>
      <c r="AP37" s="114">
        <v>0</v>
      </c>
      <c r="AQ37" s="114">
        <v>0</v>
      </c>
      <c r="AR37" s="114">
        <v>0</v>
      </c>
      <c r="AS37" s="114">
        <v>0</v>
      </c>
      <c r="AT37" s="115">
        <v>0</v>
      </c>
    </row>
    <row r="38" spans="2:46" ht="12" customHeight="1" x14ac:dyDescent="0.3">
      <c r="B38" s="113" t="s">
        <v>40</v>
      </c>
      <c r="C38" s="114" t="s">
        <v>23</v>
      </c>
      <c r="D38" s="114" t="s">
        <v>41</v>
      </c>
      <c r="E38" s="114" t="s">
        <v>95</v>
      </c>
      <c r="F38" s="114" t="s">
        <v>25</v>
      </c>
      <c r="G38" s="114" t="s">
        <v>25</v>
      </c>
      <c r="H38" s="114" t="s">
        <v>79</v>
      </c>
      <c r="I38" s="114" t="s">
        <v>25</v>
      </c>
      <c r="J38" s="114">
        <v>0</v>
      </c>
      <c r="K38" s="114">
        <v>0</v>
      </c>
      <c r="L38" s="114">
        <v>0</v>
      </c>
      <c r="M38" s="114">
        <v>0</v>
      </c>
      <c r="N38" s="114">
        <v>0</v>
      </c>
      <c r="O38" s="114">
        <v>0</v>
      </c>
      <c r="P38" s="114">
        <v>0</v>
      </c>
      <c r="Q38" s="114">
        <v>0</v>
      </c>
      <c r="R38" s="114">
        <v>0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  <c r="X38" s="114">
        <v>0</v>
      </c>
      <c r="Y38" s="114">
        <v>0</v>
      </c>
      <c r="Z38" s="114">
        <v>0</v>
      </c>
      <c r="AA38" s="114">
        <v>0</v>
      </c>
      <c r="AB38" s="114">
        <v>0</v>
      </c>
      <c r="AC38" s="114">
        <v>0</v>
      </c>
      <c r="AD38" s="114">
        <v>0</v>
      </c>
      <c r="AE38" s="114">
        <v>0</v>
      </c>
      <c r="AF38" s="114">
        <v>0</v>
      </c>
      <c r="AG38" s="114">
        <v>0</v>
      </c>
      <c r="AH38" s="114">
        <v>0</v>
      </c>
      <c r="AI38" s="114">
        <v>0</v>
      </c>
      <c r="AJ38" s="114">
        <v>0</v>
      </c>
      <c r="AK38" s="114">
        <v>0</v>
      </c>
      <c r="AL38" s="114">
        <v>0</v>
      </c>
      <c r="AM38" s="114">
        <v>0</v>
      </c>
      <c r="AN38" s="114">
        <v>0</v>
      </c>
      <c r="AO38" s="114">
        <v>0</v>
      </c>
      <c r="AP38" s="114">
        <v>0</v>
      </c>
      <c r="AQ38" s="114">
        <v>0</v>
      </c>
      <c r="AR38" s="114">
        <v>0</v>
      </c>
      <c r="AS38" s="114">
        <v>0</v>
      </c>
      <c r="AT38" s="115">
        <v>0</v>
      </c>
    </row>
    <row r="39" spans="2:46" ht="12" customHeight="1" x14ac:dyDescent="0.3">
      <c r="B39" s="113" t="s">
        <v>40</v>
      </c>
      <c r="C39" s="114" t="s">
        <v>23</v>
      </c>
      <c r="D39" s="114" t="s">
        <v>41</v>
      </c>
      <c r="E39" s="114" t="s">
        <v>25</v>
      </c>
      <c r="F39" s="114" t="s">
        <v>25</v>
      </c>
      <c r="G39" s="114" t="s">
        <v>25</v>
      </c>
      <c r="H39" s="114" t="s">
        <v>79</v>
      </c>
      <c r="I39" s="114" t="s">
        <v>25</v>
      </c>
      <c r="J39" s="114">
        <v>0</v>
      </c>
      <c r="K39" s="114">
        <v>0</v>
      </c>
      <c r="L39" s="114">
        <v>0</v>
      </c>
      <c r="M39" s="114">
        <v>0</v>
      </c>
      <c r="N39" s="114">
        <v>0</v>
      </c>
      <c r="O39" s="114">
        <v>0</v>
      </c>
      <c r="P39" s="114">
        <v>0</v>
      </c>
      <c r="Q39" s="114">
        <v>0</v>
      </c>
      <c r="R39" s="114">
        <v>0</v>
      </c>
      <c r="S39" s="114">
        <v>0</v>
      </c>
      <c r="T39" s="114">
        <v>0</v>
      </c>
      <c r="U39" s="114">
        <v>0</v>
      </c>
      <c r="V39" s="114">
        <v>0</v>
      </c>
      <c r="W39" s="114">
        <v>0</v>
      </c>
      <c r="X39" s="114">
        <v>0</v>
      </c>
      <c r="Y39" s="114">
        <v>0</v>
      </c>
      <c r="Z39" s="114">
        <v>0</v>
      </c>
      <c r="AA39" s="114">
        <v>0</v>
      </c>
      <c r="AB39" s="114">
        <v>0</v>
      </c>
      <c r="AC39" s="114">
        <v>0</v>
      </c>
      <c r="AD39" s="114">
        <v>0</v>
      </c>
      <c r="AE39" s="114">
        <v>0</v>
      </c>
      <c r="AF39" s="114">
        <v>0</v>
      </c>
      <c r="AG39" s="114">
        <v>0</v>
      </c>
      <c r="AH39" s="114">
        <v>0</v>
      </c>
      <c r="AI39" s="114">
        <v>0</v>
      </c>
      <c r="AJ39" s="114">
        <v>0</v>
      </c>
      <c r="AK39" s="114">
        <v>0</v>
      </c>
      <c r="AL39" s="114">
        <v>0</v>
      </c>
      <c r="AM39" s="114">
        <v>0</v>
      </c>
      <c r="AN39" s="114">
        <v>0</v>
      </c>
      <c r="AO39" s="114">
        <v>0</v>
      </c>
      <c r="AP39" s="114">
        <v>0</v>
      </c>
      <c r="AQ39" s="114">
        <v>0</v>
      </c>
      <c r="AR39" s="114">
        <v>0</v>
      </c>
      <c r="AS39" s="114">
        <v>0</v>
      </c>
      <c r="AT39" s="115">
        <v>0</v>
      </c>
    </row>
    <row r="40" spans="2:46" ht="12" customHeight="1" x14ac:dyDescent="0.3">
      <c r="B40" s="113" t="s">
        <v>40</v>
      </c>
      <c r="C40" s="114" t="s">
        <v>23</v>
      </c>
      <c r="D40" s="114" t="s">
        <v>41</v>
      </c>
      <c r="E40" s="114" t="s">
        <v>96</v>
      </c>
      <c r="F40" s="114" t="s">
        <v>25</v>
      </c>
      <c r="G40" s="114" t="s">
        <v>25</v>
      </c>
      <c r="H40" s="114" t="s">
        <v>79</v>
      </c>
      <c r="I40" s="114" t="s">
        <v>25</v>
      </c>
      <c r="J40" s="114">
        <v>0</v>
      </c>
      <c r="K40" s="114">
        <v>0</v>
      </c>
      <c r="L40" s="114">
        <v>0</v>
      </c>
      <c r="M40" s="114">
        <v>0</v>
      </c>
      <c r="N40" s="114">
        <v>0</v>
      </c>
      <c r="O40" s="114">
        <v>0</v>
      </c>
      <c r="P40" s="114">
        <v>0</v>
      </c>
      <c r="Q40" s="114">
        <v>0</v>
      </c>
      <c r="R40" s="114">
        <v>0</v>
      </c>
      <c r="S40" s="114">
        <v>0</v>
      </c>
      <c r="T40" s="114">
        <v>0</v>
      </c>
      <c r="U40" s="114">
        <v>0</v>
      </c>
      <c r="V40" s="114">
        <v>0</v>
      </c>
      <c r="W40" s="114">
        <v>0</v>
      </c>
      <c r="X40" s="114">
        <v>0</v>
      </c>
      <c r="Y40" s="114">
        <v>0</v>
      </c>
      <c r="Z40" s="114">
        <v>0</v>
      </c>
      <c r="AA40" s="114">
        <v>0</v>
      </c>
      <c r="AB40" s="114">
        <v>0</v>
      </c>
      <c r="AC40" s="114">
        <v>0</v>
      </c>
      <c r="AD40" s="114">
        <v>0</v>
      </c>
      <c r="AE40" s="114">
        <v>0</v>
      </c>
      <c r="AF40" s="114">
        <v>0</v>
      </c>
      <c r="AG40" s="114">
        <v>0</v>
      </c>
      <c r="AH40" s="114">
        <v>0</v>
      </c>
      <c r="AI40" s="114">
        <v>0</v>
      </c>
      <c r="AJ40" s="114">
        <v>0</v>
      </c>
      <c r="AK40" s="114">
        <v>0</v>
      </c>
      <c r="AL40" s="114">
        <v>0</v>
      </c>
      <c r="AM40" s="114">
        <v>0</v>
      </c>
      <c r="AN40" s="114">
        <v>0</v>
      </c>
      <c r="AO40" s="114">
        <v>0</v>
      </c>
      <c r="AP40" s="114">
        <v>0</v>
      </c>
      <c r="AQ40" s="114">
        <v>0</v>
      </c>
      <c r="AR40" s="114">
        <v>0</v>
      </c>
      <c r="AS40" s="114">
        <v>0</v>
      </c>
      <c r="AT40" s="115">
        <v>0</v>
      </c>
    </row>
    <row r="41" spans="2:46" ht="12" customHeight="1" x14ac:dyDescent="0.3">
      <c r="B41" s="113" t="s">
        <v>40</v>
      </c>
      <c r="C41" s="114" t="s">
        <v>94</v>
      </c>
      <c r="D41" s="114" t="s">
        <v>41</v>
      </c>
      <c r="E41" s="114" t="s">
        <v>95</v>
      </c>
      <c r="F41" s="114" t="s">
        <v>25</v>
      </c>
      <c r="G41" s="114" t="s">
        <v>25</v>
      </c>
      <c r="H41" s="114" t="s">
        <v>79</v>
      </c>
      <c r="I41" s="114" t="s">
        <v>25</v>
      </c>
      <c r="J41" s="114">
        <v>0</v>
      </c>
      <c r="K41" s="114">
        <v>0</v>
      </c>
      <c r="L41" s="114">
        <v>0</v>
      </c>
      <c r="M41" s="114">
        <v>0</v>
      </c>
      <c r="N41" s="114">
        <v>0</v>
      </c>
      <c r="O41" s="114">
        <v>0</v>
      </c>
      <c r="P41" s="114">
        <v>0</v>
      </c>
      <c r="Q41" s="114">
        <v>0</v>
      </c>
      <c r="R41" s="114">
        <v>0</v>
      </c>
      <c r="S41" s="114">
        <v>0</v>
      </c>
      <c r="T41" s="114">
        <v>0</v>
      </c>
      <c r="U41" s="114">
        <v>0</v>
      </c>
      <c r="V41" s="114">
        <v>0</v>
      </c>
      <c r="W41" s="114">
        <v>0</v>
      </c>
      <c r="X41" s="114">
        <v>0</v>
      </c>
      <c r="Y41" s="114">
        <v>0</v>
      </c>
      <c r="Z41" s="114">
        <v>0</v>
      </c>
      <c r="AA41" s="114">
        <v>0</v>
      </c>
      <c r="AB41" s="114">
        <v>0</v>
      </c>
      <c r="AC41" s="114">
        <v>0</v>
      </c>
      <c r="AD41" s="114">
        <v>0</v>
      </c>
      <c r="AE41" s="114">
        <v>0</v>
      </c>
      <c r="AF41" s="114">
        <v>0</v>
      </c>
      <c r="AG41" s="114">
        <v>0</v>
      </c>
      <c r="AH41" s="114">
        <v>0</v>
      </c>
      <c r="AI41" s="114">
        <v>0</v>
      </c>
      <c r="AJ41" s="114">
        <v>0</v>
      </c>
      <c r="AK41" s="114">
        <v>0</v>
      </c>
      <c r="AL41" s="114">
        <v>0</v>
      </c>
      <c r="AM41" s="114">
        <v>0</v>
      </c>
      <c r="AN41" s="114">
        <v>0</v>
      </c>
      <c r="AO41" s="114">
        <v>0</v>
      </c>
      <c r="AP41" s="114">
        <v>0</v>
      </c>
      <c r="AQ41" s="114">
        <v>0</v>
      </c>
      <c r="AR41" s="114">
        <v>0</v>
      </c>
      <c r="AS41" s="114">
        <v>0</v>
      </c>
      <c r="AT41" s="115">
        <v>0</v>
      </c>
    </row>
    <row r="42" spans="2:46" ht="12" customHeight="1" x14ac:dyDescent="0.3">
      <c r="B42" s="113" t="s">
        <v>40</v>
      </c>
      <c r="C42" s="114" t="s">
        <v>94</v>
      </c>
      <c r="D42" s="114" t="s">
        <v>41</v>
      </c>
      <c r="E42" s="114" t="s">
        <v>25</v>
      </c>
      <c r="F42" s="114" t="s">
        <v>25</v>
      </c>
      <c r="G42" s="114" t="s">
        <v>25</v>
      </c>
      <c r="H42" s="114" t="s">
        <v>79</v>
      </c>
      <c r="I42" s="114" t="s">
        <v>25</v>
      </c>
      <c r="J42" s="114">
        <v>0</v>
      </c>
      <c r="K42" s="114">
        <v>0</v>
      </c>
      <c r="L42" s="114">
        <v>0</v>
      </c>
      <c r="M42" s="114">
        <v>0</v>
      </c>
      <c r="N42" s="114">
        <v>0</v>
      </c>
      <c r="O42" s="114">
        <v>0</v>
      </c>
      <c r="P42" s="114">
        <v>0</v>
      </c>
      <c r="Q42" s="114">
        <v>0</v>
      </c>
      <c r="R42" s="114">
        <v>0</v>
      </c>
      <c r="S42" s="114">
        <v>0</v>
      </c>
      <c r="T42" s="114">
        <v>0</v>
      </c>
      <c r="U42" s="114">
        <v>0</v>
      </c>
      <c r="V42" s="114">
        <v>0</v>
      </c>
      <c r="W42" s="114">
        <v>0</v>
      </c>
      <c r="X42" s="114">
        <v>0</v>
      </c>
      <c r="Y42" s="114">
        <v>0</v>
      </c>
      <c r="Z42" s="114">
        <v>0</v>
      </c>
      <c r="AA42" s="114">
        <v>0</v>
      </c>
      <c r="AB42" s="114">
        <v>0</v>
      </c>
      <c r="AC42" s="114">
        <v>0</v>
      </c>
      <c r="AD42" s="114">
        <v>0</v>
      </c>
      <c r="AE42" s="114">
        <v>0</v>
      </c>
      <c r="AF42" s="114">
        <v>0</v>
      </c>
      <c r="AG42" s="114">
        <v>0</v>
      </c>
      <c r="AH42" s="114">
        <v>0</v>
      </c>
      <c r="AI42" s="114">
        <v>0</v>
      </c>
      <c r="AJ42" s="114">
        <v>0</v>
      </c>
      <c r="AK42" s="114">
        <v>0</v>
      </c>
      <c r="AL42" s="114">
        <v>0</v>
      </c>
      <c r="AM42" s="114">
        <v>0</v>
      </c>
      <c r="AN42" s="114">
        <v>0</v>
      </c>
      <c r="AO42" s="114">
        <v>0</v>
      </c>
      <c r="AP42" s="114">
        <v>0</v>
      </c>
      <c r="AQ42" s="114">
        <v>0</v>
      </c>
      <c r="AR42" s="114">
        <v>0</v>
      </c>
      <c r="AS42" s="114">
        <v>0</v>
      </c>
      <c r="AT42" s="115">
        <v>0</v>
      </c>
    </row>
    <row r="43" spans="2:46" ht="12" customHeight="1" x14ac:dyDescent="0.3">
      <c r="B43" s="113" t="s">
        <v>40</v>
      </c>
      <c r="C43" s="114" t="s">
        <v>94</v>
      </c>
      <c r="D43" s="114" t="s">
        <v>41</v>
      </c>
      <c r="E43" s="114" t="s">
        <v>96</v>
      </c>
      <c r="F43" s="114" t="s">
        <v>25</v>
      </c>
      <c r="G43" s="114" t="s">
        <v>25</v>
      </c>
      <c r="H43" s="114" t="s">
        <v>79</v>
      </c>
      <c r="I43" s="114" t="s">
        <v>25</v>
      </c>
      <c r="J43" s="114">
        <v>0</v>
      </c>
      <c r="K43" s="114">
        <v>0</v>
      </c>
      <c r="L43" s="114">
        <v>0</v>
      </c>
      <c r="M43" s="114">
        <v>0</v>
      </c>
      <c r="N43" s="114">
        <v>0</v>
      </c>
      <c r="O43" s="114">
        <v>0</v>
      </c>
      <c r="P43" s="114">
        <v>0</v>
      </c>
      <c r="Q43" s="114">
        <v>0</v>
      </c>
      <c r="R43" s="114">
        <v>0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0</v>
      </c>
      <c r="Y43" s="114">
        <v>0</v>
      </c>
      <c r="Z43" s="114">
        <v>0</v>
      </c>
      <c r="AA43" s="114">
        <v>0</v>
      </c>
      <c r="AB43" s="114">
        <v>0</v>
      </c>
      <c r="AC43" s="114">
        <v>0</v>
      </c>
      <c r="AD43" s="114">
        <v>0</v>
      </c>
      <c r="AE43" s="114">
        <v>0</v>
      </c>
      <c r="AF43" s="114">
        <v>0</v>
      </c>
      <c r="AG43" s="114">
        <v>0</v>
      </c>
      <c r="AH43" s="114">
        <v>0</v>
      </c>
      <c r="AI43" s="114">
        <v>0</v>
      </c>
      <c r="AJ43" s="114">
        <v>0</v>
      </c>
      <c r="AK43" s="114">
        <v>0</v>
      </c>
      <c r="AL43" s="114">
        <v>0</v>
      </c>
      <c r="AM43" s="114">
        <v>0</v>
      </c>
      <c r="AN43" s="114">
        <v>0</v>
      </c>
      <c r="AO43" s="114">
        <v>0</v>
      </c>
      <c r="AP43" s="114">
        <v>0</v>
      </c>
      <c r="AQ43" s="114">
        <v>0</v>
      </c>
      <c r="AR43" s="114">
        <v>0</v>
      </c>
      <c r="AS43" s="114">
        <v>0</v>
      </c>
      <c r="AT43" s="115">
        <v>0</v>
      </c>
    </row>
    <row r="44" spans="2:46" ht="12" customHeight="1" x14ac:dyDescent="0.3">
      <c r="B44" s="113" t="s">
        <v>32</v>
      </c>
      <c r="C44" s="114" t="s">
        <v>92</v>
      </c>
      <c r="D44" s="114" t="s">
        <v>25</v>
      </c>
      <c r="E44" s="114" t="s">
        <v>25</v>
      </c>
      <c r="F44" s="114" t="s">
        <v>25</v>
      </c>
      <c r="G44" s="114" t="s">
        <v>36</v>
      </c>
      <c r="H44" s="114" t="s">
        <v>79</v>
      </c>
      <c r="I44" s="114" t="s">
        <v>25</v>
      </c>
      <c r="J44" s="114">
        <v>0</v>
      </c>
      <c r="K44" s="114">
        <v>0</v>
      </c>
      <c r="L44" s="114">
        <v>0</v>
      </c>
      <c r="M44" s="114">
        <v>0</v>
      </c>
      <c r="N44" s="114">
        <v>0</v>
      </c>
      <c r="O44" s="114">
        <v>0</v>
      </c>
      <c r="P44" s="114">
        <v>0</v>
      </c>
      <c r="Q44" s="114">
        <v>0</v>
      </c>
      <c r="R44" s="114">
        <v>0</v>
      </c>
      <c r="S44" s="114">
        <v>0</v>
      </c>
      <c r="T44" s="114">
        <v>0</v>
      </c>
      <c r="U44" s="114">
        <v>0</v>
      </c>
      <c r="V44" s="114">
        <v>0</v>
      </c>
      <c r="W44" s="114">
        <v>0</v>
      </c>
      <c r="X44" s="114">
        <v>0</v>
      </c>
      <c r="Y44" s="114">
        <v>0</v>
      </c>
      <c r="Z44" s="114">
        <v>0</v>
      </c>
      <c r="AA44" s="114">
        <v>0</v>
      </c>
      <c r="AB44" s="114">
        <v>0</v>
      </c>
      <c r="AC44" s="114">
        <v>0</v>
      </c>
      <c r="AD44" s="114">
        <v>0</v>
      </c>
      <c r="AE44" s="114">
        <v>0</v>
      </c>
      <c r="AF44" s="114">
        <v>0</v>
      </c>
      <c r="AG44" s="114">
        <v>0</v>
      </c>
      <c r="AH44" s="114">
        <v>0</v>
      </c>
      <c r="AI44" s="114">
        <v>0</v>
      </c>
      <c r="AJ44" s="114">
        <v>0</v>
      </c>
      <c r="AK44" s="114">
        <v>0</v>
      </c>
      <c r="AL44" s="114">
        <v>0</v>
      </c>
      <c r="AM44" s="114">
        <v>0</v>
      </c>
      <c r="AN44" s="114">
        <v>0</v>
      </c>
      <c r="AO44" s="114">
        <v>0</v>
      </c>
      <c r="AP44" s="114">
        <v>0</v>
      </c>
      <c r="AQ44" s="114">
        <v>0</v>
      </c>
      <c r="AR44" s="114">
        <v>0</v>
      </c>
      <c r="AS44" s="114">
        <v>0</v>
      </c>
      <c r="AT44" s="115">
        <v>0</v>
      </c>
    </row>
    <row r="45" spans="2:46" ht="12" customHeight="1" x14ac:dyDescent="0.3">
      <c r="B45" s="113" t="s">
        <v>32</v>
      </c>
      <c r="C45" s="114" t="s">
        <v>92</v>
      </c>
      <c r="D45" s="114" t="s">
        <v>25</v>
      </c>
      <c r="E45" s="114" t="s">
        <v>25</v>
      </c>
      <c r="F45" s="114" t="s">
        <v>25</v>
      </c>
      <c r="G45" s="114" t="s">
        <v>541</v>
      </c>
      <c r="H45" s="114" t="s">
        <v>79</v>
      </c>
      <c r="I45" s="114" t="s">
        <v>25</v>
      </c>
      <c r="J45" s="114">
        <v>0</v>
      </c>
      <c r="K45" s="114">
        <v>0</v>
      </c>
      <c r="L45" s="114">
        <v>0</v>
      </c>
      <c r="M45" s="114">
        <v>0</v>
      </c>
      <c r="N45" s="114">
        <v>0</v>
      </c>
      <c r="O45" s="114">
        <v>0</v>
      </c>
      <c r="P45" s="114">
        <v>0</v>
      </c>
      <c r="Q45" s="114">
        <v>0</v>
      </c>
      <c r="R45" s="114">
        <v>0</v>
      </c>
      <c r="S45" s="114">
        <v>0</v>
      </c>
      <c r="T45" s="114">
        <v>0</v>
      </c>
      <c r="U45" s="114">
        <v>0</v>
      </c>
      <c r="V45" s="114">
        <v>0</v>
      </c>
      <c r="W45" s="114">
        <v>0</v>
      </c>
      <c r="X45" s="114">
        <v>0</v>
      </c>
      <c r="Y45" s="114">
        <v>0</v>
      </c>
      <c r="Z45" s="114">
        <v>0</v>
      </c>
      <c r="AA45" s="114">
        <v>0</v>
      </c>
      <c r="AB45" s="114">
        <v>0</v>
      </c>
      <c r="AC45" s="114">
        <v>0</v>
      </c>
      <c r="AD45" s="114">
        <v>0</v>
      </c>
      <c r="AE45" s="114">
        <v>0</v>
      </c>
      <c r="AF45" s="114">
        <v>0</v>
      </c>
      <c r="AG45" s="114">
        <v>0</v>
      </c>
      <c r="AH45" s="114">
        <v>0</v>
      </c>
      <c r="AI45" s="114">
        <v>0</v>
      </c>
      <c r="AJ45" s="114">
        <v>0</v>
      </c>
      <c r="AK45" s="114">
        <v>0</v>
      </c>
      <c r="AL45" s="114">
        <v>0</v>
      </c>
      <c r="AM45" s="114">
        <v>0</v>
      </c>
      <c r="AN45" s="114">
        <v>0</v>
      </c>
      <c r="AO45" s="114">
        <v>0</v>
      </c>
      <c r="AP45" s="114">
        <v>0</v>
      </c>
      <c r="AQ45" s="114">
        <v>0</v>
      </c>
      <c r="AR45" s="114">
        <v>0</v>
      </c>
      <c r="AS45" s="114">
        <v>0</v>
      </c>
      <c r="AT45" s="115">
        <v>0</v>
      </c>
    </row>
    <row r="46" spans="2:46" ht="12" customHeight="1" x14ac:dyDescent="0.3">
      <c r="B46" s="113" t="s">
        <v>32</v>
      </c>
      <c r="C46" s="114" t="s">
        <v>92</v>
      </c>
      <c r="D46" s="114" t="s">
        <v>25</v>
      </c>
      <c r="E46" s="114" t="s">
        <v>25</v>
      </c>
      <c r="F46" s="114" t="s">
        <v>25</v>
      </c>
      <c r="G46" s="114" t="s">
        <v>37</v>
      </c>
      <c r="H46" s="114" t="s">
        <v>79</v>
      </c>
      <c r="I46" s="114" t="s">
        <v>25</v>
      </c>
      <c r="J46" s="114">
        <v>0</v>
      </c>
      <c r="K46" s="114">
        <v>0</v>
      </c>
      <c r="L46" s="114">
        <v>0</v>
      </c>
      <c r="M46" s="114">
        <v>0</v>
      </c>
      <c r="N46" s="114">
        <v>0</v>
      </c>
      <c r="O46" s="114">
        <v>0</v>
      </c>
      <c r="P46" s="114">
        <v>0</v>
      </c>
      <c r="Q46" s="114">
        <v>0</v>
      </c>
      <c r="R46" s="114">
        <v>0</v>
      </c>
      <c r="S46" s="114">
        <v>0</v>
      </c>
      <c r="T46" s="114">
        <v>0</v>
      </c>
      <c r="U46" s="114">
        <v>0</v>
      </c>
      <c r="V46" s="114">
        <v>0</v>
      </c>
      <c r="W46" s="114">
        <v>0</v>
      </c>
      <c r="X46" s="114">
        <v>0</v>
      </c>
      <c r="Y46" s="114">
        <v>0</v>
      </c>
      <c r="Z46" s="114">
        <v>0</v>
      </c>
      <c r="AA46" s="114">
        <v>0</v>
      </c>
      <c r="AB46" s="114">
        <v>0</v>
      </c>
      <c r="AC46" s="114">
        <v>0</v>
      </c>
      <c r="AD46" s="114">
        <v>0</v>
      </c>
      <c r="AE46" s="114">
        <v>0</v>
      </c>
      <c r="AF46" s="114">
        <v>0</v>
      </c>
      <c r="AG46" s="114">
        <v>0</v>
      </c>
      <c r="AH46" s="114">
        <v>0</v>
      </c>
      <c r="AI46" s="114">
        <v>0</v>
      </c>
      <c r="AJ46" s="114">
        <v>0</v>
      </c>
      <c r="AK46" s="114">
        <v>0</v>
      </c>
      <c r="AL46" s="114">
        <v>0</v>
      </c>
      <c r="AM46" s="114">
        <v>0</v>
      </c>
      <c r="AN46" s="114">
        <v>0</v>
      </c>
      <c r="AO46" s="114">
        <v>0</v>
      </c>
      <c r="AP46" s="114">
        <v>0</v>
      </c>
      <c r="AQ46" s="114">
        <v>0</v>
      </c>
      <c r="AR46" s="114">
        <v>0</v>
      </c>
      <c r="AS46" s="114">
        <v>0</v>
      </c>
      <c r="AT46" s="115">
        <v>0</v>
      </c>
    </row>
    <row r="47" spans="2:46" ht="12" customHeight="1" x14ac:dyDescent="0.3">
      <c r="B47" s="113" t="s">
        <v>32</v>
      </c>
      <c r="C47" s="114" t="s">
        <v>23</v>
      </c>
      <c r="D47" s="114" t="s">
        <v>25</v>
      </c>
      <c r="E47" s="114" t="s">
        <v>25</v>
      </c>
      <c r="F47" s="114" t="s">
        <v>25</v>
      </c>
      <c r="G47" s="114" t="s">
        <v>25</v>
      </c>
      <c r="H47" s="114" t="s">
        <v>79</v>
      </c>
      <c r="I47" s="114" t="s">
        <v>25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4">
        <v>0</v>
      </c>
      <c r="P47" s="114">
        <v>0</v>
      </c>
      <c r="Q47" s="114">
        <v>0</v>
      </c>
      <c r="R47" s="114">
        <v>0</v>
      </c>
      <c r="S47" s="114">
        <v>0</v>
      </c>
      <c r="T47" s="114">
        <v>0</v>
      </c>
      <c r="U47" s="114">
        <v>0</v>
      </c>
      <c r="V47" s="114">
        <v>0</v>
      </c>
      <c r="W47" s="114">
        <v>0</v>
      </c>
      <c r="X47" s="114">
        <v>0</v>
      </c>
      <c r="Y47" s="114">
        <v>0</v>
      </c>
      <c r="Z47" s="114">
        <v>0</v>
      </c>
      <c r="AA47" s="114">
        <v>0</v>
      </c>
      <c r="AB47" s="114">
        <v>0</v>
      </c>
      <c r="AC47" s="114">
        <v>0</v>
      </c>
      <c r="AD47" s="114">
        <v>0</v>
      </c>
      <c r="AE47" s="114">
        <v>0</v>
      </c>
      <c r="AF47" s="114">
        <v>0</v>
      </c>
      <c r="AG47" s="114">
        <v>0</v>
      </c>
      <c r="AH47" s="114">
        <v>0</v>
      </c>
      <c r="AI47" s="114">
        <v>0</v>
      </c>
      <c r="AJ47" s="114">
        <v>0</v>
      </c>
      <c r="AK47" s="114">
        <v>0</v>
      </c>
      <c r="AL47" s="114">
        <v>0</v>
      </c>
      <c r="AM47" s="114">
        <v>0</v>
      </c>
      <c r="AN47" s="114">
        <v>0</v>
      </c>
      <c r="AO47" s="114">
        <v>0</v>
      </c>
      <c r="AP47" s="114">
        <v>0</v>
      </c>
      <c r="AQ47" s="114">
        <v>0</v>
      </c>
      <c r="AR47" s="114">
        <v>0</v>
      </c>
      <c r="AS47" s="114">
        <v>0</v>
      </c>
      <c r="AT47" s="115">
        <v>0</v>
      </c>
    </row>
    <row r="48" spans="2:46" ht="12" customHeight="1" x14ac:dyDescent="0.3">
      <c r="B48" s="113" t="s">
        <v>32</v>
      </c>
      <c r="C48" s="114" t="s">
        <v>94</v>
      </c>
      <c r="D48" s="114" t="s">
        <v>25</v>
      </c>
      <c r="E48" s="114" t="s">
        <v>25</v>
      </c>
      <c r="F48" s="114" t="s">
        <v>25</v>
      </c>
      <c r="G48" s="114" t="s">
        <v>25</v>
      </c>
      <c r="H48" s="114" t="s">
        <v>79</v>
      </c>
      <c r="I48" s="114" t="s">
        <v>25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4">
        <v>0</v>
      </c>
      <c r="P48" s="114">
        <v>0</v>
      </c>
      <c r="Q48" s="114">
        <v>0</v>
      </c>
      <c r="R48" s="114">
        <v>0</v>
      </c>
      <c r="S48" s="114">
        <v>0</v>
      </c>
      <c r="T48" s="114">
        <v>0</v>
      </c>
      <c r="U48" s="114">
        <v>0</v>
      </c>
      <c r="V48" s="114">
        <v>0</v>
      </c>
      <c r="W48" s="114">
        <v>0</v>
      </c>
      <c r="X48" s="114">
        <v>0</v>
      </c>
      <c r="Y48" s="114">
        <v>0</v>
      </c>
      <c r="Z48" s="114">
        <v>0</v>
      </c>
      <c r="AA48" s="114">
        <v>0</v>
      </c>
      <c r="AB48" s="114">
        <v>0</v>
      </c>
      <c r="AC48" s="114">
        <v>0</v>
      </c>
      <c r="AD48" s="114">
        <v>0</v>
      </c>
      <c r="AE48" s="114">
        <v>0</v>
      </c>
      <c r="AF48" s="114">
        <v>0</v>
      </c>
      <c r="AG48" s="114">
        <v>0</v>
      </c>
      <c r="AH48" s="114">
        <v>0</v>
      </c>
      <c r="AI48" s="114">
        <v>0</v>
      </c>
      <c r="AJ48" s="114">
        <v>0</v>
      </c>
      <c r="AK48" s="114">
        <v>0</v>
      </c>
      <c r="AL48" s="114">
        <v>0</v>
      </c>
      <c r="AM48" s="114">
        <v>0</v>
      </c>
      <c r="AN48" s="114">
        <v>0</v>
      </c>
      <c r="AO48" s="114">
        <v>0</v>
      </c>
      <c r="AP48" s="114">
        <v>0</v>
      </c>
      <c r="AQ48" s="114">
        <v>0</v>
      </c>
      <c r="AR48" s="114">
        <v>0</v>
      </c>
      <c r="AS48" s="114">
        <v>0</v>
      </c>
      <c r="AT48" s="115">
        <v>0</v>
      </c>
    </row>
    <row r="49" spans="2:46" ht="12" customHeight="1" x14ac:dyDescent="0.3">
      <c r="B49" s="113" t="s">
        <v>43</v>
      </c>
      <c r="C49" s="114" t="s">
        <v>23</v>
      </c>
      <c r="D49" s="114" t="s">
        <v>44</v>
      </c>
      <c r="E49" s="114" t="s">
        <v>97</v>
      </c>
      <c r="F49" s="114" t="s">
        <v>25</v>
      </c>
      <c r="G49" s="114" t="s">
        <v>25</v>
      </c>
      <c r="H49" s="114" t="s">
        <v>79</v>
      </c>
      <c r="I49" s="114" t="s">
        <v>25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114">
        <v>0</v>
      </c>
      <c r="V49" s="114">
        <v>0</v>
      </c>
      <c r="W49" s="114">
        <v>0</v>
      </c>
      <c r="X49" s="114">
        <v>0</v>
      </c>
      <c r="Y49" s="114">
        <v>0</v>
      </c>
      <c r="Z49" s="114">
        <v>0</v>
      </c>
      <c r="AA49" s="114">
        <v>0</v>
      </c>
      <c r="AB49" s="114">
        <v>0</v>
      </c>
      <c r="AC49" s="114">
        <v>0</v>
      </c>
      <c r="AD49" s="114">
        <v>0</v>
      </c>
      <c r="AE49" s="114">
        <v>0</v>
      </c>
      <c r="AF49" s="114">
        <v>0</v>
      </c>
      <c r="AG49" s="114">
        <v>0</v>
      </c>
      <c r="AH49" s="114">
        <v>0</v>
      </c>
      <c r="AI49" s="114">
        <v>0</v>
      </c>
      <c r="AJ49" s="114">
        <v>0</v>
      </c>
      <c r="AK49" s="114">
        <v>0</v>
      </c>
      <c r="AL49" s="114">
        <v>0</v>
      </c>
      <c r="AM49" s="114">
        <v>0</v>
      </c>
      <c r="AN49" s="114">
        <v>0</v>
      </c>
      <c r="AO49" s="114">
        <v>0</v>
      </c>
      <c r="AP49" s="114">
        <v>0</v>
      </c>
      <c r="AQ49" s="114">
        <v>0</v>
      </c>
      <c r="AR49" s="114">
        <v>0</v>
      </c>
      <c r="AS49" s="114">
        <v>0</v>
      </c>
      <c r="AT49" s="115">
        <v>0</v>
      </c>
    </row>
    <row r="50" spans="2:46" ht="12" customHeight="1" x14ac:dyDescent="0.3">
      <c r="B50" s="116" t="s">
        <v>43</v>
      </c>
      <c r="C50" s="117" t="s">
        <v>23</v>
      </c>
      <c r="D50" s="117" t="s">
        <v>44</v>
      </c>
      <c r="E50" s="117" t="s">
        <v>45</v>
      </c>
      <c r="F50" s="117" t="s">
        <v>25</v>
      </c>
      <c r="G50" s="117" t="s">
        <v>25</v>
      </c>
      <c r="H50" s="117" t="s">
        <v>79</v>
      </c>
      <c r="I50" s="117" t="s">
        <v>25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7">
        <v>0</v>
      </c>
      <c r="P50" s="117">
        <v>0</v>
      </c>
      <c r="Q50" s="117">
        <v>0</v>
      </c>
      <c r="R50" s="117">
        <v>0</v>
      </c>
      <c r="S50" s="117">
        <v>0</v>
      </c>
      <c r="T50" s="117">
        <v>0</v>
      </c>
      <c r="U50" s="117">
        <v>0</v>
      </c>
      <c r="V50" s="117">
        <v>0</v>
      </c>
      <c r="W50" s="117">
        <v>0</v>
      </c>
      <c r="X50" s="117">
        <v>0</v>
      </c>
      <c r="Y50" s="117">
        <v>0</v>
      </c>
      <c r="Z50" s="117">
        <v>0</v>
      </c>
      <c r="AA50" s="117">
        <v>0</v>
      </c>
      <c r="AB50" s="117">
        <v>0</v>
      </c>
      <c r="AC50" s="117">
        <v>0</v>
      </c>
      <c r="AD50" s="117">
        <v>0</v>
      </c>
      <c r="AE50" s="117">
        <v>0</v>
      </c>
      <c r="AF50" s="117">
        <v>0</v>
      </c>
      <c r="AG50" s="117">
        <v>0</v>
      </c>
      <c r="AH50" s="117">
        <v>0</v>
      </c>
      <c r="AI50" s="117">
        <v>0</v>
      </c>
      <c r="AJ50" s="117">
        <v>0</v>
      </c>
      <c r="AK50" s="117">
        <v>0</v>
      </c>
      <c r="AL50" s="117">
        <v>0</v>
      </c>
      <c r="AM50" s="117">
        <v>0</v>
      </c>
      <c r="AN50" s="117">
        <v>0</v>
      </c>
      <c r="AO50" s="117">
        <v>0</v>
      </c>
      <c r="AP50" s="117">
        <v>0</v>
      </c>
      <c r="AQ50" s="117">
        <v>0</v>
      </c>
      <c r="AR50" s="117">
        <v>0</v>
      </c>
      <c r="AS50" s="117">
        <v>0</v>
      </c>
      <c r="AT50" s="118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2022-09-14T16:42:58Z</dcterms:created>
  <dcterms:modified xsi:type="dcterms:W3CDTF">2022-09-15T21:28:14Z</dcterms:modified>
</cp:coreProperties>
</file>